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1.xml" ContentType="application/vnd.openxmlformats-officedocument.drawing+xml"/>
  <Override PartName="/xl/comments9.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0.xml" ContentType="application/vnd.openxmlformats-officedocument.spreadsheetml.comments+xml"/>
  <Override PartName="/xl/drawings/drawing2.xml" ContentType="application/vnd.openxmlformats-officedocument.drawing+xml"/>
  <Override PartName="/xl/comments11.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12.xml" ContentType="application/vnd.openxmlformats-officedocument.spreadsheetml.comments+xml"/>
  <Override PartName="/xl/comments13.xml" ContentType="application/vnd.openxmlformats-officedocument.spreadsheetml.comments+xml"/>
  <Override PartName="/xl/drawings/drawing4.xml" ContentType="application/vnd.openxmlformats-officedocument.drawing+xml"/>
  <Override PartName="/xl/comments14.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Peter\Documents\Software\ISEMP_LifeCycleModelCode\INPUT TEMPLATES\"/>
    </mc:Choice>
  </mc:AlternateContent>
  <bookViews>
    <workbookView xWindow="0" yWindow="0" windowWidth="18936" windowHeight="5652" tabRatio="769" firstSheet="2" activeTab="4"/>
  </bookViews>
  <sheets>
    <sheet name="InputFile (stoch) (noKelts)" sheetId="45" r:id="rId1"/>
    <sheet name="InputFile (stoch) (noRes)" sheetId="44" r:id="rId2"/>
    <sheet name="HeaderFile" sheetId="27" r:id="rId3"/>
    <sheet name="InputFile (stoch)" sheetId="37" r:id="rId4"/>
    <sheet name="Inits" sheetId="3" r:id="rId5"/>
    <sheet name="InputFile (sensi) (sigma)" sheetId="38" state="hidden" r:id="rId6"/>
    <sheet name="Cap.egg" sheetId="41" r:id="rId7"/>
    <sheet name="Cap.juv" sheetId="42" r:id="rId8"/>
    <sheet name="Temp-Surv" sheetId="47" r:id="rId9"/>
    <sheet name="Cap.juvHS" sheetId="43" r:id="rId10"/>
    <sheet name="S.egg" sheetId="12" r:id="rId11"/>
    <sheet name="S.fry" sheetId="13" r:id="rId12"/>
    <sheet name="S.parr" sheetId="14" r:id="rId13"/>
    <sheet name="S.smolt (sf)" sheetId="33" r:id="rId14"/>
    <sheet name="S.AdOcn" sheetId="16" r:id="rId15"/>
    <sheet name="S.AdRvr" sheetId="17" r:id="rId16"/>
    <sheet name="S.kelt" sheetId="21" r:id="rId17"/>
    <sheet name="e (sf)" sheetId="32" r:id="rId18"/>
    <sheet name="m" sheetId="11" r:id="rId19"/>
    <sheet name="f" sheetId="18" r:id="rId20"/>
    <sheet name="e" sheetId="10" state="hidden" r:id="rId21"/>
    <sheet name="e (sf&amp;mf)" sheetId="34" state="hidden" r:id="rId22"/>
    <sheet name="ValidationData" sheetId="46" r:id="rId23"/>
    <sheet name="TablesForMS" sheetId="31" r:id="rId24"/>
    <sheet name="FullParmList" sheetId="40" r:id="rId25"/>
    <sheet name="scratch" sheetId="39" r:id="rId26"/>
    <sheet name="LitVals" sheetId="24" r:id="rId27"/>
    <sheet name="S.smolt" sheetId="15" r:id="rId28"/>
    <sheet name="S.smolt (sf&amp;mf)" sheetId="35" r:id="rId29"/>
    <sheet name="InputFile (determ)" sheetId="1" r:id="rId30"/>
  </sheets>
  <definedNames>
    <definedName name="_xlnm.Print_Area" localSheetId="9">Cap.juvHS!$AP$500:$AS$570</definedName>
    <definedName name="solver_adj" localSheetId="20" hidden="1">e!$C$7:$C$10</definedName>
    <definedName name="solver_adj" localSheetId="21" hidden="1">'e (sf&amp;mf)'!$C$7:$C$10</definedName>
    <definedName name="solver_adj" localSheetId="17" hidden="1">'e (sf)'!$C$7:$C$10</definedName>
    <definedName name="solver_adj" localSheetId="18" hidden="1">m!$J$16:$N$23</definedName>
    <definedName name="solver_adj" localSheetId="23" hidden="1">TablesForMS!#REF!</definedName>
    <definedName name="solver_cvg" localSheetId="20" hidden="1">0.0001</definedName>
    <definedName name="solver_cvg" localSheetId="21" hidden="1">0.0001</definedName>
    <definedName name="solver_cvg" localSheetId="17" hidden="1">0.0001</definedName>
    <definedName name="solver_cvg" localSheetId="18" hidden="1">0.0001</definedName>
    <definedName name="solver_cvg" localSheetId="23" hidden="1">0.0001</definedName>
    <definedName name="solver_drv" localSheetId="20" hidden="1">2</definedName>
    <definedName name="solver_drv" localSheetId="21" hidden="1">2</definedName>
    <definedName name="solver_drv" localSheetId="17" hidden="1">2</definedName>
    <definedName name="solver_drv" localSheetId="18" hidden="1">1</definedName>
    <definedName name="solver_drv" localSheetId="23" hidden="1">1</definedName>
    <definedName name="solver_eng" localSheetId="20" hidden="1">1</definedName>
    <definedName name="solver_eng" localSheetId="21" hidden="1">1</definedName>
    <definedName name="solver_eng" localSheetId="17" hidden="1">1</definedName>
    <definedName name="solver_eng" localSheetId="18" hidden="1">1</definedName>
    <definedName name="solver_eng" localSheetId="23" hidden="1">1</definedName>
    <definedName name="solver_est" localSheetId="20" hidden="1">1</definedName>
    <definedName name="solver_est" localSheetId="21" hidden="1">1</definedName>
    <definedName name="solver_est" localSheetId="17" hidden="1">1</definedName>
    <definedName name="solver_est" localSheetId="18" hidden="1">1</definedName>
    <definedName name="solver_est" localSheetId="23" hidden="1">1</definedName>
    <definedName name="solver_itr" localSheetId="20" hidden="1">2147483647</definedName>
    <definedName name="solver_itr" localSheetId="21" hidden="1">2147483647</definedName>
    <definedName name="solver_itr" localSheetId="17" hidden="1">2147483647</definedName>
    <definedName name="solver_itr" localSheetId="18" hidden="1">2147483647</definedName>
    <definedName name="solver_itr" localSheetId="23" hidden="1">2147483647</definedName>
    <definedName name="solver_lhs1" localSheetId="20" hidden="1">e!$Z$7:$Z$10</definedName>
    <definedName name="solver_lhs1" localSheetId="21" hidden="1">'e (sf&amp;mf)'!$Z$7:$Z$10</definedName>
    <definedName name="solver_lhs1" localSheetId="17" hidden="1">'e (sf)'!$Z$7:$Z$10</definedName>
    <definedName name="solver_lhs1" localSheetId="18" hidden="1">m!$J$16:$J$23</definedName>
    <definedName name="solver_lhs2" localSheetId="20" hidden="1">e!$C$7:$C$10</definedName>
    <definedName name="solver_lhs2" localSheetId="21" hidden="1">'e (sf&amp;mf)'!$C$7:$C$10</definedName>
    <definedName name="solver_lhs2" localSheetId="17" hidden="1">'e (sf)'!$C$7:$C$10</definedName>
    <definedName name="solver_lhs2" localSheetId="18" hidden="1">m!$P$25</definedName>
    <definedName name="solver_lhs3" localSheetId="18" hidden="1">m!$T$16:$V$23</definedName>
    <definedName name="solver_lhs4" localSheetId="18" hidden="1">m!$T$16:$V$23</definedName>
    <definedName name="solver_lhs5" localSheetId="18" hidden="1">m!#REF!</definedName>
    <definedName name="solver_lhs6" localSheetId="18" hidden="1">m!#REF!</definedName>
    <definedName name="solver_lhs7" localSheetId="18" hidden="1">m!#REF!</definedName>
    <definedName name="solver_mip" localSheetId="20" hidden="1">2147483647</definedName>
    <definedName name="solver_mip" localSheetId="21" hidden="1">2147483647</definedName>
    <definedName name="solver_mip" localSheetId="17" hidden="1">2147483647</definedName>
    <definedName name="solver_mip" localSheetId="18" hidden="1">2147483647</definedName>
    <definedName name="solver_mip" localSheetId="23" hidden="1">2147483647</definedName>
    <definedName name="solver_mni" localSheetId="20" hidden="1">30</definedName>
    <definedName name="solver_mni" localSheetId="21" hidden="1">30</definedName>
    <definedName name="solver_mni" localSheetId="17" hidden="1">30</definedName>
    <definedName name="solver_mni" localSheetId="18" hidden="1">30</definedName>
    <definedName name="solver_mni" localSheetId="23" hidden="1">30</definedName>
    <definedName name="solver_mrt" localSheetId="20" hidden="1">0.075</definedName>
    <definedName name="solver_mrt" localSheetId="21" hidden="1">0.075</definedName>
    <definedName name="solver_mrt" localSheetId="17" hidden="1">0.075</definedName>
    <definedName name="solver_mrt" localSheetId="18" hidden="1">0.075</definedName>
    <definedName name="solver_mrt" localSheetId="23" hidden="1">0.075</definedName>
    <definedName name="solver_msl" localSheetId="20" hidden="1">2</definedName>
    <definedName name="solver_msl" localSheetId="21" hidden="1">2</definedName>
    <definedName name="solver_msl" localSheetId="17" hidden="1">2</definedName>
    <definedName name="solver_msl" localSheetId="18" hidden="1">2</definedName>
    <definedName name="solver_msl" localSheetId="23" hidden="1">2</definedName>
    <definedName name="solver_neg" localSheetId="20" hidden="1">1</definedName>
    <definedName name="solver_neg" localSheetId="21" hidden="1">1</definedName>
    <definedName name="solver_neg" localSheetId="17" hidden="1">1</definedName>
    <definedName name="solver_neg" localSheetId="18" hidden="1">1</definedName>
    <definedName name="solver_neg" localSheetId="23" hidden="1">1</definedName>
    <definedName name="solver_nod" localSheetId="20" hidden="1">2147483647</definedName>
    <definedName name="solver_nod" localSheetId="21" hidden="1">2147483647</definedName>
    <definedName name="solver_nod" localSheetId="17" hidden="1">2147483647</definedName>
    <definedName name="solver_nod" localSheetId="18" hidden="1">2147483647</definedName>
    <definedName name="solver_nod" localSheetId="23" hidden="1">2147483647</definedName>
    <definedName name="solver_num" localSheetId="20" hidden="1">2</definedName>
    <definedName name="solver_num" localSheetId="21" hidden="1">2</definedName>
    <definedName name="solver_num" localSheetId="17" hidden="1">2</definedName>
    <definedName name="solver_num" localSheetId="18" hidden="1">4</definedName>
    <definedName name="solver_num" localSheetId="23" hidden="1">0</definedName>
    <definedName name="solver_nwt" localSheetId="20" hidden="1">1</definedName>
    <definedName name="solver_nwt" localSheetId="21" hidden="1">1</definedName>
    <definedName name="solver_nwt" localSheetId="17" hidden="1">1</definedName>
    <definedName name="solver_nwt" localSheetId="18" hidden="1">1</definedName>
    <definedName name="solver_nwt" localSheetId="23" hidden="1">1</definedName>
    <definedName name="solver_opt" localSheetId="20" hidden="1">e!$W$15</definedName>
    <definedName name="solver_opt" localSheetId="21" hidden="1">'e (sf&amp;mf)'!$W$15</definedName>
    <definedName name="solver_opt" localSheetId="17" hidden="1">'e (sf)'!$W$15</definedName>
    <definedName name="solver_opt" localSheetId="18" hidden="1">m!$T$25</definedName>
    <definedName name="solver_opt" localSheetId="23" hidden="1">TablesForMS!#REF!</definedName>
    <definedName name="solver_pre" localSheetId="20" hidden="1">0.000001</definedName>
    <definedName name="solver_pre" localSheetId="21" hidden="1">0.000001</definedName>
    <definedName name="solver_pre" localSheetId="17" hidden="1">0.000001</definedName>
    <definedName name="solver_pre" localSheetId="18" hidden="1">0.000001</definedName>
    <definedName name="solver_pre" localSheetId="23" hidden="1">0.000001</definedName>
    <definedName name="solver_rbv" localSheetId="20" hidden="1">2</definedName>
    <definedName name="solver_rbv" localSheetId="21" hidden="1">2</definedName>
    <definedName name="solver_rbv" localSheetId="17" hidden="1">2</definedName>
    <definedName name="solver_rbv" localSheetId="18" hidden="1">1</definedName>
    <definedName name="solver_rbv" localSheetId="23" hidden="1">1</definedName>
    <definedName name="solver_rel1" localSheetId="20" hidden="1">2</definedName>
    <definedName name="solver_rel1" localSheetId="21" hidden="1">2</definedName>
    <definedName name="solver_rel1" localSheetId="17" hidden="1">2</definedName>
    <definedName name="solver_rel1" localSheetId="18" hidden="1">1</definedName>
    <definedName name="solver_rel2" localSheetId="20" hidden="1">1</definedName>
    <definedName name="solver_rel2" localSheetId="21" hidden="1">1</definedName>
    <definedName name="solver_rel2" localSheetId="17" hidden="1">1</definedName>
    <definedName name="solver_rel2" localSheetId="18" hidden="1">2</definedName>
    <definedName name="solver_rel3" localSheetId="18" hidden="1">1</definedName>
    <definedName name="solver_rel4" localSheetId="18" hidden="1">3</definedName>
    <definedName name="solver_rel5" localSheetId="18" hidden="1">3</definedName>
    <definedName name="solver_rel6" localSheetId="18" hidden="1">3</definedName>
    <definedName name="solver_rel7" localSheetId="18" hidden="1">3</definedName>
    <definedName name="solver_rhs1" localSheetId="20" hidden="1">1</definedName>
    <definedName name="solver_rhs1" localSheetId="21" hidden="1">1</definedName>
    <definedName name="solver_rhs1" localSheetId="17" hidden="1">1</definedName>
    <definedName name="solver_rhs1" localSheetId="18" hidden="1">0.2</definedName>
    <definedName name="solver_rhs2" localSheetId="20" hidden="1">1</definedName>
    <definedName name="solver_rhs2" localSheetId="21" hidden="1">1</definedName>
    <definedName name="solver_rhs2" localSheetId="17" hidden="1">1</definedName>
    <definedName name="solver_rhs2" localSheetId="18" hidden="1">8</definedName>
    <definedName name="solver_rhs3" localSheetId="18" hidden="1">1.0001</definedName>
    <definedName name="solver_rhs4" localSheetId="18" hidden="1">0.9999</definedName>
    <definedName name="solver_rhs5" localSheetId="18" hidden="1">0</definedName>
    <definedName name="solver_rhs6" localSheetId="18" hidden="1">0</definedName>
    <definedName name="solver_rhs7" localSheetId="18" hidden="1">0</definedName>
    <definedName name="solver_rlx" localSheetId="20" hidden="1">2</definedName>
    <definedName name="solver_rlx" localSheetId="21" hidden="1">2</definedName>
    <definedName name="solver_rlx" localSheetId="17" hidden="1">2</definedName>
    <definedName name="solver_rlx" localSheetId="18" hidden="1">2</definedName>
    <definedName name="solver_rlx" localSheetId="23" hidden="1">2</definedName>
    <definedName name="solver_rsd" localSheetId="20" hidden="1">0</definedName>
    <definedName name="solver_rsd" localSheetId="21" hidden="1">0</definedName>
    <definedName name="solver_rsd" localSheetId="17" hidden="1">0</definedName>
    <definedName name="solver_rsd" localSheetId="18" hidden="1">0</definedName>
    <definedName name="solver_rsd" localSheetId="23" hidden="1">0</definedName>
    <definedName name="solver_scl" localSheetId="20" hidden="1">2</definedName>
    <definedName name="solver_scl" localSheetId="21" hidden="1">2</definedName>
    <definedName name="solver_scl" localSheetId="17" hidden="1">2</definedName>
    <definedName name="solver_scl" localSheetId="18" hidden="1">1</definedName>
    <definedName name="solver_scl" localSheetId="23" hidden="1">1</definedName>
    <definedName name="solver_sho" localSheetId="20" hidden="1">2</definedName>
    <definedName name="solver_sho" localSheetId="21" hidden="1">2</definedName>
    <definedName name="solver_sho" localSheetId="17" hidden="1">2</definedName>
    <definedName name="solver_sho" localSheetId="18" hidden="1">2</definedName>
    <definedName name="solver_sho" localSheetId="23" hidden="1">2</definedName>
    <definedName name="solver_ssz" localSheetId="20" hidden="1">100</definedName>
    <definedName name="solver_ssz" localSheetId="21" hidden="1">100</definedName>
    <definedName name="solver_ssz" localSheetId="17" hidden="1">100</definedName>
    <definedName name="solver_ssz" localSheetId="18" hidden="1">100</definedName>
    <definedName name="solver_ssz" localSheetId="23" hidden="1">100</definedName>
    <definedName name="solver_tim" localSheetId="20" hidden="1">2147483647</definedName>
    <definedName name="solver_tim" localSheetId="21" hidden="1">2147483647</definedName>
    <definedName name="solver_tim" localSheetId="17" hidden="1">2147483647</definedName>
    <definedName name="solver_tim" localSheetId="18" hidden="1">2147483647</definedName>
    <definedName name="solver_tim" localSheetId="23" hidden="1">2147483647</definedName>
    <definedName name="solver_tol" localSheetId="20" hidden="1">0.01</definedName>
    <definedName name="solver_tol" localSheetId="21" hidden="1">0.01</definedName>
    <definedName name="solver_tol" localSheetId="17" hidden="1">0.01</definedName>
    <definedName name="solver_tol" localSheetId="18" hidden="1">0.01</definedName>
    <definedName name="solver_tol" localSheetId="23" hidden="1">0.01</definedName>
    <definedName name="solver_typ" localSheetId="20" hidden="1">3</definedName>
    <definedName name="solver_typ" localSheetId="21" hidden="1">3</definedName>
    <definedName name="solver_typ" localSheetId="17" hidden="1">3</definedName>
    <definedName name="solver_typ" localSheetId="18" hidden="1">3</definedName>
    <definedName name="solver_typ" localSheetId="23" hidden="1">3</definedName>
    <definedName name="solver_val" localSheetId="20" hidden="1">4</definedName>
    <definedName name="solver_val" localSheetId="21" hidden="1">4</definedName>
    <definedName name="solver_val" localSheetId="17" hidden="1">4</definedName>
    <definedName name="solver_val" localSheetId="18" hidden="1">24</definedName>
    <definedName name="solver_val" localSheetId="23" hidden="1">5</definedName>
    <definedName name="solver_ver" localSheetId="20" hidden="1">3</definedName>
    <definedName name="solver_ver" localSheetId="21" hidden="1">3</definedName>
    <definedName name="solver_ver" localSheetId="17" hidden="1">3</definedName>
    <definedName name="solver_ver" localSheetId="18" hidden="1">3</definedName>
    <definedName name="solver_ver" localSheetId="23" hidden="1">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96" i="11" l="1"/>
  <c r="V97" i="11" s="1"/>
  <c r="V98" i="11"/>
  <c r="V99" i="11"/>
  <c r="V100" i="11" s="1"/>
  <c r="V101" i="11"/>
  <c r="V102" i="11"/>
  <c r="V103" i="11"/>
  <c r="AB90" i="11"/>
  <c r="AB92" i="11"/>
  <c r="AB91" i="11"/>
  <c r="J11" i="33" l="1"/>
  <c r="C107" i="37" l="1"/>
  <c r="C106" i="37"/>
  <c r="C105" i="37"/>
  <c r="C104" i="37"/>
  <c r="C103" i="37"/>
  <c r="C102" i="37"/>
  <c r="C101" i="37"/>
  <c r="H487" i="47"/>
  <c r="G487" i="47"/>
  <c r="F487" i="47"/>
  <c r="H486" i="47"/>
  <c r="G486" i="47"/>
  <c r="F486" i="47"/>
  <c r="H485" i="47"/>
  <c r="G485" i="47"/>
  <c r="F485" i="47"/>
  <c r="H484" i="47"/>
  <c r="G484" i="47"/>
  <c r="F484" i="47"/>
  <c r="H483" i="47"/>
  <c r="G483" i="47"/>
  <c r="F483" i="47"/>
  <c r="H482" i="47"/>
  <c r="G482" i="47"/>
  <c r="F482" i="47"/>
  <c r="H481" i="47"/>
  <c r="G481" i="47"/>
  <c r="F481" i="47"/>
  <c r="H480" i="47"/>
  <c r="G480" i="47"/>
  <c r="F480" i="47"/>
  <c r="H479" i="47"/>
  <c r="G479" i="47"/>
  <c r="F479" i="47"/>
  <c r="H478" i="47"/>
  <c r="G478" i="47"/>
  <c r="F478" i="47"/>
  <c r="H477" i="47"/>
  <c r="G477" i="47"/>
  <c r="F477" i="47"/>
  <c r="H476" i="47"/>
  <c r="G476" i="47"/>
  <c r="F476" i="47"/>
  <c r="H475" i="47"/>
  <c r="G475" i="47"/>
  <c r="F475" i="47"/>
  <c r="H474" i="47"/>
  <c r="G474" i="47"/>
  <c r="F474" i="47"/>
  <c r="H473" i="47"/>
  <c r="G473" i="47"/>
  <c r="F473" i="47"/>
  <c r="H472" i="47"/>
  <c r="G472" i="47"/>
  <c r="F472" i="47"/>
  <c r="H471" i="47"/>
  <c r="G471" i="47"/>
  <c r="F471" i="47"/>
  <c r="H470" i="47"/>
  <c r="G470" i="47"/>
  <c r="F470" i="47"/>
  <c r="H469" i="47"/>
  <c r="G469" i="47"/>
  <c r="F469" i="47"/>
  <c r="H468" i="47"/>
  <c r="G468" i="47"/>
  <c r="F468" i="47"/>
  <c r="H467" i="47"/>
  <c r="G467" i="47"/>
  <c r="F467" i="47"/>
  <c r="H466" i="47"/>
  <c r="G466" i="47"/>
  <c r="F466" i="47"/>
  <c r="H465" i="47"/>
  <c r="G465" i="47"/>
  <c r="F465" i="47"/>
  <c r="H464" i="47"/>
  <c r="G464" i="47"/>
  <c r="F464" i="47"/>
  <c r="H463" i="47"/>
  <c r="G463" i="47"/>
  <c r="F463" i="47"/>
  <c r="H462" i="47"/>
  <c r="G462" i="47"/>
  <c r="F462" i="47"/>
  <c r="H461" i="47"/>
  <c r="G461" i="47"/>
  <c r="F461" i="47"/>
  <c r="H460" i="47"/>
  <c r="G460" i="47"/>
  <c r="F460" i="47"/>
  <c r="H459" i="47"/>
  <c r="G459" i="47"/>
  <c r="F459" i="47"/>
  <c r="H458" i="47"/>
  <c r="G458" i="47"/>
  <c r="F458" i="47"/>
  <c r="H457" i="47"/>
  <c r="G457" i="47"/>
  <c r="F457" i="47"/>
  <c r="H456" i="47"/>
  <c r="G456" i="47"/>
  <c r="F456" i="47"/>
  <c r="H455" i="47"/>
  <c r="G455" i="47"/>
  <c r="F455" i="47"/>
  <c r="H454" i="47"/>
  <c r="G454" i="47"/>
  <c r="F454" i="47"/>
  <c r="H453" i="47"/>
  <c r="G453" i="47"/>
  <c r="F453" i="47"/>
  <c r="H452" i="47"/>
  <c r="G452" i="47"/>
  <c r="F452" i="47"/>
  <c r="H451" i="47"/>
  <c r="G451" i="47"/>
  <c r="F451" i="47"/>
  <c r="H450" i="47"/>
  <c r="G450" i="47"/>
  <c r="F450" i="47"/>
  <c r="H449" i="47"/>
  <c r="G449" i="47"/>
  <c r="F449" i="47"/>
  <c r="H448" i="47"/>
  <c r="G448" i="47"/>
  <c r="F448" i="47"/>
  <c r="H447" i="47"/>
  <c r="G447" i="47"/>
  <c r="F447" i="47"/>
  <c r="H446" i="47"/>
  <c r="G446" i="47"/>
  <c r="F446" i="47"/>
  <c r="H445" i="47"/>
  <c r="G445" i="47"/>
  <c r="F445" i="47"/>
  <c r="H444" i="47"/>
  <c r="G444" i="47"/>
  <c r="F444" i="47"/>
  <c r="H443" i="47"/>
  <c r="G443" i="47"/>
  <c r="F443" i="47"/>
  <c r="H442" i="47"/>
  <c r="G442" i="47"/>
  <c r="F442" i="47"/>
  <c r="H441" i="47"/>
  <c r="G441" i="47"/>
  <c r="F441" i="47"/>
  <c r="H440" i="47"/>
  <c r="G440" i="47"/>
  <c r="F440" i="47"/>
  <c r="H439" i="47"/>
  <c r="G439" i="47"/>
  <c r="F439" i="47"/>
  <c r="H438" i="47"/>
  <c r="G438" i="47"/>
  <c r="F438" i="47"/>
  <c r="H437" i="47"/>
  <c r="G437" i="47"/>
  <c r="F437" i="47"/>
  <c r="H436" i="47"/>
  <c r="G436" i="47"/>
  <c r="F436" i="47"/>
  <c r="H435" i="47"/>
  <c r="G435" i="47"/>
  <c r="F435" i="47"/>
  <c r="H434" i="47"/>
  <c r="G434" i="47"/>
  <c r="F434" i="47"/>
  <c r="H433" i="47"/>
  <c r="G433" i="47"/>
  <c r="F433" i="47"/>
  <c r="H432" i="47"/>
  <c r="G432" i="47"/>
  <c r="F432" i="47"/>
  <c r="H431" i="47"/>
  <c r="G431" i="47"/>
  <c r="F431" i="47"/>
  <c r="H430" i="47"/>
  <c r="G430" i="47"/>
  <c r="F430" i="47"/>
  <c r="H429" i="47"/>
  <c r="G429" i="47"/>
  <c r="F429" i="47"/>
  <c r="H428" i="47"/>
  <c r="G428" i="47"/>
  <c r="F428" i="47"/>
  <c r="H427" i="47"/>
  <c r="G427" i="47"/>
  <c r="F427" i="47"/>
  <c r="H426" i="47"/>
  <c r="G426" i="47"/>
  <c r="F426" i="47"/>
  <c r="H425" i="47"/>
  <c r="G425" i="47"/>
  <c r="F425" i="47"/>
  <c r="H424" i="47"/>
  <c r="G424" i="47"/>
  <c r="F424" i="47"/>
  <c r="H423" i="47"/>
  <c r="G423" i="47"/>
  <c r="F423" i="47"/>
  <c r="H422" i="47"/>
  <c r="G422" i="47"/>
  <c r="F422" i="47"/>
  <c r="H421" i="47"/>
  <c r="G421" i="47"/>
  <c r="F421" i="47"/>
  <c r="H420" i="47"/>
  <c r="G420" i="47"/>
  <c r="F420" i="47"/>
  <c r="H419" i="47"/>
  <c r="G419" i="47"/>
  <c r="F419" i="47"/>
  <c r="H418" i="47"/>
  <c r="G418" i="47"/>
  <c r="F418" i="47"/>
  <c r="H417" i="47"/>
  <c r="G417" i="47"/>
  <c r="F417" i="47"/>
  <c r="H416" i="47"/>
  <c r="G416" i="47"/>
  <c r="F416" i="47"/>
  <c r="H415" i="47"/>
  <c r="G415" i="47"/>
  <c r="F415" i="47"/>
  <c r="H414" i="47"/>
  <c r="G414" i="47"/>
  <c r="F414" i="47"/>
  <c r="H413" i="47"/>
  <c r="G413" i="47"/>
  <c r="F413" i="47"/>
  <c r="H412" i="47"/>
  <c r="G412" i="47"/>
  <c r="F412" i="47"/>
  <c r="H411" i="47"/>
  <c r="G411" i="47"/>
  <c r="F411" i="47"/>
  <c r="H410" i="47"/>
  <c r="G410" i="47"/>
  <c r="F410" i="47"/>
  <c r="H409" i="47"/>
  <c r="G409" i="47"/>
  <c r="F409" i="47"/>
  <c r="H408" i="47"/>
  <c r="G408" i="47"/>
  <c r="F408" i="47"/>
  <c r="H407" i="47"/>
  <c r="G407" i="47"/>
  <c r="F407" i="47"/>
  <c r="H406" i="47"/>
  <c r="G406" i="47"/>
  <c r="F406" i="47"/>
  <c r="H405" i="47"/>
  <c r="G405" i="47"/>
  <c r="F405" i="47"/>
  <c r="H404" i="47"/>
  <c r="G404" i="47"/>
  <c r="F404" i="47"/>
  <c r="H403" i="47"/>
  <c r="G403" i="47"/>
  <c r="F403" i="47"/>
  <c r="H402" i="47"/>
  <c r="G402" i="47"/>
  <c r="F402" i="47"/>
  <c r="H401" i="47"/>
  <c r="G401" i="47"/>
  <c r="F401" i="47"/>
  <c r="H400" i="47"/>
  <c r="G400" i="47"/>
  <c r="F400" i="47"/>
  <c r="H399" i="47"/>
  <c r="G399" i="47"/>
  <c r="F399" i="47"/>
  <c r="H398" i="47"/>
  <c r="G398" i="47"/>
  <c r="F398" i="47"/>
  <c r="H397" i="47"/>
  <c r="G397" i="47"/>
  <c r="F397" i="47"/>
  <c r="H396" i="47"/>
  <c r="G396" i="47"/>
  <c r="F396" i="47"/>
  <c r="H395" i="47"/>
  <c r="G395" i="47"/>
  <c r="F395" i="47"/>
  <c r="H394" i="47"/>
  <c r="G394" i="47"/>
  <c r="F394" i="47"/>
  <c r="H393" i="47"/>
  <c r="G393" i="47"/>
  <c r="F393" i="47"/>
  <c r="H392" i="47"/>
  <c r="G392" i="47"/>
  <c r="F392" i="47"/>
  <c r="H391" i="47"/>
  <c r="G391" i="47"/>
  <c r="F391" i="47"/>
  <c r="H390" i="47"/>
  <c r="G390" i="47"/>
  <c r="F390" i="47"/>
  <c r="H389" i="47"/>
  <c r="G389" i="47"/>
  <c r="F389" i="47"/>
  <c r="H388" i="47"/>
  <c r="G388" i="47"/>
  <c r="F388" i="47"/>
  <c r="H387" i="47"/>
  <c r="G387" i="47"/>
  <c r="F387" i="47"/>
  <c r="H386" i="47"/>
  <c r="G386" i="47"/>
  <c r="F386" i="47"/>
  <c r="H385" i="47"/>
  <c r="G385" i="47"/>
  <c r="F385" i="47"/>
  <c r="H384" i="47"/>
  <c r="G384" i="47"/>
  <c r="F384" i="47"/>
  <c r="H383" i="47"/>
  <c r="G383" i="47"/>
  <c r="F383" i="47"/>
  <c r="H382" i="47"/>
  <c r="G382" i="47"/>
  <c r="F382" i="47"/>
  <c r="H381" i="47"/>
  <c r="G381" i="47"/>
  <c r="F381" i="47"/>
  <c r="H380" i="47"/>
  <c r="G380" i="47"/>
  <c r="F380" i="47"/>
  <c r="H379" i="47"/>
  <c r="G379" i="47"/>
  <c r="F379" i="47"/>
  <c r="H378" i="47"/>
  <c r="G378" i="47"/>
  <c r="F378" i="47"/>
  <c r="H377" i="47"/>
  <c r="G377" i="47"/>
  <c r="F377" i="47"/>
  <c r="H376" i="47"/>
  <c r="G376" i="47"/>
  <c r="F376" i="47"/>
  <c r="H375" i="47"/>
  <c r="G375" i="47"/>
  <c r="F375" i="47"/>
  <c r="H374" i="47"/>
  <c r="G374" i="47"/>
  <c r="F374" i="47"/>
  <c r="H373" i="47"/>
  <c r="G373" i="47"/>
  <c r="F373" i="47"/>
  <c r="H372" i="47"/>
  <c r="G372" i="47"/>
  <c r="F372" i="47"/>
  <c r="H371" i="47"/>
  <c r="G371" i="47"/>
  <c r="F371" i="47"/>
  <c r="H370" i="47"/>
  <c r="G370" i="47"/>
  <c r="F370" i="47"/>
  <c r="H369" i="47"/>
  <c r="G369" i="47"/>
  <c r="F369" i="47"/>
  <c r="H368" i="47"/>
  <c r="G368" i="47"/>
  <c r="F368" i="47"/>
  <c r="H367" i="47"/>
  <c r="G367" i="47"/>
  <c r="F367" i="47"/>
  <c r="H366" i="47"/>
  <c r="G366" i="47"/>
  <c r="F366" i="47"/>
  <c r="H365" i="47"/>
  <c r="G365" i="47"/>
  <c r="F365" i="47"/>
  <c r="H364" i="47"/>
  <c r="G364" i="47"/>
  <c r="F364" i="47"/>
  <c r="H363" i="47"/>
  <c r="G363" i="47"/>
  <c r="F363" i="47"/>
  <c r="H362" i="47"/>
  <c r="G362" i="47"/>
  <c r="F362" i="47"/>
  <c r="H361" i="47"/>
  <c r="G361" i="47"/>
  <c r="F361" i="47"/>
  <c r="H360" i="47"/>
  <c r="G360" i="47"/>
  <c r="F360" i="47"/>
  <c r="H359" i="47"/>
  <c r="G359" i="47"/>
  <c r="F359" i="47"/>
  <c r="H358" i="47"/>
  <c r="G358" i="47"/>
  <c r="F358" i="47"/>
  <c r="H357" i="47"/>
  <c r="G357" i="47"/>
  <c r="F357" i="47"/>
  <c r="H356" i="47"/>
  <c r="G356" i="47"/>
  <c r="F356" i="47"/>
  <c r="H355" i="47"/>
  <c r="G355" i="47"/>
  <c r="F355" i="47"/>
  <c r="H354" i="47"/>
  <c r="G354" i="47"/>
  <c r="F354" i="47"/>
  <c r="H353" i="47"/>
  <c r="G353" i="47"/>
  <c r="F353" i="47"/>
  <c r="H352" i="47"/>
  <c r="G352" i="47"/>
  <c r="F352" i="47"/>
  <c r="H351" i="47"/>
  <c r="G351" i="47"/>
  <c r="F351" i="47"/>
  <c r="H350" i="47"/>
  <c r="G350" i="47"/>
  <c r="F350" i="47"/>
  <c r="H349" i="47"/>
  <c r="G349" i="47"/>
  <c r="F349" i="47"/>
  <c r="H348" i="47"/>
  <c r="G348" i="47"/>
  <c r="F348" i="47"/>
  <c r="H347" i="47"/>
  <c r="G347" i="47"/>
  <c r="F347" i="47"/>
  <c r="H346" i="47"/>
  <c r="G346" i="47"/>
  <c r="F346" i="47"/>
  <c r="H345" i="47"/>
  <c r="G345" i="47"/>
  <c r="F345" i="47"/>
  <c r="H344" i="47"/>
  <c r="G344" i="47"/>
  <c r="F344" i="47"/>
  <c r="H343" i="47"/>
  <c r="G343" i="47"/>
  <c r="F343" i="47"/>
  <c r="H342" i="47"/>
  <c r="G342" i="47"/>
  <c r="F342" i="47"/>
  <c r="H341" i="47"/>
  <c r="G341" i="47"/>
  <c r="F341" i="47"/>
  <c r="H340" i="47"/>
  <c r="G340" i="47"/>
  <c r="F340" i="47"/>
  <c r="H339" i="47"/>
  <c r="G339" i="47"/>
  <c r="F339" i="47"/>
  <c r="H338" i="47"/>
  <c r="G338" i="47"/>
  <c r="F338" i="47"/>
  <c r="H337" i="47"/>
  <c r="G337" i="47"/>
  <c r="F337" i="47"/>
  <c r="H336" i="47"/>
  <c r="G336" i="47"/>
  <c r="F336" i="47"/>
  <c r="H335" i="47"/>
  <c r="G335" i="47"/>
  <c r="F335" i="47"/>
  <c r="H334" i="47"/>
  <c r="G334" i="47"/>
  <c r="F334" i="47"/>
  <c r="H333" i="47"/>
  <c r="G333" i="47"/>
  <c r="F333" i="47"/>
  <c r="H332" i="47"/>
  <c r="G332" i="47"/>
  <c r="F332" i="47"/>
  <c r="H331" i="47"/>
  <c r="G331" i="47"/>
  <c r="F331" i="47"/>
  <c r="H330" i="47"/>
  <c r="G330" i="47"/>
  <c r="F330" i="47"/>
  <c r="H329" i="47"/>
  <c r="G329" i="47"/>
  <c r="F329" i="47"/>
  <c r="H328" i="47"/>
  <c r="G328" i="47"/>
  <c r="F328" i="47"/>
  <c r="H327" i="47"/>
  <c r="G327" i="47"/>
  <c r="F327" i="47"/>
  <c r="H326" i="47"/>
  <c r="G326" i="47"/>
  <c r="F326" i="47"/>
  <c r="H325" i="47"/>
  <c r="G325" i="47"/>
  <c r="F325" i="47"/>
  <c r="H324" i="47"/>
  <c r="G324" i="47"/>
  <c r="F324" i="47"/>
  <c r="H323" i="47"/>
  <c r="G323" i="47"/>
  <c r="F323" i="47"/>
  <c r="H322" i="47"/>
  <c r="G322" i="47"/>
  <c r="F322" i="47"/>
  <c r="H321" i="47"/>
  <c r="G321" i="47"/>
  <c r="F321" i="47"/>
  <c r="H320" i="47"/>
  <c r="G320" i="47"/>
  <c r="F320" i="47"/>
  <c r="H319" i="47"/>
  <c r="G319" i="47"/>
  <c r="F319" i="47"/>
  <c r="H318" i="47"/>
  <c r="G318" i="47"/>
  <c r="F318" i="47"/>
  <c r="H317" i="47"/>
  <c r="G317" i="47"/>
  <c r="F317" i="47"/>
  <c r="H316" i="47"/>
  <c r="G316" i="47"/>
  <c r="F316" i="47"/>
  <c r="H315" i="47"/>
  <c r="G315" i="47"/>
  <c r="F315" i="47"/>
  <c r="H314" i="47"/>
  <c r="G314" i="47"/>
  <c r="F314" i="47"/>
  <c r="H313" i="47"/>
  <c r="G313" i="47"/>
  <c r="F313" i="47"/>
  <c r="H312" i="47"/>
  <c r="G312" i="47"/>
  <c r="F312" i="47"/>
  <c r="H311" i="47"/>
  <c r="G311" i="47"/>
  <c r="F311" i="47"/>
  <c r="H310" i="47"/>
  <c r="G310" i="47"/>
  <c r="F310" i="47"/>
  <c r="H309" i="47"/>
  <c r="G309" i="47"/>
  <c r="F309" i="47"/>
  <c r="H308" i="47"/>
  <c r="G308" i="47"/>
  <c r="F308" i="47"/>
  <c r="H307" i="47"/>
  <c r="G307" i="47"/>
  <c r="F307" i="47"/>
  <c r="H306" i="47"/>
  <c r="G306" i="47"/>
  <c r="F306" i="47"/>
  <c r="H305" i="47"/>
  <c r="G305" i="47"/>
  <c r="F305" i="47"/>
  <c r="H304" i="47"/>
  <c r="G304" i="47"/>
  <c r="F304" i="47"/>
  <c r="H303" i="47"/>
  <c r="G303" i="47"/>
  <c r="F303" i="47"/>
  <c r="H302" i="47"/>
  <c r="G302" i="47"/>
  <c r="F302" i="47"/>
  <c r="H301" i="47"/>
  <c r="G301" i="47"/>
  <c r="F301" i="47"/>
  <c r="H300" i="47"/>
  <c r="G300" i="47"/>
  <c r="F300" i="47"/>
  <c r="H299" i="47"/>
  <c r="G299" i="47"/>
  <c r="F299" i="47"/>
  <c r="H298" i="47"/>
  <c r="G298" i="47"/>
  <c r="F298" i="47"/>
  <c r="H297" i="47"/>
  <c r="G297" i="47"/>
  <c r="F297" i="47"/>
  <c r="H296" i="47"/>
  <c r="G296" i="47"/>
  <c r="F296" i="47"/>
  <c r="H295" i="47"/>
  <c r="G295" i="47"/>
  <c r="F295" i="47"/>
  <c r="H294" i="47"/>
  <c r="G294" i="47"/>
  <c r="F294" i="47"/>
  <c r="H293" i="47"/>
  <c r="G293" i="47"/>
  <c r="F293" i="47"/>
  <c r="H292" i="47"/>
  <c r="G292" i="47"/>
  <c r="F292" i="47"/>
  <c r="H291" i="47"/>
  <c r="G291" i="47"/>
  <c r="F291" i="47"/>
  <c r="H290" i="47"/>
  <c r="G290" i="47"/>
  <c r="F290" i="47"/>
  <c r="H289" i="47"/>
  <c r="G289" i="47"/>
  <c r="F289" i="47"/>
  <c r="H288" i="47"/>
  <c r="G288" i="47"/>
  <c r="F288" i="47"/>
  <c r="H287" i="47"/>
  <c r="G287" i="47"/>
  <c r="F287" i="47"/>
  <c r="H286" i="47"/>
  <c r="G286" i="47"/>
  <c r="F286" i="47"/>
  <c r="H285" i="47"/>
  <c r="G285" i="47"/>
  <c r="F285" i="47"/>
  <c r="H284" i="47"/>
  <c r="G284" i="47"/>
  <c r="F284" i="47"/>
  <c r="H283" i="47"/>
  <c r="G283" i="47"/>
  <c r="F283" i="47"/>
  <c r="H282" i="47"/>
  <c r="G282" i="47"/>
  <c r="F282" i="47"/>
  <c r="H281" i="47"/>
  <c r="G281" i="47"/>
  <c r="F281" i="47"/>
  <c r="H280" i="47"/>
  <c r="G280" i="47"/>
  <c r="F280" i="47"/>
  <c r="H279" i="47"/>
  <c r="G279" i="47"/>
  <c r="F279" i="47"/>
  <c r="H278" i="47"/>
  <c r="G278" i="47"/>
  <c r="F278" i="47"/>
  <c r="H277" i="47"/>
  <c r="G277" i="47"/>
  <c r="F277" i="47"/>
  <c r="H276" i="47"/>
  <c r="G276" i="47"/>
  <c r="F276" i="47"/>
  <c r="H275" i="47"/>
  <c r="G275" i="47"/>
  <c r="F275" i="47"/>
  <c r="H274" i="47"/>
  <c r="G274" i="47"/>
  <c r="F274" i="47"/>
  <c r="H273" i="47"/>
  <c r="G273" i="47"/>
  <c r="F273" i="47"/>
  <c r="H272" i="47"/>
  <c r="G272" i="47"/>
  <c r="F272" i="47"/>
  <c r="H271" i="47"/>
  <c r="G271" i="47"/>
  <c r="F271" i="47"/>
  <c r="H270" i="47"/>
  <c r="G270" i="47"/>
  <c r="F270" i="47"/>
  <c r="H269" i="47"/>
  <c r="G269" i="47"/>
  <c r="F269" i="47"/>
  <c r="H268" i="47"/>
  <c r="G268" i="47"/>
  <c r="F268" i="47"/>
  <c r="H267" i="47"/>
  <c r="G267" i="47"/>
  <c r="F267" i="47"/>
  <c r="H266" i="47"/>
  <c r="G266" i="47"/>
  <c r="F266" i="47"/>
  <c r="H265" i="47"/>
  <c r="G265" i="47"/>
  <c r="F265" i="47"/>
  <c r="H264" i="47"/>
  <c r="G264" i="47"/>
  <c r="F264" i="47"/>
  <c r="H263" i="47"/>
  <c r="G263" i="47"/>
  <c r="F263" i="47"/>
  <c r="H262" i="47"/>
  <c r="G262" i="47"/>
  <c r="F262" i="47"/>
  <c r="H261" i="47"/>
  <c r="G261" i="47"/>
  <c r="F261" i="47"/>
  <c r="H260" i="47"/>
  <c r="G260" i="47"/>
  <c r="F260" i="47"/>
  <c r="H259" i="47"/>
  <c r="G259" i="47"/>
  <c r="F259" i="47"/>
  <c r="H258" i="47"/>
  <c r="G258" i="47"/>
  <c r="F258" i="47"/>
  <c r="H257" i="47"/>
  <c r="G257" i="47"/>
  <c r="F257" i="47"/>
  <c r="H256" i="47"/>
  <c r="G256" i="47"/>
  <c r="F256" i="47"/>
  <c r="H255" i="47"/>
  <c r="G255" i="47"/>
  <c r="F255" i="47"/>
  <c r="H254" i="47"/>
  <c r="G254" i="47"/>
  <c r="F254" i="47"/>
  <c r="H253" i="47"/>
  <c r="G253" i="47"/>
  <c r="F253" i="47"/>
  <c r="H252" i="47"/>
  <c r="G252" i="47"/>
  <c r="F252" i="47"/>
  <c r="H251" i="47"/>
  <c r="G251" i="47"/>
  <c r="F251" i="47"/>
  <c r="H250" i="47"/>
  <c r="G250" i="47"/>
  <c r="F250" i="47"/>
  <c r="H249" i="47"/>
  <c r="G249" i="47"/>
  <c r="F249" i="47"/>
  <c r="H248" i="47"/>
  <c r="G248" i="47"/>
  <c r="F248" i="47"/>
  <c r="H247" i="47"/>
  <c r="G247" i="47"/>
  <c r="F247" i="47"/>
  <c r="H246" i="47"/>
  <c r="G246" i="47"/>
  <c r="F246" i="47"/>
  <c r="H245" i="47"/>
  <c r="G245" i="47"/>
  <c r="F245" i="47"/>
  <c r="H244" i="47"/>
  <c r="G244" i="47"/>
  <c r="F244" i="47"/>
  <c r="H243" i="47"/>
  <c r="G243" i="47"/>
  <c r="F243" i="47"/>
  <c r="H242" i="47"/>
  <c r="G242" i="47"/>
  <c r="F242" i="47"/>
  <c r="H241" i="47"/>
  <c r="G241" i="47"/>
  <c r="F241" i="47"/>
  <c r="H240" i="47"/>
  <c r="G240" i="47"/>
  <c r="F240" i="47"/>
  <c r="H239" i="47"/>
  <c r="G239" i="47"/>
  <c r="F239" i="47"/>
  <c r="H238" i="47"/>
  <c r="G238" i="47"/>
  <c r="F238" i="47"/>
  <c r="H237" i="47"/>
  <c r="G237" i="47"/>
  <c r="F237" i="47"/>
  <c r="H236" i="47"/>
  <c r="G236" i="47"/>
  <c r="F236" i="47"/>
  <c r="H235" i="47"/>
  <c r="G235" i="47"/>
  <c r="F235" i="47"/>
  <c r="H234" i="47"/>
  <c r="G234" i="47"/>
  <c r="F234" i="47"/>
  <c r="H233" i="47"/>
  <c r="G233" i="47"/>
  <c r="F233" i="47"/>
  <c r="H232" i="47"/>
  <c r="G232" i="47"/>
  <c r="F232" i="47"/>
  <c r="H231" i="47"/>
  <c r="G231" i="47"/>
  <c r="F231" i="47"/>
  <c r="H230" i="47"/>
  <c r="G230" i="47"/>
  <c r="F230" i="47"/>
  <c r="H229" i="47"/>
  <c r="G229" i="47"/>
  <c r="F229" i="47"/>
  <c r="H228" i="47"/>
  <c r="G228" i="47"/>
  <c r="F228" i="47"/>
  <c r="H227" i="47"/>
  <c r="G227" i="47"/>
  <c r="F227" i="47"/>
  <c r="H226" i="47"/>
  <c r="G226" i="47"/>
  <c r="F226" i="47"/>
  <c r="H225" i="47"/>
  <c r="G225" i="47"/>
  <c r="F225" i="47"/>
  <c r="H224" i="47"/>
  <c r="G224" i="47"/>
  <c r="F224" i="47"/>
  <c r="H223" i="47"/>
  <c r="G223" i="47"/>
  <c r="F223" i="47"/>
  <c r="H222" i="47"/>
  <c r="G222" i="47"/>
  <c r="F222" i="47"/>
  <c r="H221" i="47"/>
  <c r="G221" i="47"/>
  <c r="F221" i="47"/>
  <c r="H220" i="47"/>
  <c r="G220" i="47"/>
  <c r="F220" i="47"/>
  <c r="H219" i="47"/>
  <c r="G219" i="47"/>
  <c r="F219" i="47"/>
  <c r="H218" i="47"/>
  <c r="G218" i="47"/>
  <c r="F218" i="47"/>
  <c r="H217" i="47"/>
  <c r="G217" i="47"/>
  <c r="F217" i="47"/>
  <c r="H216" i="47"/>
  <c r="G216" i="47"/>
  <c r="F216" i="47"/>
  <c r="H215" i="47"/>
  <c r="G215" i="47"/>
  <c r="F215" i="47"/>
  <c r="H214" i="47"/>
  <c r="G214" i="47"/>
  <c r="F214" i="47"/>
  <c r="H213" i="47"/>
  <c r="G213" i="47"/>
  <c r="F213" i="47"/>
  <c r="H212" i="47"/>
  <c r="G212" i="47"/>
  <c r="F212" i="47"/>
  <c r="H211" i="47"/>
  <c r="G211" i="47"/>
  <c r="F211" i="47"/>
  <c r="H210" i="47"/>
  <c r="G210" i="47"/>
  <c r="F210" i="47"/>
  <c r="H209" i="47"/>
  <c r="G209" i="47"/>
  <c r="F209" i="47"/>
  <c r="H208" i="47"/>
  <c r="G208" i="47"/>
  <c r="F208" i="47"/>
  <c r="H207" i="47"/>
  <c r="G207" i="47"/>
  <c r="F207" i="47"/>
  <c r="H206" i="47"/>
  <c r="G206" i="47"/>
  <c r="F206" i="47"/>
  <c r="H205" i="47"/>
  <c r="G205" i="47"/>
  <c r="F205" i="47"/>
  <c r="H204" i="47"/>
  <c r="G204" i="47"/>
  <c r="F204" i="47"/>
  <c r="H203" i="47"/>
  <c r="G203" i="47"/>
  <c r="F203" i="47"/>
  <c r="H202" i="47"/>
  <c r="G202" i="47"/>
  <c r="F202" i="47"/>
  <c r="H201" i="47"/>
  <c r="G201" i="47"/>
  <c r="F201" i="47"/>
  <c r="H200" i="47"/>
  <c r="G200" i="47"/>
  <c r="F200" i="47"/>
  <c r="H199" i="47"/>
  <c r="G199" i="47"/>
  <c r="F199" i="47"/>
  <c r="H198" i="47"/>
  <c r="G198" i="47"/>
  <c r="F198" i="47"/>
  <c r="H197" i="47"/>
  <c r="G197" i="47"/>
  <c r="F197" i="47"/>
  <c r="H196" i="47"/>
  <c r="G196" i="47"/>
  <c r="F196" i="47"/>
  <c r="H195" i="47"/>
  <c r="G195" i="47"/>
  <c r="F195" i="47"/>
  <c r="H194" i="47"/>
  <c r="G194" i="47"/>
  <c r="F194" i="47"/>
  <c r="H193" i="47"/>
  <c r="G193" i="47"/>
  <c r="F193" i="47"/>
  <c r="H192" i="47"/>
  <c r="G192" i="47"/>
  <c r="F192" i="47"/>
  <c r="H191" i="47"/>
  <c r="G191" i="47"/>
  <c r="F191" i="47"/>
  <c r="H190" i="47"/>
  <c r="G190" i="47"/>
  <c r="F190" i="47"/>
  <c r="H189" i="47"/>
  <c r="G189" i="47"/>
  <c r="F189" i="47"/>
  <c r="H188" i="47"/>
  <c r="G188" i="47"/>
  <c r="F188" i="47"/>
  <c r="H187" i="47"/>
  <c r="G187" i="47"/>
  <c r="F187" i="47"/>
  <c r="H186" i="47"/>
  <c r="G186" i="47"/>
  <c r="F186" i="47"/>
  <c r="H185" i="47"/>
  <c r="G185" i="47"/>
  <c r="F185" i="47"/>
  <c r="H184" i="47"/>
  <c r="G184" i="47"/>
  <c r="F184" i="47"/>
  <c r="H183" i="47"/>
  <c r="G183" i="47"/>
  <c r="F183" i="47"/>
  <c r="H182" i="47"/>
  <c r="G182" i="47"/>
  <c r="F182" i="47"/>
  <c r="H181" i="47"/>
  <c r="G181" i="47"/>
  <c r="F181" i="47"/>
  <c r="H180" i="47"/>
  <c r="G180" i="47"/>
  <c r="F180" i="47"/>
  <c r="H179" i="47"/>
  <c r="G179" i="47"/>
  <c r="F179" i="47"/>
  <c r="H178" i="47"/>
  <c r="G178" i="47"/>
  <c r="F178" i="47"/>
  <c r="H177" i="47"/>
  <c r="G177" i="47"/>
  <c r="F177" i="47"/>
  <c r="H176" i="47"/>
  <c r="G176" i="47"/>
  <c r="F176" i="47"/>
  <c r="H175" i="47"/>
  <c r="G175" i="47"/>
  <c r="F175" i="47"/>
  <c r="H174" i="47"/>
  <c r="G174" i="47"/>
  <c r="F174" i="47"/>
  <c r="H173" i="47"/>
  <c r="G173" i="47"/>
  <c r="F173" i="47"/>
  <c r="H172" i="47"/>
  <c r="G172" i="47"/>
  <c r="F172" i="47"/>
  <c r="H171" i="47"/>
  <c r="G171" i="47"/>
  <c r="F171" i="47"/>
  <c r="H170" i="47"/>
  <c r="G170" i="47"/>
  <c r="F170" i="47"/>
  <c r="H169" i="47"/>
  <c r="G169" i="47"/>
  <c r="F169" i="47"/>
  <c r="H168" i="47"/>
  <c r="G168" i="47"/>
  <c r="F168" i="47"/>
  <c r="H167" i="47"/>
  <c r="G167" i="47"/>
  <c r="F167" i="47"/>
  <c r="H166" i="47"/>
  <c r="G166" i="47"/>
  <c r="F166" i="47"/>
  <c r="H165" i="47"/>
  <c r="G165" i="47"/>
  <c r="F165" i="47"/>
  <c r="H164" i="47"/>
  <c r="G164" i="47"/>
  <c r="F164" i="47"/>
  <c r="H163" i="47"/>
  <c r="G163" i="47"/>
  <c r="F163" i="47"/>
  <c r="H162" i="47"/>
  <c r="G162" i="47"/>
  <c r="F162" i="47"/>
  <c r="H161" i="47"/>
  <c r="G161" i="47"/>
  <c r="F161" i="47"/>
  <c r="H160" i="47"/>
  <c r="G160" i="47"/>
  <c r="F160" i="47"/>
  <c r="H159" i="47"/>
  <c r="G159" i="47"/>
  <c r="F159" i="47"/>
  <c r="H158" i="47"/>
  <c r="G158" i="47"/>
  <c r="F158" i="47"/>
  <c r="H157" i="47"/>
  <c r="G157" i="47"/>
  <c r="F157" i="47"/>
  <c r="H156" i="47"/>
  <c r="G156" i="47"/>
  <c r="F156" i="47"/>
  <c r="H155" i="47"/>
  <c r="G155" i="47"/>
  <c r="F155" i="47"/>
  <c r="H154" i="47"/>
  <c r="G154" i="47"/>
  <c r="F154" i="47"/>
  <c r="H153" i="47"/>
  <c r="G153" i="47"/>
  <c r="F153" i="47"/>
  <c r="H152" i="47"/>
  <c r="G152" i="47"/>
  <c r="F152" i="47"/>
  <c r="H151" i="47"/>
  <c r="G151" i="47"/>
  <c r="F151" i="47"/>
  <c r="H150" i="47"/>
  <c r="G150" i="47"/>
  <c r="F150" i="47"/>
  <c r="H149" i="47"/>
  <c r="G149" i="47"/>
  <c r="F149" i="47"/>
  <c r="H148" i="47"/>
  <c r="G148" i="47"/>
  <c r="F148" i="47"/>
  <c r="H147" i="47"/>
  <c r="G147" i="47"/>
  <c r="F147" i="47"/>
  <c r="H146" i="47"/>
  <c r="G146" i="47"/>
  <c r="F146" i="47"/>
  <c r="H145" i="47"/>
  <c r="G145" i="47"/>
  <c r="F145" i="47"/>
  <c r="H144" i="47"/>
  <c r="G144" i="47"/>
  <c r="F144" i="47"/>
  <c r="H143" i="47"/>
  <c r="G143" i="47"/>
  <c r="F143" i="47"/>
  <c r="H142" i="47"/>
  <c r="G142" i="47"/>
  <c r="F142" i="47"/>
  <c r="H141" i="47"/>
  <c r="G141" i="47"/>
  <c r="F141" i="47"/>
  <c r="H140" i="47"/>
  <c r="G140" i="47"/>
  <c r="F140" i="47"/>
  <c r="H139" i="47"/>
  <c r="G139" i="47"/>
  <c r="F139" i="47"/>
  <c r="H138" i="47"/>
  <c r="G138" i="47"/>
  <c r="F138" i="47"/>
  <c r="H137" i="47"/>
  <c r="G137" i="47"/>
  <c r="F137" i="47"/>
  <c r="H136" i="47"/>
  <c r="G136" i="47"/>
  <c r="F136" i="47"/>
  <c r="H135" i="47"/>
  <c r="G135" i="47"/>
  <c r="F135" i="47"/>
  <c r="H134" i="47"/>
  <c r="G134" i="47"/>
  <c r="F134" i="47"/>
  <c r="H133" i="47"/>
  <c r="G133" i="47"/>
  <c r="F133" i="47"/>
  <c r="H132" i="47"/>
  <c r="G132" i="47"/>
  <c r="F132" i="47"/>
  <c r="H131" i="47"/>
  <c r="G131" i="47"/>
  <c r="F131" i="47"/>
  <c r="H130" i="47"/>
  <c r="G130" i="47"/>
  <c r="F130" i="47"/>
  <c r="H129" i="47"/>
  <c r="G129" i="47"/>
  <c r="F129" i="47"/>
  <c r="H128" i="47"/>
  <c r="G128" i="47"/>
  <c r="F128" i="47"/>
  <c r="H127" i="47"/>
  <c r="G127" i="47"/>
  <c r="F127" i="47"/>
  <c r="H126" i="47"/>
  <c r="G126" i="47"/>
  <c r="F126" i="47"/>
  <c r="H125" i="47"/>
  <c r="G125" i="47"/>
  <c r="F125" i="47"/>
  <c r="H124" i="47"/>
  <c r="G124" i="47"/>
  <c r="F124" i="47"/>
  <c r="H123" i="47"/>
  <c r="G123" i="47"/>
  <c r="F123" i="47"/>
  <c r="H122" i="47"/>
  <c r="G122" i="47"/>
  <c r="F122" i="47"/>
  <c r="H121" i="47"/>
  <c r="G121" i="47"/>
  <c r="F121" i="47"/>
  <c r="H120" i="47"/>
  <c r="G120" i="47"/>
  <c r="F120" i="47"/>
  <c r="H119" i="47"/>
  <c r="G119" i="47"/>
  <c r="F119" i="47"/>
  <c r="H118" i="47"/>
  <c r="G118" i="47"/>
  <c r="F118" i="47"/>
  <c r="H117" i="47"/>
  <c r="G117" i="47"/>
  <c r="F117" i="47"/>
  <c r="H116" i="47"/>
  <c r="G116" i="47"/>
  <c r="F116" i="47"/>
  <c r="H115" i="47"/>
  <c r="G115" i="47"/>
  <c r="F115" i="47"/>
  <c r="H114" i="47"/>
  <c r="G114" i="47"/>
  <c r="F114" i="47"/>
  <c r="H113" i="47"/>
  <c r="G113" i="47"/>
  <c r="F113" i="47"/>
  <c r="H112" i="47"/>
  <c r="G112" i="47"/>
  <c r="F112" i="47"/>
  <c r="H111" i="47"/>
  <c r="G111" i="47"/>
  <c r="F111" i="47"/>
  <c r="H110" i="47"/>
  <c r="G110" i="47"/>
  <c r="F110" i="47"/>
  <c r="H109" i="47"/>
  <c r="G109" i="47"/>
  <c r="F109" i="47"/>
  <c r="H108" i="47"/>
  <c r="G108" i="47"/>
  <c r="F108" i="47"/>
  <c r="H107" i="47"/>
  <c r="G107" i="47"/>
  <c r="F107" i="47"/>
  <c r="H106" i="47"/>
  <c r="G106" i="47"/>
  <c r="F106" i="47"/>
  <c r="H105" i="47"/>
  <c r="G105" i="47"/>
  <c r="F105" i="47"/>
  <c r="H104" i="47"/>
  <c r="G104" i="47"/>
  <c r="F104" i="47"/>
  <c r="H103" i="47"/>
  <c r="G103" i="47"/>
  <c r="F103" i="47"/>
  <c r="H102" i="47"/>
  <c r="G102" i="47"/>
  <c r="F102" i="47"/>
  <c r="H101" i="47"/>
  <c r="G101" i="47"/>
  <c r="F101" i="47"/>
  <c r="H100" i="47"/>
  <c r="G100" i="47"/>
  <c r="F100" i="47"/>
  <c r="H99" i="47"/>
  <c r="G99" i="47"/>
  <c r="F99" i="47"/>
  <c r="H98" i="47"/>
  <c r="G98" i="47"/>
  <c r="F98" i="47"/>
  <c r="H97" i="47"/>
  <c r="G97" i="47"/>
  <c r="F97" i="47"/>
  <c r="H96" i="47"/>
  <c r="G96" i="47"/>
  <c r="F96" i="47"/>
  <c r="H95" i="47"/>
  <c r="G95" i="47"/>
  <c r="F95" i="47"/>
  <c r="H94" i="47"/>
  <c r="G94" i="47"/>
  <c r="F94" i="47"/>
  <c r="H93" i="47"/>
  <c r="G93" i="47"/>
  <c r="F93" i="47"/>
  <c r="H92" i="47"/>
  <c r="G92" i="47"/>
  <c r="F92" i="47"/>
  <c r="H91" i="47"/>
  <c r="G91" i="47"/>
  <c r="F91" i="47"/>
  <c r="H90" i="47"/>
  <c r="G90" i="47"/>
  <c r="F90" i="47"/>
  <c r="H89" i="47"/>
  <c r="G89" i="47"/>
  <c r="F89" i="47"/>
  <c r="H88" i="47"/>
  <c r="G88" i="47"/>
  <c r="F88" i="47"/>
  <c r="H87" i="47"/>
  <c r="G87" i="47"/>
  <c r="F87" i="47"/>
  <c r="H86" i="47"/>
  <c r="G86" i="47"/>
  <c r="F86" i="47"/>
  <c r="H85" i="47"/>
  <c r="G85" i="47"/>
  <c r="F85" i="47"/>
  <c r="H84" i="47"/>
  <c r="G84" i="47"/>
  <c r="F84" i="47"/>
  <c r="H83" i="47"/>
  <c r="G83" i="47"/>
  <c r="F83" i="47"/>
  <c r="H82" i="47"/>
  <c r="G82" i="47"/>
  <c r="F82" i="47"/>
  <c r="H81" i="47"/>
  <c r="G81" i="47"/>
  <c r="F81" i="47"/>
  <c r="H80" i="47"/>
  <c r="G80" i="47"/>
  <c r="F80" i="47"/>
  <c r="H79" i="47"/>
  <c r="G79" i="47"/>
  <c r="F79" i="47"/>
  <c r="H78" i="47"/>
  <c r="G78" i="47"/>
  <c r="F78" i="47"/>
  <c r="H77" i="47"/>
  <c r="G77" i="47"/>
  <c r="F77" i="47"/>
  <c r="H76" i="47"/>
  <c r="G76" i="47"/>
  <c r="F76" i="47"/>
  <c r="H75" i="47"/>
  <c r="G75" i="47"/>
  <c r="F75" i="47"/>
  <c r="H74" i="47"/>
  <c r="G74" i="47"/>
  <c r="F74" i="47"/>
  <c r="H73" i="47"/>
  <c r="G73" i="47"/>
  <c r="F73" i="47"/>
  <c r="H72" i="47"/>
  <c r="G72" i="47"/>
  <c r="F72" i="47"/>
  <c r="H71" i="47"/>
  <c r="G71" i="47"/>
  <c r="F71" i="47"/>
  <c r="H70" i="47"/>
  <c r="G70" i="47"/>
  <c r="F70" i="47"/>
  <c r="H69" i="47"/>
  <c r="G69" i="47"/>
  <c r="F69" i="47"/>
  <c r="H68" i="47"/>
  <c r="G68" i="47"/>
  <c r="F68" i="47"/>
  <c r="H67" i="47"/>
  <c r="G67" i="47"/>
  <c r="F67" i="47"/>
  <c r="H66" i="47"/>
  <c r="G66" i="47"/>
  <c r="F66" i="47"/>
  <c r="H65" i="47"/>
  <c r="G65" i="47"/>
  <c r="F65" i="47"/>
  <c r="H64" i="47"/>
  <c r="G64" i="47"/>
  <c r="F64" i="47"/>
  <c r="H63" i="47"/>
  <c r="G63" i="47"/>
  <c r="F63" i="47"/>
  <c r="H62" i="47"/>
  <c r="G62" i="47"/>
  <c r="F62" i="47"/>
  <c r="H61" i="47"/>
  <c r="G61" i="47"/>
  <c r="F61" i="47"/>
  <c r="H60" i="47"/>
  <c r="G60" i="47"/>
  <c r="F60" i="47"/>
  <c r="H59" i="47"/>
  <c r="G59" i="47"/>
  <c r="F59" i="47"/>
  <c r="H58" i="47"/>
  <c r="G58" i="47"/>
  <c r="F58" i="47"/>
  <c r="H57" i="47"/>
  <c r="G57" i="47"/>
  <c r="F57" i="47"/>
  <c r="H56" i="47"/>
  <c r="G56" i="47"/>
  <c r="F56" i="47"/>
  <c r="H55" i="47"/>
  <c r="G55" i="47"/>
  <c r="F55" i="47"/>
  <c r="H54" i="47"/>
  <c r="G54" i="47"/>
  <c r="F54" i="47"/>
  <c r="H53" i="47"/>
  <c r="G53" i="47"/>
  <c r="F53" i="47"/>
  <c r="H52" i="47"/>
  <c r="G52" i="47"/>
  <c r="F52" i="47"/>
  <c r="H51" i="47"/>
  <c r="G51" i="47"/>
  <c r="F51" i="47"/>
  <c r="H50" i="47"/>
  <c r="G50" i="47"/>
  <c r="F50" i="47"/>
  <c r="H49" i="47"/>
  <c r="G49" i="47"/>
  <c r="F49" i="47"/>
  <c r="H48" i="47"/>
  <c r="G48" i="47"/>
  <c r="F48" i="47"/>
  <c r="H47" i="47"/>
  <c r="G47" i="47"/>
  <c r="F47" i="47"/>
  <c r="H46" i="47"/>
  <c r="G46" i="47"/>
  <c r="F46" i="47"/>
  <c r="H45" i="47"/>
  <c r="G45" i="47"/>
  <c r="F45" i="47"/>
  <c r="H44" i="47"/>
  <c r="G44" i="47"/>
  <c r="F44" i="47"/>
  <c r="H43" i="47"/>
  <c r="G43" i="47"/>
  <c r="F43" i="47"/>
  <c r="H42" i="47"/>
  <c r="G42" i="47"/>
  <c r="F42" i="47"/>
  <c r="H41" i="47"/>
  <c r="G41" i="47"/>
  <c r="F41" i="47"/>
  <c r="H40" i="47"/>
  <c r="G40" i="47"/>
  <c r="F40" i="47"/>
  <c r="H39" i="47"/>
  <c r="G39" i="47"/>
  <c r="F39" i="47"/>
  <c r="H38" i="47"/>
  <c r="G38" i="47"/>
  <c r="F38" i="47"/>
  <c r="H37" i="47"/>
  <c r="G37" i="47"/>
  <c r="F37" i="47"/>
  <c r="H36" i="47"/>
  <c r="G36" i="47"/>
  <c r="F36" i="47"/>
  <c r="H35" i="47"/>
  <c r="G35" i="47"/>
  <c r="F35" i="47"/>
  <c r="H34" i="47"/>
  <c r="G34" i="47"/>
  <c r="F34" i="47"/>
  <c r="H33" i="47"/>
  <c r="G33" i="47"/>
  <c r="F33" i="47"/>
  <c r="H32" i="47"/>
  <c r="G32" i="47"/>
  <c r="F32" i="47"/>
  <c r="H31" i="47"/>
  <c r="G31" i="47"/>
  <c r="F31" i="47"/>
  <c r="H30" i="47"/>
  <c r="G30" i="47"/>
  <c r="F30" i="47"/>
  <c r="H29" i="47"/>
  <c r="G29" i="47"/>
  <c r="F29" i="47"/>
  <c r="H28" i="47"/>
  <c r="G28" i="47"/>
  <c r="F28" i="47"/>
  <c r="H27" i="47"/>
  <c r="G27" i="47"/>
  <c r="F27" i="47"/>
  <c r="H26" i="47"/>
  <c r="G26" i="47"/>
  <c r="F26" i="47"/>
  <c r="H25" i="47"/>
  <c r="G25" i="47"/>
  <c r="F25" i="47"/>
  <c r="H24" i="47"/>
  <c r="G24" i="47"/>
  <c r="F24" i="47"/>
  <c r="H23" i="47"/>
  <c r="G23" i="47"/>
  <c r="F23" i="47"/>
  <c r="H22" i="47"/>
  <c r="G22" i="47"/>
  <c r="F22" i="47"/>
  <c r="H21" i="47"/>
  <c r="G21" i="47"/>
  <c r="F21" i="47"/>
  <c r="H20" i="47"/>
  <c r="G20" i="47"/>
  <c r="F20" i="47"/>
  <c r="H19" i="47"/>
  <c r="G19" i="47"/>
  <c r="F19" i="47"/>
  <c r="H18" i="47"/>
  <c r="G18" i="47"/>
  <c r="F18" i="47"/>
  <c r="H17" i="47"/>
  <c r="G17" i="47"/>
  <c r="F17" i="47"/>
  <c r="H16" i="47"/>
  <c r="G16" i="47"/>
  <c r="F16" i="47"/>
  <c r="H15" i="47"/>
  <c r="G15" i="47"/>
  <c r="F15" i="47"/>
  <c r="H14" i="47"/>
  <c r="G14" i="47"/>
  <c r="F14" i="47"/>
  <c r="H13" i="47"/>
  <c r="G13" i="47"/>
  <c r="F13" i="47"/>
  <c r="H12" i="47"/>
  <c r="G12" i="47"/>
  <c r="F12" i="47"/>
  <c r="H11" i="47"/>
  <c r="G11" i="47"/>
  <c r="F11" i="47"/>
  <c r="H10" i="47"/>
  <c r="G10" i="47"/>
  <c r="F10" i="47"/>
  <c r="H9" i="47"/>
  <c r="G9" i="47"/>
  <c r="F9" i="47"/>
  <c r="H8" i="47"/>
  <c r="G8" i="47"/>
  <c r="F8" i="47"/>
  <c r="H7" i="47"/>
  <c r="G7" i="47"/>
  <c r="F7" i="47"/>
  <c r="K6" i="47"/>
  <c r="H6" i="47"/>
  <c r="G6" i="47"/>
  <c r="F6" i="47"/>
  <c r="H5" i="47"/>
  <c r="K8" i="47" s="1"/>
  <c r="K12" i="47" s="1"/>
  <c r="K16" i="47" s="1"/>
  <c r="G5" i="47"/>
  <c r="F5" i="47"/>
  <c r="H4" i="47"/>
  <c r="G4" i="47"/>
  <c r="K7" i="47" s="1"/>
  <c r="K11" i="47" s="1"/>
  <c r="K15" i="47" s="1"/>
  <c r="F4" i="47"/>
  <c r="C2" i="3" l="1"/>
  <c r="D2" i="3" s="1"/>
  <c r="E2" i="3" s="1"/>
  <c r="CU488" i="43" l="1"/>
  <c r="CU487" i="43"/>
  <c r="CU486" i="43"/>
  <c r="CU485" i="43"/>
  <c r="CU484" i="43"/>
  <c r="CU483" i="43"/>
  <c r="CU482" i="43"/>
  <c r="CU481" i="43"/>
  <c r="CU480" i="43"/>
  <c r="CU479" i="43"/>
  <c r="CU478" i="43"/>
  <c r="CU477" i="43"/>
  <c r="CU476" i="43"/>
  <c r="CU475" i="43"/>
  <c r="CU474" i="43"/>
  <c r="CU473" i="43"/>
  <c r="CU472" i="43"/>
  <c r="CU471" i="43"/>
  <c r="CU470" i="43"/>
  <c r="CU469" i="43"/>
  <c r="CU468" i="43"/>
  <c r="CU467" i="43"/>
  <c r="CU466" i="43"/>
  <c r="CU465" i="43"/>
  <c r="CU464" i="43"/>
  <c r="CU463" i="43"/>
  <c r="CU462" i="43"/>
  <c r="CU461" i="43"/>
  <c r="CU460" i="43"/>
  <c r="CU459" i="43"/>
  <c r="CU458" i="43"/>
  <c r="CU457" i="43"/>
  <c r="CU456" i="43"/>
  <c r="CU455" i="43"/>
  <c r="CU454" i="43"/>
  <c r="CU453" i="43"/>
  <c r="CU452" i="43"/>
  <c r="CU451" i="43"/>
  <c r="CU450" i="43"/>
  <c r="CU449" i="43"/>
  <c r="CU448" i="43"/>
  <c r="CU447" i="43"/>
  <c r="CU446" i="43"/>
  <c r="CU445" i="43"/>
  <c r="CU444" i="43"/>
  <c r="CU443" i="43"/>
  <c r="CU442" i="43"/>
  <c r="CU441" i="43"/>
  <c r="CU440" i="43"/>
  <c r="CU439" i="43"/>
  <c r="CU438" i="43"/>
  <c r="CU437" i="43"/>
  <c r="CU436" i="43"/>
  <c r="CU435" i="43"/>
  <c r="CU434" i="43"/>
  <c r="CU433" i="43"/>
  <c r="CU432" i="43"/>
  <c r="CU431" i="43"/>
  <c r="CU430" i="43"/>
  <c r="CU429" i="43"/>
  <c r="CU428" i="43"/>
  <c r="CU427" i="43"/>
  <c r="CU426" i="43"/>
  <c r="CU425" i="43"/>
  <c r="CU424" i="43"/>
  <c r="CU423" i="43"/>
  <c r="CU422" i="43"/>
  <c r="CU421" i="43"/>
  <c r="CU420" i="43"/>
  <c r="CU419" i="43"/>
  <c r="CU418" i="43"/>
  <c r="CU417" i="43"/>
  <c r="CU416" i="43"/>
  <c r="CU415" i="43"/>
  <c r="CU414" i="43"/>
  <c r="CU413" i="43"/>
  <c r="CU412" i="43"/>
  <c r="CU411" i="43"/>
  <c r="CU410" i="43"/>
  <c r="CU409" i="43"/>
  <c r="CU408" i="43"/>
  <c r="CU407" i="43"/>
  <c r="CU406" i="43"/>
  <c r="CU405" i="43"/>
  <c r="CU404" i="43"/>
  <c r="CU403" i="43"/>
  <c r="CU402" i="43"/>
  <c r="CU401" i="43"/>
  <c r="CU400" i="43"/>
  <c r="CU399" i="43"/>
  <c r="CU398" i="43"/>
  <c r="CU397" i="43"/>
  <c r="CU396" i="43"/>
  <c r="CU395" i="43"/>
  <c r="CU394" i="43"/>
  <c r="CU393" i="43"/>
  <c r="CU392" i="43"/>
  <c r="CU391" i="43"/>
  <c r="CU390" i="43"/>
  <c r="CU389" i="43"/>
  <c r="CU388" i="43"/>
  <c r="CU387" i="43"/>
  <c r="CU386" i="43"/>
  <c r="CU385" i="43"/>
  <c r="CU384" i="43"/>
  <c r="CU383" i="43"/>
  <c r="CU382" i="43"/>
  <c r="CU381" i="43"/>
  <c r="CU380" i="43"/>
  <c r="CU379" i="43"/>
  <c r="CU378" i="43"/>
  <c r="CU377" i="43"/>
  <c r="CU376" i="43"/>
  <c r="CU375" i="43"/>
  <c r="CU374" i="43"/>
  <c r="CU373" i="43"/>
  <c r="CU372" i="43"/>
  <c r="CU371" i="43"/>
  <c r="CU370" i="43"/>
  <c r="CU369" i="43"/>
  <c r="CU368" i="43"/>
  <c r="CU367" i="43"/>
  <c r="CU366" i="43"/>
  <c r="CU365" i="43"/>
  <c r="CU364" i="43"/>
  <c r="CU363" i="43"/>
  <c r="CU362" i="43"/>
  <c r="CU361" i="43"/>
  <c r="CU360" i="43"/>
  <c r="CU359" i="43"/>
  <c r="CU358" i="43"/>
  <c r="CU357" i="43"/>
  <c r="CU356" i="43"/>
  <c r="CU355" i="43"/>
  <c r="CU354" i="43"/>
  <c r="CU353" i="43"/>
  <c r="CU352" i="43"/>
  <c r="CU351" i="43"/>
  <c r="CU350" i="43"/>
  <c r="CU349" i="43"/>
  <c r="CU348" i="43"/>
  <c r="CU347" i="43"/>
  <c r="CU346" i="43"/>
  <c r="CU345" i="43"/>
  <c r="CU344" i="43"/>
  <c r="CU343" i="43"/>
  <c r="CU342" i="43"/>
  <c r="CU341" i="43"/>
  <c r="CU340" i="43"/>
  <c r="CU339" i="43"/>
  <c r="CU338" i="43"/>
  <c r="CU337" i="43"/>
  <c r="CU336" i="43"/>
  <c r="CU335" i="43"/>
  <c r="CU334" i="43"/>
  <c r="CU333" i="43"/>
  <c r="CU332" i="43"/>
  <c r="CU331" i="43"/>
  <c r="CU330" i="43"/>
  <c r="CU329" i="43"/>
  <c r="CU328" i="43"/>
  <c r="CU327" i="43"/>
  <c r="CU326" i="43"/>
  <c r="CU325" i="43"/>
  <c r="CU324" i="43"/>
  <c r="CU323" i="43"/>
  <c r="CU322" i="43"/>
  <c r="CU321" i="43"/>
  <c r="CU320" i="43"/>
  <c r="CU319" i="43"/>
  <c r="CU318" i="43"/>
  <c r="CU317" i="43"/>
  <c r="CU316" i="43"/>
  <c r="CU315" i="43"/>
  <c r="CU314" i="43"/>
  <c r="CU313" i="43"/>
  <c r="CU312" i="43"/>
  <c r="CU311" i="43"/>
  <c r="CU310" i="43"/>
  <c r="CU309" i="43"/>
  <c r="CU308" i="43"/>
  <c r="CU307" i="43"/>
  <c r="CU306" i="43"/>
  <c r="CU305" i="43"/>
  <c r="CU304" i="43"/>
  <c r="CU303" i="43"/>
  <c r="CU302" i="43"/>
  <c r="CU301" i="43"/>
  <c r="CU300" i="43"/>
  <c r="CU299" i="43"/>
  <c r="CU298" i="43"/>
  <c r="CU297" i="43"/>
  <c r="CU296" i="43"/>
  <c r="CU295" i="43"/>
  <c r="CU294" i="43"/>
  <c r="CU293" i="43"/>
  <c r="CU292" i="43"/>
  <c r="CU291" i="43"/>
  <c r="CU290" i="43"/>
  <c r="CU289" i="43"/>
  <c r="CU288" i="43"/>
  <c r="CU287" i="43"/>
  <c r="CU286" i="43"/>
  <c r="CU285" i="43"/>
  <c r="CU284" i="43"/>
  <c r="CU283" i="43"/>
  <c r="CU282" i="43"/>
  <c r="CU281" i="43"/>
  <c r="CU280" i="43"/>
  <c r="CU279" i="43"/>
  <c r="CU278" i="43"/>
  <c r="CU277" i="43"/>
  <c r="CU276" i="43"/>
  <c r="CU275" i="43"/>
  <c r="CU274" i="43"/>
  <c r="CU273" i="43"/>
  <c r="CU272" i="43"/>
  <c r="CU271" i="43"/>
  <c r="CU270" i="43"/>
  <c r="CU269" i="43"/>
  <c r="CU268" i="43"/>
  <c r="CU267" i="43"/>
  <c r="CU266" i="43"/>
  <c r="CU265" i="43"/>
  <c r="CU264" i="43"/>
  <c r="CU263" i="43"/>
  <c r="CU262" i="43"/>
  <c r="CU261" i="43"/>
  <c r="CU260" i="43"/>
  <c r="CU259" i="43"/>
  <c r="CU258" i="43"/>
  <c r="CU257" i="43"/>
  <c r="CU256" i="43"/>
  <c r="CU255" i="43"/>
  <c r="CU254" i="43"/>
  <c r="CU253" i="43"/>
  <c r="CU252" i="43"/>
  <c r="CU251" i="43"/>
  <c r="CU250" i="43"/>
  <c r="CU249" i="43"/>
  <c r="CU248" i="43"/>
  <c r="CU247" i="43"/>
  <c r="CU246" i="43"/>
  <c r="CU245" i="43"/>
  <c r="CU244" i="43"/>
  <c r="CU243" i="43"/>
  <c r="CU242" i="43"/>
  <c r="CU241" i="43"/>
  <c r="CU240" i="43"/>
  <c r="CU239" i="43"/>
  <c r="CU238" i="43"/>
  <c r="CU237" i="43"/>
  <c r="CU236" i="43"/>
  <c r="CU235" i="43"/>
  <c r="CU234" i="43"/>
  <c r="CU233" i="43"/>
  <c r="CU232" i="43"/>
  <c r="CU231" i="43"/>
  <c r="CU230" i="43"/>
  <c r="CU229" i="43"/>
  <c r="CU228" i="43"/>
  <c r="CU227" i="43"/>
  <c r="CU226" i="43"/>
  <c r="CU225" i="43"/>
  <c r="CU224" i="43"/>
  <c r="CU223" i="43"/>
  <c r="CU222" i="43"/>
  <c r="CU221" i="43"/>
  <c r="CU220" i="43"/>
  <c r="CU219" i="43"/>
  <c r="CU218" i="43"/>
  <c r="CU217" i="43"/>
  <c r="CU216" i="43"/>
  <c r="CU215" i="43"/>
  <c r="CU214" i="43"/>
  <c r="CU213" i="43"/>
  <c r="CU212" i="43"/>
  <c r="CU211" i="43"/>
  <c r="CU210" i="43"/>
  <c r="CU209" i="43"/>
  <c r="CU208" i="43"/>
  <c r="CU207" i="43"/>
  <c r="CU206" i="43"/>
  <c r="CU205" i="43"/>
  <c r="CU204" i="43"/>
  <c r="CU203" i="43"/>
  <c r="CU202" i="43"/>
  <c r="CU201" i="43"/>
  <c r="CU200" i="43"/>
  <c r="CU199" i="43"/>
  <c r="CU198" i="43"/>
  <c r="CU197" i="43"/>
  <c r="CU196" i="43"/>
  <c r="CU195" i="43"/>
  <c r="CU194" i="43"/>
  <c r="CU193" i="43"/>
  <c r="CU192" i="43"/>
  <c r="CU191" i="43"/>
  <c r="CU190" i="43"/>
  <c r="CU189" i="43"/>
  <c r="CU188" i="43"/>
  <c r="CU187" i="43"/>
  <c r="CU186" i="43"/>
  <c r="CU185" i="43"/>
  <c r="CU184" i="43"/>
  <c r="CU183" i="43"/>
  <c r="CU182" i="43"/>
  <c r="CU181" i="43"/>
  <c r="CU180" i="43"/>
  <c r="CU179" i="43"/>
  <c r="CU178" i="43"/>
  <c r="CU177" i="43"/>
  <c r="CU176" i="43"/>
  <c r="CU175" i="43"/>
  <c r="CU174" i="43"/>
  <c r="CU173" i="43"/>
  <c r="CU172" i="43"/>
  <c r="CU171" i="43"/>
  <c r="CU170" i="43"/>
  <c r="CU169" i="43"/>
  <c r="CU168" i="43"/>
  <c r="CU167" i="43"/>
  <c r="CU166" i="43"/>
  <c r="CU165" i="43"/>
  <c r="CU164" i="43"/>
  <c r="CU163" i="43"/>
  <c r="CU162" i="43"/>
  <c r="CU161" i="43"/>
  <c r="CU160" i="43"/>
  <c r="CU159" i="43"/>
  <c r="CU158" i="43"/>
  <c r="CU157" i="43"/>
  <c r="CU156" i="43"/>
  <c r="CU155" i="43"/>
  <c r="CU154" i="43"/>
  <c r="CU153" i="43"/>
  <c r="CU152" i="43"/>
  <c r="CU151" i="43"/>
  <c r="CU150" i="43"/>
  <c r="CU149" i="43"/>
  <c r="CU148" i="43"/>
  <c r="CU147" i="43"/>
  <c r="CU146" i="43"/>
  <c r="CU145" i="43"/>
  <c r="CU144" i="43"/>
  <c r="CU143" i="43"/>
  <c r="CU142" i="43"/>
  <c r="CU141" i="43"/>
  <c r="CU140" i="43"/>
  <c r="CU139" i="43"/>
  <c r="CU138" i="43"/>
  <c r="CU137" i="43"/>
  <c r="CU136" i="43"/>
  <c r="CU135" i="43"/>
  <c r="CU134" i="43"/>
  <c r="CU133" i="43"/>
  <c r="CU132" i="43"/>
  <c r="CU131" i="43"/>
  <c r="CU130" i="43"/>
  <c r="CU129" i="43"/>
  <c r="CU128" i="43"/>
  <c r="CU127" i="43"/>
  <c r="CU126" i="43"/>
  <c r="CU125" i="43"/>
  <c r="CU124" i="43"/>
  <c r="CU123" i="43"/>
  <c r="CU122" i="43"/>
  <c r="CU121" i="43"/>
  <c r="CU120" i="43"/>
  <c r="CU119" i="43"/>
  <c r="CU118" i="43"/>
  <c r="CU117" i="43"/>
  <c r="CU116" i="43"/>
  <c r="CU115" i="43"/>
  <c r="CU114" i="43"/>
  <c r="CU113" i="43"/>
  <c r="CU112" i="43"/>
  <c r="CU111" i="43"/>
  <c r="CU110" i="43"/>
  <c r="CU109" i="43"/>
  <c r="CU108" i="43"/>
  <c r="CU107" i="43"/>
  <c r="CU106" i="43"/>
  <c r="CU105" i="43"/>
  <c r="CU104" i="43"/>
  <c r="CU103" i="43"/>
  <c r="CU102" i="43"/>
  <c r="CU101" i="43"/>
  <c r="CU100" i="43"/>
  <c r="CU99" i="43"/>
  <c r="CU98" i="43"/>
  <c r="CU97" i="43"/>
  <c r="CU96" i="43"/>
  <c r="CU95" i="43"/>
  <c r="CU94" i="43"/>
  <c r="CU93" i="43"/>
  <c r="CU92" i="43"/>
  <c r="CU91" i="43"/>
  <c r="CU90" i="43"/>
  <c r="CU89" i="43"/>
  <c r="CU88" i="43"/>
  <c r="CU87" i="43"/>
  <c r="CU86" i="43"/>
  <c r="CU85" i="43"/>
  <c r="CU84" i="43"/>
  <c r="CU83" i="43"/>
  <c r="CU82" i="43"/>
  <c r="CU81" i="43"/>
  <c r="CU80" i="43"/>
  <c r="CU79" i="43"/>
  <c r="CU78" i="43"/>
  <c r="CU77" i="43"/>
  <c r="CU76" i="43"/>
  <c r="CU75" i="43"/>
  <c r="CU74" i="43"/>
  <c r="CU73" i="43"/>
  <c r="CU72" i="43"/>
  <c r="CU71" i="43"/>
  <c r="CU70" i="43"/>
  <c r="CU69" i="43"/>
  <c r="CU68" i="43"/>
  <c r="CU67" i="43"/>
  <c r="CU66" i="43"/>
  <c r="CU65" i="43"/>
  <c r="CU64" i="43"/>
  <c r="CU63" i="43"/>
  <c r="CU62" i="43"/>
  <c r="CU61" i="43"/>
  <c r="CU60" i="43"/>
  <c r="CU59" i="43"/>
  <c r="CU58" i="43"/>
  <c r="CU57" i="43"/>
  <c r="CU56" i="43"/>
  <c r="CU55" i="43"/>
  <c r="CU54" i="43"/>
  <c r="CU53" i="43"/>
  <c r="CU52" i="43"/>
  <c r="CU51" i="43"/>
  <c r="CU50" i="43"/>
  <c r="CU49" i="43"/>
  <c r="CU48" i="43"/>
  <c r="CU47" i="43"/>
  <c r="CU46" i="43"/>
  <c r="CU45" i="43"/>
  <c r="CU44" i="43"/>
  <c r="CU43" i="43"/>
  <c r="CU42" i="43"/>
  <c r="CU41" i="43"/>
  <c r="CU40" i="43"/>
  <c r="CU39" i="43"/>
  <c r="CU38" i="43"/>
  <c r="CU37" i="43"/>
  <c r="CU36" i="43"/>
  <c r="CU35" i="43"/>
  <c r="CU34" i="43"/>
  <c r="CU33" i="43"/>
  <c r="CU32" i="43"/>
  <c r="CU31" i="43"/>
  <c r="CU30" i="43"/>
  <c r="CU29" i="43"/>
  <c r="CU28" i="43"/>
  <c r="CU27" i="43"/>
  <c r="CU26" i="43"/>
  <c r="CU25" i="43"/>
  <c r="CU24" i="43"/>
  <c r="CU23" i="43"/>
  <c r="CU22" i="43"/>
  <c r="CU21" i="43"/>
  <c r="CU20" i="43"/>
  <c r="CU19" i="43"/>
  <c r="CU18" i="43"/>
  <c r="CU17" i="43"/>
  <c r="CU16" i="43"/>
  <c r="CU15" i="43"/>
  <c r="CU14" i="43"/>
  <c r="CU13" i="43"/>
  <c r="CU12" i="43"/>
  <c r="CU11" i="43"/>
  <c r="CU10" i="43"/>
  <c r="CU9" i="43"/>
  <c r="CU8" i="43"/>
  <c r="CU7" i="43"/>
  <c r="CU6" i="43"/>
  <c r="CT6" i="43"/>
  <c r="CR6" i="43"/>
  <c r="CQ488" i="43"/>
  <c r="CQ487" i="43"/>
  <c r="CQ486" i="43"/>
  <c r="CQ485" i="43"/>
  <c r="CT485" i="43" s="1"/>
  <c r="CQ484" i="43"/>
  <c r="CQ483" i="43"/>
  <c r="CQ482" i="43"/>
  <c r="CQ481" i="43"/>
  <c r="CT481" i="43" s="1"/>
  <c r="CQ480" i="43"/>
  <c r="CQ479" i="43"/>
  <c r="CQ478" i="43"/>
  <c r="CQ477" i="43"/>
  <c r="CT477" i="43" s="1"/>
  <c r="CQ476" i="43"/>
  <c r="CQ475" i="43"/>
  <c r="CQ474" i="43"/>
  <c r="CQ473" i="43"/>
  <c r="CT473" i="43" s="1"/>
  <c r="CQ472" i="43"/>
  <c r="CQ471" i="43"/>
  <c r="CQ470" i="43"/>
  <c r="CQ469" i="43"/>
  <c r="CT469" i="43" s="1"/>
  <c r="CQ468" i="43"/>
  <c r="CQ467" i="43"/>
  <c r="CQ466" i="43"/>
  <c r="CQ465" i="43"/>
  <c r="CT465" i="43" s="1"/>
  <c r="CQ464" i="43"/>
  <c r="CQ463" i="43"/>
  <c r="CQ462" i="43"/>
  <c r="CQ461" i="43"/>
  <c r="CT461" i="43" s="1"/>
  <c r="CQ460" i="43"/>
  <c r="CQ459" i="43"/>
  <c r="CQ458" i="43"/>
  <c r="CQ457" i="43"/>
  <c r="CT457" i="43" s="1"/>
  <c r="CQ456" i="43"/>
  <c r="CQ455" i="43"/>
  <c r="CQ454" i="43"/>
  <c r="CQ453" i="43"/>
  <c r="CT453" i="43" s="1"/>
  <c r="CQ452" i="43"/>
  <c r="CQ451" i="43"/>
  <c r="CQ450" i="43"/>
  <c r="CQ449" i="43"/>
  <c r="CT449" i="43" s="1"/>
  <c r="CQ448" i="43"/>
  <c r="CQ447" i="43"/>
  <c r="CQ446" i="43"/>
  <c r="CQ445" i="43"/>
  <c r="CT445" i="43" s="1"/>
  <c r="CQ444" i="43"/>
  <c r="CQ443" i="43"/>
  <c r="CQ442" i="43"/>
  <c r="CQ441" i="43"/>
  <c r="CT441" i="43" s="1"/>
  <c r="CQ440" i="43"/>
  <c r="CQ439" i="43"/>
  <c r="CQ438" i="43"/>
  <c r="CQ437" i="43"/>
  <c r="CT437" i="43" s="1"/>
  <c r="CQ436" i="43"/>
  <c r="CQ435" i="43"/>
  <c r="CQ434" i="43"/>
  <c r="CQ433" i="43"/>
  <c r="CT433" i="43" s="1"/>
  <c r="CQ432" i="43"/>
  <c r="CQ431" i="43"/>
  <c r="CQ430" i="43"/>
  <c r="CQ429" i="43"/>
  <c r="CT429" i="43" s="1"/>
  <c r="CQ428" i="43"/>
  <c r="CQ427" i="43"/>
  <c r="CQ426" i="43"/>
  <c r="CQ425" i="43"/>
  <c r="CT425" i="43" s="1"/>
  <c r="CQ424" i="43"/>
  <c r="CQ423" i="43"/>
  <c r="CQ422" i="43"/>
  <c r="CQ421" i="43"/>
  <c r="CT421" i="43" s="1"/>
  <c r="CQ420" i="43"/>
  <c r="CQ419" i="43"/>
  <c r="CQ418" i="43"/>
  <c r="CQ417" i="43"/>
  <c r="CT417" i="43" s="1"/>
  <c r="CQ416" i="43"/>
  <c r="CQ415" i="43"/>
  <c r="CQ414" i="43"/>
  <c r="CQ413" i="43"/>
  <c r="CT413" i="43" s="1"/>
  <c r="CQ412" i="43"/>
  <c r="CQ411" i="43"/>
  <c r="CQ410" i="43"/>
  <c r="CQ409" i="43"/>
  <c r="CT409" i="43" s="1"/>
  <c r="CQ408" i="43"/>
  <c r="CQ407" i="43"/>
  <c r="CQ406" i="43"/>
  <c r="CQ405" i="43"/>
  <c r="CT405" i="43" s="1"/>
  <c r="CQ404" i="43"/>
  <c r="CQ403" i="43"/>
  <c r="CQ402" i="43"/>
  <c r="CQ401" i="43"/>
  <c r="CT401" i="43" s="1"/>
  <c r="CQ400" i="43"/>
  <c r="CQ399" i="43"/>
  <c r="CQ398" i="43"/>
  <c r="CQ397" i="43"/>
  <c r="CT397" i="43" s="1"/>
  <c r="CQ396" i="43"/>
  <c r="CQ395" i="43"/>
  <c r="CQ394" i="43"/>
  <c r="CQ393" i="43"/>
  <c r="CT393" i="43" s="1"/>
  <c r="CQ392" i="43"/>
  <c r="CQ391" i="43"/>
  <c r="CQ390" i="43"/>
  <c r="CQ389" i="43"/>
  <c r="CT389" i="43" s="1"/>
  <c r="CQ388" i="43"/>
  <c r="CQ387" i="43"/>
  <c r="CQ386" i="43"/>
  <c r="CQ385" i="43"/>
  <c r="CT385" i="43" s="1"/>
  <c r="CQ384" i="43"/>
  <c r="CQ383" i="43"/>
  <c r="CQ382" i="43"/>
  <c r="CQ381" i="43"/>
  <c r="CT381" i="43" s="1"/>
  <c r="CQ380" i="43"/>
  <c r="CQ379" i="43"/>
  <c r="CQ378" i="43"/>
  <c r="CQ377" i="43"/>
  <c r="CT377" i="43" s="1"/>
  <c r="CQ376" i="43"/>
  <c r="CQ375" i="43"/>
  <c r="CQ374" i="43"/>
  <c r="CQ373" i="43"/>
  <c r="CT373" i="43" s="1"/>
  <c r="CQ372" i="43"/>
  <c r="CQ371" i="43"/>
  <c r="CQ370" i="43"/>
  <c r="CQ369" i="43"/>
  <c r="CT369" i="43" s="1"/>
  <c r="CQ368" i="43"/>
  <c r="CQ367" i="43"/>
  <c r="CQ366" i="43"/>
  <c r="CQ365" i="43"/>
  <c r="CT365" i="43" s="1"/>
  <c r="CQ364" i="43"/>
  <c r="CQ363" i="43"/>
  <c r="CQ362" i="43"/>
  <c r="CQ361" i="43"/>
  <c r="CT361" i="43" s="1"/>
  <c r="CQ360" i="43"/>
  <c r="CQ359" i="43"/>
  <c r="CQ358" i="43"/>
  <c r="CQ357" i="43"/>
  <c r="CT357" i="43" s="1"/>
  <c r="CQ356" i="43"/>
  <c r="CQ355" i="43"/>
  <c r="CQ354" i="43"/>
  <c r="CQ353" i="43"/>
  <c r="CT353" i="43" s="1"/>
  <c r="CQ352" i="43"/>
  <c r="CQ351" i="43"/>
  <c r="CQ350" i="43"/>
  <c r="CQ349" i="43"/>
  <c r="CT349" i="43" s="1"/>
  <c r="CQ348" i="43"/>
  <c r="CQ347" i="43"/>
  <c r="CQ346" i="43"/>
  <c r="CQ345" i="43"/>
  <c r="CT345" i="43" s="1"/>
  <c r="CQ344" i="43"/>
  <c r="CQ343" i="43"/>
  <c r="CQ342" i="43"/>
  <c r="CQ341" i="43"/>
  <c r="CT341" i="43" s="1"/>
  <c r="CQ340" i="43"/>
  <c r="CQ339" i="43"/>
  <c r="CQ338" i="43"/>
  <c r="CQ337" i="43"/>
  <c r="CT337" i="43" s="1"/>
  <c r="CQ336" i="43"/>
  <c r="CQ335" i="43"/>
  <c r="CQ334" i="43"/>
  <c r="CQ333" i="43"/>
  <c r="CT333" i="43" s="1"/>
  <c r="CQ332" i="43"/>
  <c r="CQ331" i="43"/>
  <c r="CQ330" i="43"/>
  <c r="CQ329" i="43"/>
  <c r="CT329" i="43" s="1"/>
  <c r="CQ328" i="43"/>
  <c r="CQ327" i="43"/>
  <c r="CQ326" i="43"/>
  <c r="CT326" i="43" s="1"/>
  <c r="CQ325" i="43"/>
  <c r="CT325" i="43" s="1"/>
  <c r="CQ324" i="43"/>
  <c r="CQ323" i="43"/>
  <c r="CQ322" i="43"/>
  <c r="CT322" i="43" s="1"/>
  <c r="CQ321" i="43"/>
  <c r="CT321" i="43" s="1"/>
  <c r="CQ320" i="43"/>
  <c r="CQ319" i="43"/>
  <c r="CQ318" i="43"/>
  <c r="CT318" i="43" s="1"/>
  <c r="CQ317" i="43"/>
  <c r="CQ316" i="43"/>
  <c r="CQ315" i="43"/>
  <c r="CQ314" i="43"/>
  <c r="CT314" i="43" s="1"/>
  <c r="CQ313" i="43"/>
  <c r="CT313" i="43" s="1"/>
  <c r="CQ312" i="43"/>
  <c r="CQ311" i="43"/>
  <c r="CQ310" i="43"/>
  <c r="CT310" i="43" s="1"/>
  <c r="CQ309" i="43"/>
  <c r="CT309" i="43" s="1"/>
  <c r="CQ308" i="43"/>
  <c r="CQ307" i="43"/>
  <c r="CQ306" i="43"/>
  <c r="CT306" i="43" s="1"/>
  <c r="CQ305" i="43"/>
  <c r="CT305" i="43" s="1"/>
  <c r="CQ304" i="43"/>
  <c r="CQ303" i="43"/>
  <c r="CQ302" i="43"/>
  <c r="CT302" i="43" s="1"/>
  <c r="CQ301" i="43"/>
  <c r="CQ300" i="43"/>
  <c r="CQ299" i="43"/>
  <c r="CQ298" i="43"/>
  <c r="CT298" i="43" s="1"/>
  <c r="CQ297" i="43"/>
  <c r="CT297" i="43" s="1"/>
  <c r="CQ296" i="43"/>
  <c r="CQ295" i="43"/>
  <c r="CQ294" i="43"/>
  <c r="CT294" i="43" s="1"/>
  <c r="CQ293" i="43"/>
  <c r="CT293" i="43" s="1"/>
  <c r="CQ292" i="43"/>
  <c r="CQ291" i="43"/>
  <c r="CQ290" i="43"/>
  <c r="CT290" i="43" s="1"/>
  <c r="CQ289" i="43"/>
  <c r="CT289" i="43" s="1"/>
  <c r="CQ288" i="43"/>
  <c r="CQ287" i="43"/>
  <c r="CQ286" i="43"/>
  <c r="CT286" i="43" s="1"/>
  <c r="CQ285" i="43"/>
  <c r="CQ284" i="43"/>
  <c r="CQ283" i="43"/>
  <c r="CQ282" i="43"/>
  <c r="CT282" i="43" s="1"/>
  <c r="CQ281" i="43"/>
  <c r="CT281" i="43" s="1"/>
  <c r="CQ280" i="43"/>
  <c r="CQ279" i="43"/>
  <c r="CQ278" i="43"/>
  <c r="CT278" i="43" s="1"/>
  <c r="CQ277" i="43"/>
  <c r="CT277" i="43" s="1"/>
  <c r="CQ276" i="43"/>
  <c r="CQ275" i="43"/>
  <c r="CQ274" i="43"/>
  <c r="CT274" i="43" s="1"/>
  <c r="CQ273" i="43"/>
  <c r="CT273" i="43" s="1"/>
  <c r="CQ272" i="43"/>
  <c r="CQ271" i="43"/>
  <c r="CQ270" i="43"/>
  <c r="CT270" i="43" s="1"/>
  <c r="CQ269" i="43"/>
  <c r="CQ268" i="43"/>
  <c r="CQ267" i="43"/>
  <c r="CQ266" i="43"/>
  <c r="CT266" i="43" s="1"/>
  <c r="CQ265" i="43"/>
  <c r="CT265" i="43" s="1"/>
  <c r="CQ264" i="43"/>
  <c r="CQ263" i="43"/>
  <c r="CQ262" i="43"/>
  <c r="CT262" i="43" s="1"/>
  <c r="CQ261" i="43"/>
  <c r="CT261" i="43" s="1"/>
  <c r="CQ260" i="43"/>
  <c r="CQ259" i="43"/>
  <c r="CQ258" i="43"/>
  <c r="CT258" i="43" s="1"/>
  <c r="CQ257" i="43"/>
  <c r="CT257" i="43" s="1"/>
  <c r="CQ256" i="43"/>
  <c r="CQ255" i="43"/>
  <c r="CQ254" i="43"/>
  <c r="CT254" i="43" s="1"/>
  <c r="CQ253" i="43"/>
  <c r="CQ252" i="43"/>
  <c r="CQ251" i="43"/>
  <c r="CQ250" i="43"/>
  <c r="CT250" i="43" s="1"/>
  <c r="CQ249" i="43"/>
  <c r="CT249" i="43" s="1"/>
  <c r="CQ248" i="43"/>
  <c r="CQ247" i="43"/>
  <c r="CQ246" i="43"/>
  <c r="CT246" i="43" s="1"/>
  <c r="CQ245" i="43"/>
  <c r="CT245" i="43" s="1"/>
  <c r="CQ244" i="43"/>
  <c r="CQ243" i="43"/>
  <c r="CQ242" i="43"/>
  <c r="CT242" i="43" s="1"/>
  <c r="CQ241" i="43"/>
  <c r="CT241" i="43" s="1"/>
  <c r="CQ240" i="43"/>
  <c r="CQ239" i="43"/>
  <c r="CQ238" i="43"/>
  <c r="CT238" i="43" s="1"/>
  <c r="CQ237" i="43"/>
  <c r="CQ236" i="43"/>
  <c r="CQ235" i="43"/>
  <c r="CQ234" i="43"/>
  <c r="CT234" i="43" s="1"/>
  <c r="CQ233" i="43"/>
  <c r="CT233" i="43" s="1"/>
  <c r="CQ232" i="43"/>
  <c r="CQ231" i="43"/>
  <c r="CQ230" i="43"/>
  <c r="CT230" i="43" s="1"/>
  <c r="CQ229" i="43"/>
  <c r="CT229" i="43" s="1"/>
  <c r="CQ228" i="43"/>
  <c r="CQ227" i="43"/>
  <c r="CQ226" i="43"/>
  <c r="CT226" i="43" s="1"/>
  <c r="CQ225" i="43"/>
  <c r="CT225" i="43" s="1"/>
  <c r="CQ224" i="43"/>
  <c r="CQ223" i="43"/>
  <c r="CQ222" i="43"/>
  <c r="CT222" i="43" s="1"/>
  <c r="CQ221" i="43"/>
  <c r="CQ220" i="43"/>
  <c r="CQ219" i="43"/>
  <c r="CQ218" i="43"/>
  <c r="CT218" i="43" s="1"/>
  <c r="CQ217" i="43"/>
  <c r="CT217" i="43" s="1"/>
  <c r="CQ216" i="43"/>
  <c r="CQ215" i="43"/>
  <c r="CQ214" i="43"/>
  <c r="CT214" i="43" s="1"/>
  <c r="CQ213" i="43"/>
  <c r="CT213" i="43" s="1"/>
  <c r="CQ212" i="43"/>
  <c r="CQ211" i="43"/>
  <c r="CQ210" i="43"/>
  <c r="CT210" i="43" s="1"/>
  <c r="CQ209" i="43"/>
  <c r="CT209" i="43" s="1"/>
  <c r="CQ208" i="43"/>
  <c r="CQ207" i="43"/>
  <c r="CQ206" i="43"/>
  <c r="CT206" i="43" s="1"/>
  <c r="CQ205" i="43"/>
  <c r="CQ204" i="43"/>
  <c r="CQ203" i="43"/>
  <c r="CQ202" i="43"/>
  <c r="CT202" i="43" s="1"/>
  <c r="CQ201" i="43"/>
  <c r="CT201" i="43" s="1"/>
  <c r="CQ200" i="43"/>
  <c r="CQ199" i="43"/>
  <c r="CQ198" i="43"/>
  <c r="CT198" i="43" s="1"/>
  <c r="CQ197" i="43"/>
  <c r="CT197" i="43" s="1"/>
  <c r="CQ196" i="43"/>
  <c r="CQ195" i="43"/>
  <c r="CQ194" i="43"/>
  <c r="CT194" i="43" s="1"/>
  <c r="CQ193" i="43"/>
  <c r="CT193" i="43" s="1"/>
  <c r="CQ192" i="43"/>
  <c r="CQ191" i="43"/>
  <c r="CQ190" i="43"/>
  <c r="CT190" i="43" s="1"/>
  <c r="CQ189" i="43"/>
  <c r="CQ188" i="43"/>
  <c r="CQ187" i="43"/>
  <c r="CQ186" i="43"/>
  <c r="CT186" i="43" s="1"/>
  <c r="CQ185" i="43"/>
  <c r="CT185" i="43" s="1"/>
  <c r="CQ184" i="43"/>
  <c r="CQ183" i="43"/>
  <c r="CQ182" i="43"/>
  <c r="CT182" i="43" s="1"/>
  <c r="CQ181" i="43"/>
  <c r="CT181" i="43" s="1"/>
  <c r="CQ180" i="43"/>
  <c r="CQ179" i="43"/>
  <c r="CQ178" i="43"/>
  <c r="CT178" i="43" s="1"/>
  <c r="CQ177" i="43"/>
  <c r="CT177" i="43" s="1"/>
  <c r="CQ176" i="43"/>
  <c r="CQ175" i="43"/>
  <c r="CQ174" i="43"/>
  <c r="CT174" i="43" s="1"/>
  <c r="CQ173" i="43"/>
  <c r="CQ172" i="43"/>
  <c r="CQ171" i="43"/>
  <c r="CQ170" i="43"/>
  <c r="CT170" i="43" s="1"/>
  <c r="CQ169" i="43"/>
  <c r="CT169" i="43" s="1"/>
  <c r="CQ168" i="43"/>
  <c r="CQ167" i="43"/>
  <c r="CQ166" i="43"/>
  <c r="CT166" i="43" s="1"/>
  <c r="CQ165" i="43"/>
  <c r="CT165" i="43" s="1"/>
  <c r="CQ164" i="43"/>
  <c r="CQ163" i="43"/>
  <c r="CQ162" i="43"/>
  <c r="CT162" i="43" s="1"/>
  <c r="CQ161" i="43"/>
  <c r="CT161" i="43" s="1"/>
  <c r="CQ160" i="43"/>
  <c r="CQ159" i="43"/>
  <c r="CQ158" i="43"/>
  <c r="CT158" i="43" s="1"/>
  <c r="CQ157" i="43"/>
  <c r="CQ156" i="43"/>
  <c r="CQ155" i="43"/>
  <c r="CQ154" i="43"/>
  <c r="CT154" i="43" s="1"/>
  <c r="CQ153" i="43"/>
  <c r="CT153" i="43" s="1"/>
  <c r="CQ152" i="43"/>
  <c r="CQ151" i="43"/>
  <c r="CQ150" i="43"/>
  <c r="CT150" i="43" s="1"/>
  <c r="CQ149" i="43"/>
  <c r="CT149" i="43" s="1"/>
  <c r="CQ148" i="43"/>
  <c r="CQ147" i="43"/>
  <c r="CQ146" i="43"/>
  <c r="CT146" i="43" s="1"/>
  <c r="CQ145" i="43"/>
  <c r="CT145" i="43" s="1"/>
  <c r="CQ144" i="43"/>
  <c r="CQ143" i="43"/>
  <c r="CQ142" i="43"/>
  <c r="CT142" i="43" s="1"/>
  <c r="CQ141" i="43"/>
  <c r="CQ140" i="43"/>
  <c r="CQ139" i="43"/>
  <c r="CQ138" i="43"/>
  <c r="CT138" i="43" s="1"/>
  <c r="CQ137" i="43"/>
  <c r="CT137" i="43" s="1"/>
  <c r="CQ136" i="43"/>
  <c r="CQ135" i="43"/>
  <c r="CQ134" i="43"/>
  <c r="CT134" i="43" s="1"/>
  <c r="CQ133" i="43"/>
  <c r="CT133" i="43" s="1"/>
  <c r="CQ132" i="43"/>
  <c r="CQ131" i="43"/>
  <c r="CQ130" i="43"/>
  <c r="CT130" i="43" s="1"/>
  <c r="CQ129" i="43"/>
  <c r="CT129" i="43" s="1"/>
  <c r="CQ128" i="43"/>
  <c r="CQ127" i="43"/>
  <c r="CQ126" i="43"/>
  <c r="CT126" i="43" s="1"/>
  <c r="CQ125" i="43"/>
  <c r="CQ124" i="43"/>
  <c r="CQ123" i="43"/>
  <c r="CQ122" i="43"/>
  <c r="CT122" i="43" s="1"/>
  <c r="CQ121" i="43"/>
  <c r="CT121" i="43" s="1"/>
  <c r="CQ120" i="43"/>
  <c r="CQ119" i="43"/>
  <c r="CQ118" i="43"/>
  <c r="CT118" i="43" s="1"/>
  <c r="CQ117" i="43"/>
  <c r="CT117" i="43" s="1"/>
  <c r="CQ116" i="43"/>
  <c r="CQ115" i="43"/>
  <c r="CQ114" i="43"/>
  <c r="CT114" i="43" s="1"/>
  <c r="CQ113" i="43"/>
  <c r="CT113" i="43" s="1"/>
  <c r="CQ112" i="43"/>
  <c r="CQ111" i="43"/>
  <c r="CQ110" i="43"/>
  <c r="CT110" i="43" s="1"/>
  <c r="CQ109" i="43"/>
  <c r="CQ108" i="43"/>
  <c r="CQ107" i="43"/>
  <c r="CQ106" i="43"/>
  <c r="CT106" i="43" s="1"/>
  <c r="CQ105" i="43"/>
  <c r="CT105" i="43" s="1"/>
  <c r="CQ104" i="43"/>
  <c r="CQ103" i="43"/>
  <c r="CQ102" i="43"/>
  <c r="CT102" i="43" s="1"/>
  <c r="CQ101" i="43"/>
  <c r="CT101" i="43" s="1"/>
  <c r="CQ100" i="43"/>
  <c r="CQ99" i="43"/>
  <c r="CQ98" i="43"/>
  <c r="CT98" i="43" s="1"/>
  <c r="CQ97" i="43"/>
  <c r="CT97" i="43" s="1"/>
  <c r="CQ96" i="43"/>
  <c r="CQ95" i="43"/>
  <c r="CQ94" i="43"/>
  <c r="CT94" i="43" s="1"/>
  <c r="CQ93" i="43"/>
  <c r="CQ92" i="43"/>
  <c r="CQ91" i="43"/>
  <c r="CQ90" i="43"/>
  <c r="CT90" i="43" s="1"/>
  <c r="CQ89" i="43"/>
  <c r="CT89" i="43" s="1"/>
  <c r="CQ88" i="43"/>
  <c r="CQ87" i="43"/>
  <c r="CQ86" i="43"/>
  <c r="CT86" i="43" s="1"/>
  <c r="CQ85" i="43"/>
  <c r="CT85" i="43" s="1"/>
  <c r="CQ84" i="43"/>
  <c r="CQ83" i="43"/>
  <c r="CQ82" i="43"/>
  <c r="CT82" i="43" s="1"/>
  <c r="CQ81" i="43"/>
  <c r="CT81" i="43" s="1"/>
  <c r="CQ80" i="43"/>
  <c r="CQ79" i="43"/>
  <c r="CQ78" i="43"/>
  <c r="CT78" i="43" s="1"/>
  <c r="CQ77" i="43"/>
  <c r="CQ76" i="43"/>
  <c r="CQ75" i="43"/>
  <c r="CQ74" i="43"/>
  <c r="CT74" i="43" s="1"/>
  <c r="CQ73" i="43"/>
  <c r="CT73" i="43" s="1"/>
  <c r="CQ72" i="43"/>
  <c r="CQ71" i="43"/>
  <c r="CQ70" i="43"/>
  <c r="CT70" i="43" s="1"/>
  <c r="CQ69" i="43"/>
  <c r="CT69" i="43" s="1"/>
  <c r="CQ68" i="43"/>
  <c r="CQ67" i="43"/>
  <c r="CQ66" i="43"/>
  <c r="CT66" i="43" s="1"/>
  <c r="CQ65" i="43"/>
  <c r="CT65" i="43" s="1"/>
  <c r="CQ64" i="43"/>
  <c r="CQ63" i="43"/>
  <c r="CQ62" i="43"/>
  <c r="CT62" i="43" s="1"/>
  <c r="CQ61" i="43"/>
  <c r="CQ60" i="43"/>
  <c r="CQ59" i="43"/>
  <c r="CQ58" i="43"/>
  <c r="CT58" i="43" s="1"/>
  <c r="CQ57" i="43"/>
  <c r="CT57" i="43" s="1"/>
  <c r="CQ56" i="43"/>
  <c r="CQ55" i="43"/>
  <c r="CQ54" i="43"/>
  <c r="CT54" i="43" s="1"/>
  <c r="CQ53" i="43"/>
  <c r="CT53" i="43" s="1"/>
  <c r="CQ52" i="43"/>
  <c r="CQ51" i="43"/>
  <c r="CQ50" i="43"/>
  <c r="CT50" i="43" s="1"/>
  <c r="CQ49" i="43"/>
  <c r="CT49" i="43" s="1"/>
  <c r="CQ48" i="43"/>
  <c r="CQ47" i="43"/>
  <c r="CQ46" i="43"/>
  <c r="CT46" i="43" s="1"/>
  <c r="CQ45" i="43"/>
  <c r="CQ44" i="43"/>
  <c r="CQ43" i="43"/>
  <c r="CQ42" i="43"/>
  <c r="CT42" i="43" s="1"/>
  <c r="CQ41" i="43"/>
  <c r="CT41" i="43" s="1"/>
  <c r="CQ40" i="43"/>
  <c r="CQ39" i="43"/>
  <c r="CQ38" i="43"/>
  <c r="CT38" i="43" s="1"/>
  <c r="CQ37" i="43"/>
  <c r="CT37" i="43" s="1"/>
  <c r="CQ36" i="43"/>
  <c r="CQ35" i="43"/>
  <c r="CQ34" i="43"/>
  <c r="CT34" i="43" s="1"/>
  <c r="CQ33" i="43"/>
  <c r="CT33" i="43" s="1"/>
  <c r="CQ32" i="43"/>
  <c r="CQ31" i="43"/>
  <c r="CQ30" i="43"/>
  <c r="CT30" i="43" s="1"/>
  <c r="CQ29" i="43"/>
  <c r="CQ28" i="43"/>
  <c r="CQ27" i="43"/>
  <c r="CQ26" i="43"/>
  <c r="CT26" i="43" s="1"/>
  <c r="CQ25" i="43"/>
  <c r="CT25" i="43" s="1"/>
  <c r="CQ24" i="43"/>
  <c r="CQ23" i="43"/>
  <c r="CQ22" i="43"/>
  <c r="CT22" i="43" s="1"/>
  <c r="CQ21" i="43"/>
  <c r="CT21" i="43" s="1"/>
  <c r="CQ20" i="43"/>
  <c r="CQ19" i="43"/>
  <c r="CQ18" i="43"/>
  <c r="CT18" i="43" s="1"/>
  <c r="CQ17" i="43"/>
  <c r="CT17" i="43" s="1"/>
  <c r="CQ16" i="43"/>
  <c r="CQ15" i="43"/>
  <c r="CQ14" i="43"/>
  <c r="CT14" i="43" s="1"/>
  <c r="CQ13" i="43"/>
  <c r="CQ12" i="43"/>
  <c r="CQ11" i="43"/>
  <c r="CQ10" i="43"/>
  <c r="CT10" i="43" s="1"/>
  <c r="CQ9" i="43"/>
  <c r="CT9" i="43" s="1"/>
  <c r="CQ8" i="43"/>
  <c r="CQ7" i="43"/>
  <c r="CQ6" i="43"/>
  <c r="CT488" i="43"/>
  <c r="CT487" i="43"/>
  <c r="CT486" i="43"/>
  <c r="CT484" i="43"/>
  <c r="CT483" i="43"/>
  <c r="CT482" i="43"/>
  <c r="CT480" i="43"/>
  <c r="CT479" i="43"/>
  <c r="CT478" i="43"/>
  <c r="CT476" i="43"/>
  <c r="CT475" i="43"/>
  <c r="CT474" i="43"/>
  <c r="CT472" i="43"/>
  <c r="CT471" i="43"/>
  <c r="CT470" i="43"/>
  <c r="CT468" i="43"/>
  <c r="CT467" i="43"/>
  <c r="CT466" i="43"/>
  <c r="CT464" i="43"/>
  <c r="CT463" i="43"/>
  <c r="CT462" i="43"/>
  <c r="CT460" i="43"/>
  <c r="CT459" i="43"/>
  <c r="CT458" i="43"/>
  <c r="CT456" i="43"/>
  <c r="CT455" i="43"/>
  <c r="CT454" i="43"/>
  <c r="CT452" i="43"/>
  <c r="CT451" i="43"/>
  <c r="CT450" i="43"/>
  <c r="CT448" i="43"/>
  <c r="CT447" i="43"/>
  <c r="CT446" i="43"/>
  <c r="CT444" i="43"/>
  <c r="CT443" i="43"/>
  <c r="CT442" i="43"/>
  <c r="CT440" i="43"/>
  <c r="CT439" i="43"/>
  <c r="CT438" i="43"/>
  <c r="CT436" i="43"/>
  <c r="CT435" i="43"/>
  <c r="CT434" i="43"/>
  <c r="CT432" i="43"/>
  <c r="CT431" i="43"/>
  <c r="CT430" i="43"/>
  <c r="CT428" i="43"/>
  <c r="CT427" i="43"/>
  <c r="CT426" i="43"/>
  <c r="CT424" i="43"/>
  <c r="CT423" i="43"/>
  <c r="CT422" i="43"/>
  <c r="CT420" i="43"/>
  <c r="CT419" i="43"/>
  <c r="CT418" i="43"/>
  <c r="CT416" i="43"/>
  <c r="CT415" i="43"/>
  <c r="CT414" i="43"/>
  <c r="CT412" i="43"/>
  <c r="CT411" i="43"/>
  <c r="CT410" i="43"/>
  <c r="CT408" i="43"/>
  <c r="CT407" i="43"/>
  <c r="CT406" i="43"/>
  <c r="CT404" i="43"/>
  <c r="CT403" i="43"/>
  <c r="CT402" i="43"/>
  <c r="CT400" i="43"/>
  <c r="CT399" i="43"/>
  <c r="CT398" i="43"/>
  <c r="CT396" i="43"/>
  <c r="CT395" i="43"/>
  <c r="CT394" i="43"/>
  <c r="CT392" i="43"/>
  <c r="CT391" i="43"/>
  <c r="CT390" i="43"/>
  <c r="CT388" i="43"/>
  <c r="CT387" i="43"/>
  <c r="CT386" i="43"/>
  <c r="CT384" i="43"/>
  <c r="CT383" i="43"/>
  <c r="CT382" i="43"/>
  <c r="CT380" i="43"/>
  <c r="CT379" i="43"/>
  <c r="CT378" i="43"/>
  <c r="CT376" i="43"/>
  <c r="CT375" i="43"/>
  <c r="CT374" i="43"/>
  <c r="CT372" i="43"/>
  <c r="CT371" i="43"/>
  <c r="CT370" i="43"/>
  <c r="CT368" i="43"/>
  <c r="CT367" i="43"/>
  <c r="CT366" i="43"/>
  <c r="CT364" i="43"/>
  <c r="CT363" i="43"/>
  <c r="CT362" i="43"/>
  <c r="CT360" i="43"/>
  <c r="CT359" i="43"/>
  <c r="CT358" i="43"/>
  <c r="CT356" i="43"/>
  <c r="CT355" i="43"/>
  <c r="CT354" i="43"/>
  <c r="CT352" i="43"/>
  <c r="CT351" i="43"/>
  <c r="CT350" i="43"/>
  <c r="CT348" i="43"/>
  <c r="CT347" i="43"/>
  <c r="CT346" i="43"/>
  <c r="CT344" i="43"/>
  <c r="CT343" i="43"/>
  <c r="CT342" i="43"/>
  <c r="CT340" i="43"/>
  <c r="CT339" i="43"/>
  <c r="CT338" i="43"/>
  <c r="CT336" i="43"/>
  <c r="CT335" i="43"/>
  <c r="CT334" i="43"/>
  <c r="CT332" i="43"/>
  <c r="CT331" i="43"/>
  <c r="CT330" i="43"/>
  <c r="CT328" i="43"/>
  <c r="CT327" i="43"/>
  <c r="CT324" i="43"/>
  <c r="CT323" i="43"/>
  <c r="CT320" i="43"/>
  <c r="CT319" i="43"/>
  <c r="CT317" i="43"/>
  <c r="CT316" i="43"/>
  <c r="CT315" i="43"/>
  <c r="CT312" i="43"/>
  <c r="CT311" i="43"/>
  <c r="CT308" i="43"/>
  <c r="CT307" i="43"/>
  <c r="CT304" i="43"/>
  <c r="CT303" i="43"/>
  <c r="CT301" i="43"/>
  <c r="CT300" i="43"/>
  <c r="CT299" i="43"/>
  <c r="CT296" i="43"/>
  <c r="CT295" i="43"/>
  <c r="CT292" i="43"/>
  <c r="CT291" i="43"/>
  <c r="CT288" i="43"/>
  <c r="CT287" i="43"/>
  <c r="CT285" i="43"/>
  <c r="CT284" i="43"/>
  <c r="CT283" i="43"/>
  <c r="CT280" i="43"/>
  <c r="CT279" i="43"/>
  <c r="CT276" i="43"/>
  <c r="CT275" i="43"/>
  <c r="CT272" i="43"/>
  <c r="CT271" i="43"/>
  <c r="CT269" i="43"/>
  <c r="CT268" i="43"/>
  <c r="CT267" i="43"/>
  <c r="CT264" i="43"/>
  <c r="CT263" i="43"/>
  <c r="CT260" i="43"/>
  <c r="CT259" i="43"/>
  <c r="CT256" i="43"/>
  <c r="CT255" i="43"/>
  <c r="CT253" i="43"/>
  <c r="CT252" i="43"/>
  <c r="CT251" i="43"/>
  <c r="CT248" i="43"/>
  <c r="CT247" i="43"/>
  <c r="CT244" i="43"/>
  <c r="CT243" i="43"/>
  <c r="CT240" i="43"/>
  <c r="CT239" i="43"/>
  <c r="CT237" i="43"/>
  <c r="CT236" i="43"/>
  <c r="CT235" i="43"/>
  <c r="CT232" i="43"/>
  <c r="CT231" i="43"/>
  <c r="CT228" i="43"/>
  <c r="CT227" i="43"/>
  <c r="CT224" i="43"/>
  <c r="CT223" i="43"/>
  <c r="CT221" i="43"/>
  <c r="CT220" i="43"/>
  <c r="CT219" i="43"/>
  <c r="CT216" i="43"/>
  <c r="CT215" i="43"/>
  <c r="CT212" i="43"/>
  <c r="CT211" i="43"/>
  <c r="CT208" i="43"/>
  <c r="CT207" i="43"/>
  <c r="CT205" i="43"/>
  <c r="CT204" i="43"/>
  <c r="CT203" i="43"/>
  <c r="CT200" i="43"/>
  <c r="CT199" i="43"/>
  <c r="CT196" i="43"/>
  <c r="CT195" i="43"/>
  <c r="CT192" i="43"/>
  <c r="CT191" i="43"/>
  <c r="CT189" i="43"/>
  <c r="CT188" i="43"/>
  <c r="CT187" i="43"/>
  <c r="CT184" i="43"/>
  <c r="CT183" i="43"/>
  <c r="CT180" i="43"/>
  <c r="CT179" i="43"/>
  <c r="CT176" i="43"/>
  <c r="CT175" i="43"/>
  <c r="CT173" i="43"/>
  <c r="CT172" i="43"/>
  <c r="CT171" i="43"/>
  <c r="CT168" i="43"/>
  <c r="CT167" i="43"/>
  <c r="CT164" i="43"/>
  <c r="CT163" i="43"/>
  <c r="CT160" i="43"/>
  <c r="CT159" i="43"/>
  <c r="CT157" i="43"/>
  <c r="CT156" i="43"/>
  <c r="CT155" i="43"/>
  <c r="CT152" i="43"/>
  <c r="CT151" i="43"/>
  <c r="CT148" i="43"/>
  <c r="CT147" i="43"/>
  <c r="CT144" i="43"/>
  <c r="CT143" i="43"/>
  <c r="CT141" i="43"/>
  <c r="CT140" i="43"/>
  <c r="CT139" i="43"/>
  <c r="CT136" i="43"/>
  <c r="CT135" i="43"/>
  <c r="CT132" i="43"/>
  <c r="CT131" i="43"/>
  <c r="CT128" i="43"/>
  <c r="CT127" i="43"/>
  <c r="CT125" i="43"/>
  <c r="CT124" i="43"/>
  <c r="CT123" i="43"/>
  <c r="CT120" i="43"/>
  <c r="CT119" i="43"/>
  <c r="CT116" i="43"/>
  <c r="CT115" i="43"/>
  <c r="CT112" i="43"/>
  <c r="CT111" i="43"/>
  <c r="CT109" i="43"/>
  <c r="CT108" i="43"/>
  <c r="CT107" i="43"/>
  <c r="CT104" i="43"/>
  <c r="CT103" i="43"/>
  <c r="CT100" i="43"/>
  <c r="CT99" i="43"/>
  <c r="CT96" i="43"/>
  <c r="CT95" i="43"/>
  <c r="CT93" i="43"/>
  <c r="CT92" i="43"/>
  <c r="CT91" i="43"/>
  <c r="CT88" i="43"/>
  <c r="CT87" i="43"/>
  <c r="CT84" i="43"/>
  <c r="CT83" i="43"/>
  <c r="CT80" i="43"/>
  <c r="CT79" i="43"/>
  <c r="CT77" i="43"/>
  <c r="CT76" i="43"/>
  <c r="CT75" i="43"/>
  <c r="CT72" i="43"/>
  <c r="CT71" i="43"/>
  <c r="CT68" i="43"/>
  <c r="CT67" i="43"/>
  <c r="CT64" i="43"/>
  <c r="CT63" i="43"/>
  <c r="CT61" i="43"/>
  <c r="CT60" i="43"/>
  <c r="CT59" i="43"/>
  <c r="CT56" i="43"/>
  <c r="CT55" i="43"/>
  <c r="CT52" i="43"/>
  <c r="CT51" i="43"/>
  <c r="CT48" i="43"/>
  <c r="CT47" i="43"/>
  <c r="CT45" i="43"/>
  <c r="CT44" i="43"/>
  <c r="CT43" i="43"/>
  <c r="CT40" i="43"/>
  <c r="CT39" i="43"/>
  <c r="CT36" i="43"/>
  <c r="CT35" i="43"/>
  <c r="CT32" i="43"/>
  <c r="CT31" i="43"/>
  <c r="CT29" i="43"/>
  <c r="CT28" i="43"/>
  <c r="CT27" i="43"/>
  <c r="CT24" i="43"/>
  <c r="CT23" i="43"/>
  <c r="CT20" i="43"/>
  <c r="CT19" i="43"/>
  <c r="CT16" i="43"/>
  <c r="CT15" i="43"/>
  <c r="CT13" i="43"/>
  <c r="CT12" i="43"/>
  <c r="CT11" i="43"/>
  <c r="CT8" i="43"/>
  <c r="CT7" i="43"/>
  <c r="CS488" i="43"/>
  <c r="CR488" i="43"/>
  <c r="CS487" i="43"/>
  <c r="CR487" i="43"/>
  <c r="CS486" i="43"/>
  <c r="CR486" i="43"/>
  <c r="CS485" i="43"/>
  <c r="CR485" i="43"/>
  <c r="CS484" i="43"/>
  <c r="CR484" i="43"/>
  <c r="CS483" i="43"/>
  <c r="CR483" i="43"/>
  <c r="CS482" i="43"/>
  <c r="CR482" i="43"/>
  <c r="CS481" i="43"/>
  <c r="CR481" i="43"/>
  <c r="CS480" i="43"/>
  <c r="CR480" i="43"/>
  <c r="CS479" i="43"/>
  <c r="CR479" i="43"/>
  <c r="CS478" i="43"/>
  <c r="CR478" i="43"/>
  <c r="CS477" i="43"/>
  <c r="CR477" i="43"/>
  <c r="CS476" i="43"/>
  <c r="CR476" i="43"/>
  <c r="CS475" i="43"/>
  <c r="CR475" i="43"/>
  <c r="CS474" i="43"/>
  <c r="CR474" i="43"/>
  <c r="CS473" i="43"/>
  <c r="CR473" i="43"/>
  <c r="CS472" i="43"/>
  <c r="CR472" i="43"/>
  <c r="CS471" i="43"/>
  <c r="CR471" i="43"/>
  <c r="CS470" i="43"/>
  <c r="CR470" i="43"/>
  <c r="CS469" i="43"/>
  <c r="CR469" i="43"/>
  <c r="CS468" i="43"/>
  <c r="CR468" i="43"/>
  <c r="CS467" i="43"/>
  <c r="CR467" i="43"/>
  <c r="CS466" i="43"/>
  <c r="CR466" i="43"/>
  <c r="CS465" i="43"/>
  <c r="CR465" i="43"/>
  <c r="CS464" i="43"/>
  <c r="CR464" i="43"/>
  <c r="CS463" i="43"/>
  <c r="CR463" i="43"/>
  <c r="CS462" i="43"/>
  <c r="CR462" i="43"/>
  <c r="CS461" i="43"/>
  <c r="CR461" i="43"/>
  <c r="CS460" i="43"/>
  <c r="CR460" i="43"/>
  <c r="CS459" i="43"/>
  <c r="CR459" i="43"/>
  <c r="CS458" i="43"/>
  <c r="CR458" i="43"/>
  <c r="CS457" i="43"/>
  <c r="CR457" i="43"/>
  <c r="CS456" i="43"/>
  <c r="CR456" i="43"/>
  <c r="CS455" i="43"/>
  <c r="CR455" i="43"/>
  <c r="CS454" i="43"/>
  <c r="CR454" i="43"/>
  <c r="CS453" i="43"/>
  <c r="CR453" i="43"/>
  <c r="CS452" i="43"/>
  <c r="CR452" i="43"/>
  <c r="CS451" i="43"/>
  <c r="CR451" i="43"/>
  <c r="CS450" i="43"/>
  <c r="CR450" i="43"/>
  <c r="CS449" i="43"/>
  <c r="CR449" i="43"/>
  <c r="CS448" i="43"/>
  <c r="CR448" i="43"/>
  <c r="CS447" i="43"/>
  <c r="CR447" i="43"/>
  <c r="CS446" i="43"/>
  <c r="CR446" i="43"/>
  <c r="CS445" i="43"/>
  <c r="CR445" i="43"/>
  <c r="CS444" i="43"/>
  <c r="CR444" i="43"/>
  <c r="CS443" i="43"/>
  <c r="CR443" i="43"/>
  <c r="CS442" i="43"/>
  <c r="CR442" i="43"/>
  <c r="CS441" i="43"/>
  <c r="CR441" i="43"/>
  <c r="CS440" i="43"/>
  <c r="CR440" i="43"/>
  <c r="CS439" i="43"/>
  <c r="CR439" i="43"/>
  <c r="CS438" i="43"/>
  <c r="CR438" i="43"/>
  <c r="CS437" i="43"/>
  <c r="CR437" i="43"/>
  <c r="CS436" i="43"/>
  <c r="CR436" i="43"/>
  <c r="CS435" i="43"/>
  <c r="CR435" i="43"/>
  <c r="CS434" i="43"/>
  <c r="CR434" i="43"/>
  <c r="CS433" i="43"/>
  <c r="CR433" i="43"/>
  <c r="CS432" i="43"/>
  <c r="CR432" i="43"/>
  <c r="CS431" i="43"/>
  <c r="CR431" i="43"/>
  <c r="CS430" i="43"/>
  <c r="CR430" i="43"/>
  <c r="CS429" i="43"/>
  <c r="CR429" i="43"/>
  <c r="CS428" i="43"/>
  <c r="CR428" i="43"/>
  <c r="CS427" i="43"/>
  <c r="CR427" i="43"/>
  <c r="CS426" i="43"/>
  <c r="CR426" i="43"/>
  <c r="CS425" i="43"/>
  <c r="CR425" i="43"/>
  <c r="CS424" i="43"/>
  <c r="CR424" i="43"/>
  <c r="CS423" i="43"/>
  <c r="CR423" i="43"/>
  <c r="CS422" i="43"/>
  <c r="CR422" i="43"/>
  <c r="CS421" i="43"/>
  <c r="CR421" i="43"/>
  <c r="CS420" i="43"/>
  <c r="CR420" i="43"/>
  <c r="CS419" i="43"/>
  <c r="CR419" i="43"/>
  <c r="CS418" i="43"/>
  <c r="CR418" i="43"/>
  <c r="CS417" i="43"/>
  <c r="CR417" i="43"/>
  <c r="CS416" i="43"/>
  <c r="CR416" i="43"/>
  <c r="CS415" i="43"/>
  <c r="CR415" i="43"/>
  <c r="CS414" i="43"/>
  <c r="CR414" i="43"/>
  <c r="CS413" i="43"/>
  <c r="CR413" i="43"/>
  <c r="CS412" i="43"/>
  <c r="CR412" i="43"/>
  <c r="CS411" i="43"/>
  <c r="CR411" i="43"/>
  <c r="CS410" i="43"/>
  <c r="CR410" i="43"/>
  <c r="CS409" i="43"/>
  <c r="CR409" i="43"/>
  <c r="CS408" i="43"/>
  <c r="CR408" i="43"/>
  <c r="CS407" i="43"/>
  <c r="CR407" i="43"/>
  <c r="CS406" i="43"/>
  <c r="CR406" i="43"/>
  <c r="CS405" i="43"/>
  <c r="CR405" i="43"/>
  <c r="CS404" i="43"/>
  <c r="CR404" i="43"/>
  <c r="CS403" i="43"/>
  <c r="CR403" i="43"/>
  <c r="CS402" i="43"/>
  <c r="CR402" i="43"/>
  <c r="CS401" i="43"/>
  <c r="CR401" i="43"/>
  <c r="CS400" i="43"/>
  <c r="CR400" i="43"/>
  <c r="CS399" i="43"/>
  <c r="CR399" i="43"/>
  <c r="CS398" i="43"/>
  <c r="CR398" i="43"/>
  <c r="CS397" i="43"/>
  <c r="CR397" i="43"/>
  <c r="CS396" i="43"/>
  <c r="CR396" i="43"/>
  <c r="CS395" i="43"/>
  <c r="CR395" i="43"/>
  <c r="CS394" i="43"/>
  <c r="CR394" i="43"/>
  <c r="CS393" i="43"/>
  <c r="CR393" i="43"/>
  <c r="CS392" i="43"/>
  <c r="CR392" i="43"/>
  <c r="CS391" i="43"/>
  <c r="CR391" i="43"/>
  <c r="CS390" i="43"/>
  <c r="CR390" i="43"/>
  <c r="CS389" i="43"/>
  <c r="CR389" i="43"/>
  <c r="CS388" i="43"/>
  <c r="CR388" i="43"/>
  <c r="CS387" i="43"/>
  <c r="CR387" i="43"/>
  <c r="CS386" i="43"/>
  <c r="CR386" i="43"/>
  <c r="CS385" i="43"/>
  <c r="CR385" i="43"/>
  <c r="CS384" i="43"/>
  <c r="CR384" i="43"/>
  <c r="CS383" i="43"/>
  <c r="CR383" i="43"/>
  <c r="CS382" i="43"/>
  <c r="CR382" i="43"/>
  <c r="CS381" i="43"/>
  <c r="CR381" i="43"/>
  <c r="CS380" i="43"/>
  <c r="CR380" i="43"/>
  <c r="CS379" i="43"/>
  <c r="CR379" i="43"/>
  <c r="CS378" i="43"/>
  <c r="CR378" i="43"/>
  <c r="CS377" i="43"/>
  <c r="CR377" i="43"/>
  <c r="CS376" i="43"/>
  <c r="CR376" i="43"/>
  <c r="CS375" i="43"/>
  <c r="CR375" i="43"/>
  <c r="CS374" i="43"/>
  <c r="CR374" i="43"/>
  <c r="CS373" i="43"/>
  <c r="CR373" i="43"/>
  <c r="CS372" i="43"/>
  <c r="CR372" i="43"/>
  <c r="CS371" i="43"/>
  <c r="CR371" i="43"/>
  <c r="CS370" i="43"/>
  <c r="CR370" i="43"/>
  <c r="CS369" i="43"/>
  <c r="CR369" i="43"/>
  <c r="CS368" i="43"/>
  <c r="CR368" i="43"/>
  <c r="CS367" i="43"/>
  <c r="CR367" i="43"/>
  <c r="CS366" i="43"/>
  <c r="CR366" i="43"/>
  <c r="CS365" i="43"/>
  <c r="CR365" i="43"/>
  <c r="CS364" i="43"/>
  <c r="CR364" i="43"/>
  <c r="CS363" i="43"/>
  <c r="CR363" i="43"/>
  <c r="CS362" i="43"/>
  <c r="CR362" i="43"/>
  <c r="CS361" i="43"/>
  <c r="CR361" i="43"/>
  <c r="CS360" i="43"/>
  <c r="CR360" i="43"/>
  <c r="CS359" i="43"/>
  <c r="CR359" i="43"/>
  <c r="CS358" i="43"/>
  <c r="CR358" i="43"/>
  <c r="CS357" i="43"/>
  <c r="CR357" i="43"/>
  <c r="CS356" i="43"/>
  <c r="CR356" i="43"/>
  <c r="CS355" i="43"/>
  <c r="CR355" i="43"/>
  <c r="CS354" i="43"/>
  <c r="CR354" i="43"/>
  <c r="CS353" i="43"/>
  <c r="CR353" i="43"/>
  <c r="CS352" i="43"/>
  <c r="CR352" i="43"/>
  <c r="CS351" i="43"/>
  <c r="CR351" i="43"/>
  <c r="CS350" i="43"/>
  <c r="CR350" i="43"/>
  <c r="CS349" i="43"/>
  <c r="CR349" i="43"/>
  <c r="CS348" i="43"/>
  <c r="CR348" i="43"/>
  <c r="CS347" i="43"/>
  <c r="CR347" i="43"/>
  <c r="CS346" i="43"/>
  <c r="CR346" i="43"/>
  <c r="CS345" i="43"/>
  <c r="CR345" i="43"/>
  <c r="CS344" i="43"/>
  <c r="CR344" i="43"/>
  <c r="CS343" i="43"/>
  <c r="CR343" i="43"/>
  <c r="CS342" i="43"/>
  <c r="CR342" i="43"/>
  <c r="CS341" i="43"/>
  <c r="CR341" i="43"/>
  <c r="CS340" i="43"/>
  <c r="CR340" i="43"/>
  <c r="CS339" i="43"/>
  <c r="CR339" i="43"/>
  <c r="CS338" i="43"/>
  <c r="CR338" i="43"/>
  <c r="CS337" i="43"/>
  <c r="CR337" i="43"/>
  <c r="CS336" i="43"/>
  <c r="CR336" i="43"/>
  <c r="CS335" i="43"/>
  <c r="CR335" i="43"/>
  <c r="CS334" i="43"/>
  <c r="CR334" i="43"/>
  <c r="CS333" i="43"/>
  <c r="CR333" i="43"/>
  <c r="CS332" i="43"/>
  <c r="CR332" i="43"/>
  <c r="CS331" i="43"/>
  <c r="CR331" i="43"/>
  <c r="CS330" i="43"/>
  <c r="CR330" i="43"/>
  <c r="CS329" i="43"/>
  <c r="CR329" i="43"/>
  <c r="CS328" i="43"/>
  <c r="CR328" i="43"/>
  <c r="CS327" i="43"/>
  <c r="CR327" i="43"/>
  <c r="CS326" i="43"/>
  <c r="CR326" i="43"/>
  <c r="CS325" i="43"/>
  <c r="CR325" i="43"/>
  <c r="CS324" i="43"/>
  <c r="CR324" i="43"/>
  <c r="CS323" i="43"/>
  <c r="CR323" i="43"/>
  <c r="CS322" i="43"/>
  <c r="CR322" i="43"/>
  <c r="CS321" i="43"/>
  <c r="CR321" i="43"/>
  <c r="CS320" i="43"/>
  <c r="CR320" i="43"/>
  <c r="CS319" i="43"/>
  <c r="CR319" i="43"/>
  <c r="CS318" i="43"/>
  <c r="CR318" i="43"/>
  <c r="CS317" i="43"/>
  <c r="CR317" i="43"/>
  <c r="CS316" i="43"/>
  <c r="CR316" i="43"/>
  <c r="CS315" i="43"/>
  <c r="CR315" i="43"/>
  <c r="CS314" i="43"/>
  <c r="CR314" i="43"/>
  <c r="CS313" i="43"/>
  <c r="CR313" i="43"/>
  <c r="CS312" i="43"/>
  <c r="CR312" i="43"/>
  <c r="CS311" i="43"/>
  <c r="CR311" i="43"/>
  <c r="CS310" i="43"/>
  <c r="CR310" i="43"/>
  <c r="CS309" i="43"/>
  <c r="CR309" i="43"/>
  <c r="CS308" i="43"/>
  <c r="CR308" i="43"/>
  <c r="CS307" i="43"/>
  <c r="CR307" i="43"/>
  <c r="CS306" i="43"/>
  <c r="CR306" i="43"/>
  <c r="CS305" i="43"/>
  <c r="CR305" i="43"/>
  <c r="CS304" i="43"/>
  <c r="CR304" i="43"/>
  <c r="CS303" i="43"/>
  <c r="CR303" i="43"/>
  <c r="CS302" i="43"/>
  <c r="CR302" i="43"/>
  <c r="CS301" i="43"/>
  <c r="CR301" i="43"/>
  <c r="CS300" i="43"/>
  <c r="CR300" i="43"/>
  <c r="CS299" i="43"/>
  <c r="CR299" i="43"/>
  <c r="CS298" i="43"/>
  <c r="CR298" i="43"/>
  <c r="CS297" i="43"/>
  <c r="CR297" i="43"/>
  <c r="CS296" i="43"/>
  <c r="CR296" i="43"/>
  <c r="CS295" i="43"/>
  <c r="CR295" i="43"/>
  <c r="CS294" i="43"/>
  <c r="CR294" i="43"/>
  <c r="CS293" i="43"/>
  <c r="CR293" i="43"/>
  <c r="CS292" i="43"/>
  <c r="CR292" i="43"/>
  <c r="CS291" i="43"/>
  <c r="CR291" i="43"/>
  <c r="CS290" i="43"/>
  <c r="CR290" i="43"/>
  <c r="CS289" i="43"/>
  <c r="CR289" i="43"/>
  <c r="CS288" i="43"/>
  <c r="CR288" i="43"/>
  <c r="CS287" i="43"/>
  <c r="CR287" i="43"/>
  <c r="CS286" i="43"/>
  <c r="CR286" i="43"/>
  <c r="CS285" i="43"/>
  <c r="CR285" i="43"/>
  <c r="CS284" i="43"/>
  <c r="CR284" i="43"/>
  <c r="CS283" i="43"/>
  <c r="CR283" i="43"/>
  <c r="CS282" i="43"/>
  <c r="CR282" i="43"/>
  <c r="CS281" i="43"/>
  <c r="CR281" i="43"/>
  <c r="CS280" i="43"/>
  <c r="CR280" i="43"/>
  <c r="CS279" i="43"/>
  <c r="CR279" i="43"/>
  <c r="CS278" i="43"/>
  <c r="CR278" i="43"/>
  <c r="CS277" i="43"/>
  <c r="CR277" i="43"/>
  <c r="CS276" i="43"/>
  <c r="CR276" i="43"/>
  <c r="CS275" i="43"/>
  <c r="CR275" i="43"/>
  <c r="CS274" i="43"/>
  <c r="CR274" i="43"/>
  <c r="CS273" i="43"/>
  <c r="CR273" i="43"/>
  <c r="CS272" i="43"/>
  <c r="CR272" i="43"/>
  <c r="CS271" i="43"/>
  <c r="CR271" i="43"/>
  <c r="CS270" i="43"/>
  <c r="CR270" i="43"/>
  <c r="CS269" i="43"/>
  <c r="CR269" i="43"/>
  <c r="CS268" i="43"/>
  <c r="CR268" i="43"/>
  <c r="CS267" i="43"/>
  <c r="CR267" i="43"/>
  <c r="CS266" i="43"/>
  <c r="CR266" i="43"/>
  <c r="CS265" i="43"/>
  <c r="CR265" i="43"/>
  <c r="CS264" i="43"/>
  <c r="CR264" i="43"/>
  <c r="CS263" i="43"/>
  <c r="CR263" i="43"/>
  <c r="CS262" i="43"/>
  <c r="CR262" i="43"/>
  <c r="CS261" i="43"/>
  <c r="CR261" i="43"/>
  <c r="CS260" i="43"/>
  <c r="CR260" i="43"/>
  <c r="CS259" i="43"/>
  <c r="CR259" i="43"/>
  <c r="CS258" i="43"/>
  <c r="CR258" i="43"/>
  <c r="CS257" i="43"/>
  <c r="CR257" i="43"/>
  <c r="CS256" i="43"/>
  <c r="CR256" i="43"/>
  <c r="CS255" i="43"/>
  <c r="CR255" i="43"/>
  <c r="CS254" i="43"/>
  <c r="CR254" i="43"/>
  <c r="CS253" i="43"/>
  <c r="CR253" i="43"/>
  <c r="CS252" i="43"/>
  <c r="CR252" i="43"/>
  <c r="CS251" i="43"/>
  <c r="CR251" i="43"/>
  <c r="CS250" i="43"/>
  <c r="CR250" i="43"/>
  <c r="CS249" i="43"/>
  <c r="CR249" i="43"/>
  <c r="CS248" i="43"/>
  <c r="CR248" i="43"/>
  <c r="CS247" i="43"/>
  <c r="CR247" i="43"/>
  <c r="CS246" i="43"/>
  <c r="CR246" i="43"/>
  <c r="CS245" i="43"/>
  <c r="CR245" i="43"/>
  <c r="CS244" i="43"/>
  <c r="CR244" i="43"/>
  <c r="CS243" i="43"/>
  <c r="CR243" i="43"/>
  <c r="CS242" i="43"/>
  <c r="CR242" i="43"/>
  <c r="CS241" i="43"/>
  <c r="CR241" i="43"/>
  <c r="CS240" i="43"/>
  <c r="CR240" i="43"/>
  <c r="CS239" i="43"/>
  <c r="CR239" i="43"/>
  <c r="CS238" i="43"/>
  <c r="CR238" i="43"/>
  <c r="CS237" i="43"/>
  <c r="CR237" i="43"/>
  <c r="CS236" i="43"/>
  <c r="CR236" i="43"/>
  <c r="CS235" i="43"/>
  <c r="CR235" i="43"/>
  <c r="CS234" i="43"/>
  <c r="CR234" i="43"/>
  <c r="CS233" i="43"/>
  <c r="CR233" i="43"/>
  <c r="CS232" i="43"/>
  <c r="CR232" i="43"/>
  <c r="CS231" i="43"/>
  <c r="CR231" i="43"/>
  <c r="CS230" i="43"/>
  <c r="CR230" i="43"/>
  <c r="CS229" i="43"/>
  <c r="CR229" i="43"/>
  <c r="CS228" i="43"/>
  <c r="CR228" i="43"/>
  <c r="CS227" i="43"/>
  <c r="CR227" i="43"/>
  <c r="CS226" i="43"/>
  <c r="CR226" i="43"/>
  <c r="CS225" i="43"/>
  <c r="CR225" i="43"/>
  <c r="CS224" i="43"/>
  <c r="CR224" i="43"/>
  <c r="CS223" i="43"/>
  <c r="CR223" i="43"/>
  <c r="CS222" i="43"/>
  <c r="CR222" i="43"/>
  <c r="CS221" i="43"/>
  <c r="CR221" i="43"/>
  <c r="CS220" i="43"/>
  <c r="CR220" i="43"/>
  <c r="CS219" i="43"/>
  <c r="CR219" i="43"/>
  <c r="CS218" i="43"/>
  <c r="CR218" i="43"/>
  <c r="CS217" i="43"/>
  <c r="CR217" i="43"/>
  <c r="CS216" i="43"/>
  <c r="CR216" i="43"/>
  <c r="CS215" i="43"/>
  <c r="CR215" i="43"/>
  <c r="CS214" i="43"/>
  <c r="CR214" i="43"/>
  <c r="CS213" i="43"/>
  <c r="CR213" i="43"/>
  <c r="CS212" i="43"/>
  <c r="CR212" i="43"/>
  <c r="CS211" i="43"/>
  <c r="CR211" i="43"/>
  <c r="CS210" i="43"/>
  <c r="CR210" i="43"/>
  <c r="CS209" i="43"/>
  <c r="CR209" i="43"/>
  <c r="CS208" i="43"/>
  <c r="CR208" i="43"/>
  <c r="CS207" i="43"/>
  <c r="CR207" i="43"/>
  <c r="CS206" i="43"/>
  <c r="CR206" i="43"/>
  <c r="CS205" i="43"/>
  <c r="CR205" i="43"/>
  <c r="CS204" i="43"/>
  <c r="CR204" i="43"/>
  <c r="CS203" i="43"/>
  <c r="CR203" i="43"/>
  <c r="CS202" i="43"/>
  <c r="CR202" i="43"/>
  <c r="CS201" i="43"/>
  <c r="CR201" i="43"/>
  <c r="CS200" i="43"/>
  <c r="CR200" i="43"/>
  <c r="CS199" i="43"/>
  <c r="CR199" i="43"/>
  <c r="CS198" i="43"/>
  <c r="CR198" i="43"/>
  <c r="CS197" i="43"/>
  <c r="CR197" i="43"/>
  <c r="CS196" i="43"/>
  <c r="CR196" i="43"/>
  <c r="CS195" i="43"/>
  <c r="CR195" i="43"/>
  <c r="CS194" i="43"/>
  <c r="CR194" i="43"/>
  <c r="CS193" i="43"/>
  <c r="CR193" i="43"/>
  <c r="CS192" i="43"/>
  <c r="CR192" i="43"/>
  <c r="CS191" i="43"/>
  <c r="CR191" i="43"/>
  <c r="CS190" i="43"/>
  <c r="CR190" i="43"/>
  <c r="CS189" i="43"/>
  <c r="CR189" i="43"/>
  <c r="CS188" i="43"/>
  <c r="CR188" i="43"/>
  <c r="CS187" i="43"/>
  <c r="CR187" i="43"/>
  <c r="CS186" i="43"/>
  <c r="CR186" i="43"/>
  <c r="CS185" i="43"/>
  <c r="CR185" i="43"/>
  <c r="CS184" i="43"/>
  <c r="CR184" i="43"/>
  <c r="CS183" i="43"/>
  <c r="CR183" i="43"/>
  <c r="CS182" i="43"/>
  <c r="CR182" i="43"/>
  <c r="CS181" i="43"/>
  <c r="CR181" i="43"/>
  <c r="CS180" i="43"/>
  <c r="CR180" i="43"/>
  <c r="CS179" i="43"/>
  <c r="CR179" i="43"/>
  <c r="CS178" i="43"/>
  <c r="CR178" i="43"/>
  <c r="CS177" i="43"/>
  <c r="CR177" i="43"/>
  <c r="CS176" i="43"/>
  <c r="CR176" i="43"/>
  <c r="CS175" i="43"/>
  <c r="CR175" i="43"/>
  <c r="CS174" i="43"/>
  <c r="CR174" i="43"/>
  <c r="CS173" i="43"/>
  <c r="CR173" i="43"/>
  <c r="CS172" i="43"/>
  <c r="CR172" i="43"/>
  <c r="CS171" i="43"/>
  <c r="CR171" i="43"/>
  <c r="CS170" i="43"/>
  <c r="CR170" i="43"/>
  <c r="CS169" i="43"/>
  <c r="CR169" i="43"/>
  <c r="CS168" i="43"/>
  <c r="CR168" i="43"/>
  <c r="CS167" i="43"/>
  <c r="CR167" i="43"/>
  <c r="CS166" i="43"/>
  <c r="CR166" i="43"/>
  <c r="CS165" i="43"/>
  <c r="CR165" i="43"/>
  <c r="CS164" i="43"/>
  <c r="CR164" i="43"/>
  <c r="CS163" i="43"/>
  <c r="CR163" i="43"/>
  <c r="CS162" i="43"/>
  <c r="CR162" i="43"/>
  <c r="CS161" i="43"/>
  <c r="CR161" i="43"/>
  <c r="CS160" i="43"/>
  <c r="CR160" i="43"/>
  <c r="CS159" i="43"/>
  <c r="CR159" i="43"/>
  <c r="CS158" i="43"/>
  <c r="CR158" i="43"/>
  <c r="CS157" i="43"/>
  <c r="CR157" i="43"/>
  <c r="CS156" i="43"/>
  <c r="CR156" i="43"/>
  <c r="CS155" i="43"/>
  <c r="CR155" i="43"/>
  <c r="CS154" i="43"/>
  <c r="CR154" i="43"/>
  <c r="CS153" i="43"/>
  <c r="CR153" i="43"/>
  <c r="CS152" i="43"/>
  <c r="CR152" i="43"/>
  <c r="CS151" i="43"/>
  <c r="CR151" i="43"/>
  <c r="CS150" i="43"/>
  <c r="CR150" i="43"/>
  <c r="CS149" i="43"/>
  <c r="CR149" i="43"/>
  <c r="CS148" i="43"/>
  <c r="CR148" i="43"/>
  <c r="CS147" i="43"/>
  <c r="CR147" i="43"/>
  <c r="CS146" i="43"/>
  <c r="CR146" i="43"/>
  <c r="CS145" i="43"/>
  <c r="CR145" i="43"/>
  <c r="CS144" i="43"/>
  <c r="CR144" i="43"/>
  <c r="CS143" i="43"/>
  <c r="CR143" i="43"/>
  <c r="CS142" i="43"/>
  <c r="CR142" i="43"/>
  <c r="CS141" i="43"/>
  <c r="CR141" i="43"/>
  <c r="CS140" i="43"/>
  <c r="CR140" i="43"/>
  <c r="CS139" i="43"/>
  <c r="CR139" i="43"/>
  <c r="CS138" i="43"/>
  <c r="CR138" i="43"/>
  <c r="CS137" i="43"/>
  <c r="CR137" i="43"/>
  <c r="CS136" i="43"/>
  <c r="CR136" i="43"/>
  <c r="CS135" i="43"/>
  <c r="CR135" i="43"/>
  <c r="CS134" i="43"/>
  <c r="CR134" i="43"/>
  <c r="CS133" i="43"/>
  <c r="CR133" i="43"/>
  <c r="CS132" i="43"/>
  <c r="CR132" i="43"/>
  <c r="CS131" i="43"/>
  <c r="CR131" i="43"/>
  <c r="CS130" i="43"/>
  <c r="CR130" i="43"/>
  <c r="CS129" i="43"/>
  <c r="CR129" i="43"/>
  <c r="CS128" i="43"/>
  <c r="CR128" i="43"/>
  <c r="CS127" i="43"/>
  <c r="CR127" i="43"/>
  <c r="CS126" i="43"/>
  <c r="CR126" i="43"/>
  <c r="CS125" i="43"/>
  <c r="CR125" i="43"/>
  <c r="CS124" i="43"/>
  <c r="CR124" i="43"/>
  <c r="CS123" i="43"/>
  <c r="CR123" i="43"/>
  <c r="CS122" i="43"/>
  <c r="CR122" i="43"/>
  <c r="CS121" i="43"/>
  <c r="CR121" i="43"/>
  <c r="CS120" i="43"/>
  <c r="CR120" i="43"/>
  <c r="CS119" i="43"/>
  <c r="CR119" i="43"/>
  <c r="CS118" i="43"/>
  <c r="CR118" i="43"/>
  <c r="CS117" i="43"/>
  <c r="CR117" i="43"/>
  <c r="CS116" i="43"/>
  <c r="CR116" i="43"/>
  <c r="CS115" i="43"/>
  <c r="CR115" i="43"/>
  <c r="CS114" i="43"/>
  <c r="CR114" i="43"/>
  <c r="CS113" i="43"/>
  <c r="CR113" i="43"/>
  <c r="CS112" i="43"/>
  <c r="CR112" i="43"/>
  <c r="CS111" i="43"/>
  <c r="CR111" i="43"/>
  <c r="CS110" i="43"/>
  <c r="CR110" i="43"/>
  <c r="CS109" i="43"/>
  <c r="CR109" i="43"/>
  <c r="CS108" i="43"/>
  <c r="CR108" i="43"/>
  <c r="CS107" i="43"/>
  <c r="CR107" i="43"/>
  <c r="CS106" i="43"/>
  <c r="CR106" i="43"/>
  <c r="CS105" i="43"/>
  <c r="CR105" i="43"/>
  <c r="CS104" i="43"/>
  <c r="CR104" i="43"/>
  <c r="CS103" i="43"/>
  <c r="CR103" i="43"/>
  <c r="CS102" i="43"/>
  <c r="CR102" i="43"/>
  <c r="CS101" i="43"/>
  <c r="CR101" i="43"/>
  <c r="CS100" i="43"/>
  <c r="CR100" i="43"/>
  <c r="CS99" i="43"/>
  <c r="CR99" i="43"/>
  <c r="CS98" i="43"/>
  <c r="CR98" i="43"/>
  <c r="CS97" i="43"/>
  <c r="CR97" i="43"/>
  <c r="CS96" i="43"/>
  <c r="CR96" i="43"/>
  <c r="CS95" i="43"/>
  <c r="CR95" i="43"/>
  <c r="CS94" i="43"/>
  <c r="CR94" i="43"/>
  <c r="CS93" i="43"/>
  <c r="CR93" i="43"/>
  <c r="CS92" i="43"/>
  <c r="CR92" i="43"/>
  <c r="CS91" i="43"/>
  <c r="CR91" i="43"/>
  <c r="CS90" i="43"/>
  <c r="CR90" i="43"/>
  <c r="CS89" i="43"/>
  <c r="CR89" i="43"/>
  <c r="CS88" i="43"/>
  <c r="CR88" i="43"/>
  <c r="CS87" i="43"/>
  <c r="CR87" i="43"/>
  <c r="CS86" i="43"/>
  <c r="CR86" i="43"/>
  <c r="CS85" i="43"/>
  <c r="CR85" i="43"/>
  <c r="CS84" i="43"/>
  <c r="CR84" i="43"/>
  <c r="CS83" i="43"/>
  <c r="CR83" i="43"/>
  <c r="CS82" i="43"/>
  <c r="CR82" i="43"/>
  <c r="CS81" i="43"/>
  <c r="CR81" i="43"/>
  <c r="CS80" i="43"/>
  <c r="CR80" i="43"/>
  <c r="CS79" i="43"/>
  <c r="CR79" i="43"/>
  <c r="CS78" i="43"/>
  <c r="CR78" i="43"/>
  <c r="CS77" i="43"/>
  <c r="CR77" i="43"/>
  <c r="CS76" i="43"/>
  <c r="CR76" i="43"/>
  <c r="CS75" i="43"/>
  <c r="CR75" i="43"/>
  <c r="CS74" i="43"/>
  <c r="CR74" i="43"/>
  <c r="CS73" i="43"/>
  <c r="CR73" i="43"/>
  <c r="CS72" i="43"/>
  <c r="CR72" i="43"/>
  <c r="CS71" i="43"/>
  <c r="CR71" i="43"/>
  <c r="CS70" i="43"/>
  <c r="CR70" i="43"/>
  <c r="CS69" i="43"/>
  <c r="CR69" i="43"/>
  <c r="CS68" i="43"/>
  <c r="CR68" i="43"/>
  <c r="CS67" i="43"/>
  <c r="CR67" i="43"/>
  <c r="CS66" i="43"/>
  <c r="CR66" i="43"/>
  <c r="CS65" i="43"/>
  <c r="CR65" i="43"/>
  <c r="CS64" i="43"/>
  <c r="CR64" i="43"/>
  <c r="CS63" i="43"/>
  <c r="CR63" i="43"/>
  <c r="CS62" i="43"/>
  <c r="CR62" i="43"/>
  <c r="CS61" i="43"/>
  <c r="CR61" i="43"/>
  <c r="CS60" i="43"/>
  <c r="CR60" i="43"/>
  <c r="CS59" i="43"/>
  <c r="CR59" i="43"/>
  <c r="CS58" i="43"/>
  <c r="CR58" i="43"/>
  <c r="CS57" i="43"/>
  <c r="CR57" i="43"/>
  <c r="CS56" i="43"/>
  <c r="CR56" i="43"/>
  <c r="CS55" i="43"/>
  <c r="CR55" i="43"/>
  <c r="CS54" i="43"/>
  <c r="CR54" i="43"/>
  <c r="CS53" i="43"/>
  <c r="CR53" i="43"/>
  <c r="CS52" i="43"/>
  <c r="CR52" i="43"/>
  <c r="CS51" i="43"/>
  <c r="CR51" i="43"/>
  <c r="CS50" i="43"/>
  <c r="CR50" i="43"/>
  <c r="CS49" i="43"/>
  <c r="CR49" i="43"/>
  <c r="CS48" i="43"/>
  <c r="CR48" i="43"/>
  <c r="CS47" i="43"/>
  <c r="CR47" i="43"/>
  <c r="CS46" i="43"/>
  <c r="CR46" i="43"/>
  <c r="CS45" i="43"/>
  <c r="CR45" i="43"/>
  <c r="CS44" i="43"/>
  <c r="CR44" i="43"/>
  <c r="CS43" i="43"/>
  <c r="CR43" i="43"/>
  <c r="CS42" i="43"/>
  <c r="CR42" i="43"/>
  <c r="CS41" i="43"/>
  <c r="CR41" i="43"/>
  <c r="CS40" i="43"/>
  <c r="CR40" i="43"/>
  <c r="CS39" i="43"/>
  <c r="CR39" i="43"/>
  <c r="CS38" i="43"/>
  <c r="CR38" i="43"/>
  <c r="CS37" i="43"/>
  <c r="CR37" i="43"/>
  <c r="CS36" i="43"/>
  <c r="CR36" i="43"/>
  <c r="CS35" i="43"/>
  <c r="CR35" i="43"/>
  <c r="CS34" i="43"/>
  <c r="CR34" i="43"/>
  <c r="CS33" i="43"/>
  <c r="CR33" i="43"/>
  <c r="CS32" i="43"/>
  <c r="CR32" i="43"/>
  <c r="CS31" i="43"/>
  <c r="CR31" i="43"/>
  <c r="CS30" i="43"/>
  <c r="CR30" i="43"/>
  <c r="CS29" i="43"/>
  <c r="CR29" i="43"/>
  <c r="CS28" i="43"/>
  <c r="CR28" i="43"/>
  <c r="CS27" i="43"/>
  <c r="CR27" i="43"/>
  <c r="CS26" i="43"/>
  <c r="CR26" i="43"/>
  <c r="CS25" i="43"/>
  <c r="CR25" i="43"/>
  <c r="CS24" i="43"/>
  <c r="CR24" i="43"/>
  <c r="CS23" i="43"/>
  <c r="CR23" i="43"/>
  <c r="CS22" i="43"/>
  <c r="CR22" i="43"/>
  <c r="CS21" i="43"/>
  <c r="CR21" i="43"/>
  <c r="CS20" i="43"/>
  <c r="CR20" i="43"/>
  <c r="CS19" i="43"/>
  <c r="CR19" i="43"/>
  <c r="CS18" i="43"/>
  <c r="CR18" i="43"/>
  <c r="CS17" i="43"/>
  <c r="CR17" i="43"/>
  <c r="CS16" i="43"/>
  <c r="CR16" i="43"/>
  <c r="CS15" i="43"/>
  <c r="CR15" i="43"/>
  <c r="CS14" i="43"/>
  <c r="CR14" i="43"/>
  <c r="CS13" i="43"/>
  <c r="CR13" i="43"/>
  <c r="CS12" i="43"/>
  <c r="CR12" i="43"/>
  <c r="CS11" i="43"/>
  <c r="CR11" i="43"/>
  <c r="CS10" i="43"/>
  <c r="CR10" i="43"/>
  <c r="CS9" i="43"/>
  <c r="CR9" i="43"/>
  <c r="CS8" i="43"/>
  <c r="CR8" i="43"/>
  <c r="CS7" i="43"/>
  <c r="CR7" i="43"/>
  <c r="CS6" i="43"/>
  <c r="CN26" i="43"/>
  <c r="CN25" i="43"/>
  <c r="CN24" i="43"/>
  <c r="CN23" i="43"/>
  <c r="CN22" i="43"/>
  <c r="CN21" i="43"/>
  <c r="CN20" i="43"/>
  <c r="CN19" i="43"/>
  <c r="CN18" i="43"/>
  <c r="CN17" i="43"/>
  <c r="CN16" i="43"/>
  <c r="CN15" i="43"/>
  <c r="CN14" i="43"/>
  <c r="CN13" i="43"/>
  <c r="CN12" i="43"/>
  <c r="CN11" i="43"/>
  <c r="CN10" i="43"/>
  <c r="CN9" i="43"/>
  <c r="CN8" i="43"/>
  <c r="CN7" i="43"/>
  <c r="CN6" i="43"/>
  <c r="B24" i="41"/>
  <c r="F24" i="41"/>
  <c r="E30" i="42"/>
  <c r="D30" i="42"/>
  <c r="E24" i="41"/>
  <c r="B33" i="41" l="1"/>
  <c r="B32" i="41"/>
  <c r="O11" i="42" l="1"/>
  <c r="N12" i="42"/>
  <c r="N11" i="42"/>
  <c r="N9" i="42"/>
  <c r="N10" i="42"/>
  <c r="M11" i="42"/>
  <c r="M12" i="42"/>
  <c r="L12" i="42"/>
  <c r="L11" i="42"/>
  <c r="M10" i="42"/>
  <c r="L10" i="42"/>
  <c r="M9" i="42"/>
  <c r="L9" i="42"/>
  <c r="L9" i="41"/>
  <c r="N10" i="41"/>
  <c r="N9" i="41"/>
  <c r="M10" i="41"/>
  <c r="M9" i="41"/>
  <c r="L10" i="41"/>
  <c r="F45" i="37" l="1"/>
  <c r="E45" i="37"/>
  <c r="I24" i="42"/>
  <c r="I22" i="42"/>
  <c r="CJ488" i="43" l="1"/>
  <c r="CI488" i="43"/>
  <c r="CH488" i="43"/>
  <c r="CG488" i="43"/>
  <c r="CJ487" i="43"/>
  <c r="CI487" i="43"/>
  <c r="CH487" i="43"/>
  <c r="CG487" i="43"/>
  <c r="CJ486" i="43"/>
  <c r="CI486" i="43"/>
  <c r="CH486" i="43"/>
  <c r="CG486" i="43"/>
  <c r="CJ485" i="43"/>
  <c r="CI485" i="43"/>
  <c r="CH485" i="43"/>
  <c r="CG485" i="43"/>
  <c r="CJ484" i="43"/>
  <c r="CI484" i="43"/>
  <c r="CH484" i="43"/>
  <c r="CG484" i="43"/>
  <c r="CJ483" i="43"/>
  <c r="CI483" i="43"/>
  <c r="CH483" i="43"/>
  <c r="CG483" i="43"/>
  <c r="CJ482" i="43"/>
  <c r="CI482" i="43"/>
  <c r="CH482" i="43"/>
  <c r="CG482" i="43"/>
  <c r="CJ481" i="43"/>
  <c r="CI481" i="43"/>
  <c r="CH481" i="43"/>
  <c r="CG481" i="43"/>
  <c r="CJ480" i="43"/>
  <c r="CI480" i="43"/>
  <c r="CH480" i="43"/>
  <c r="CG480" i="43"/>
  <c r="CJ479" i="43"/>
  <c r="CI479" i="43"/>
  <c r="CH479" i="43"/>
  <c r="CG479" i="43"/>
  <c r="CJ478" i="43"/>
  <c r="CI478" i="43"/>
  <c r="CH478" i="43"/>
  <c r="CG478" i="43"/>
  <c r="CJ477" i="43"/>
  <c r="CI477" i="43"/>
  <c r="CH477" i="43"/>
  <c r="CG477" i="43"/>
  <c r="CJ476" i="43"/>
  <c r="CI476" i="43"/>
  <c r="CH476" i="43"/>
  <c r="CG476" i="43"/>
  <c r="CJ475" i="43"/>
  <c r="CI475" i="43"/>
  <c r="CH475" i="43"/>
  <c r="CG475" i="43"/>
  <c r="CJ474" i="43"/>
  <c r="CI474" i="43"/>
  <c r="CH474" i="43"/>
  <c r="CG474" i="43"/>
  <c r="CJ473" i="43"/>
  <c r="CI473" i="43"/>
  <c r="CH473" i="43"/>
  <c r="CG473" i="43"/>
  <c r="CJ472" i="43"/>
  <c r="CI472" i="43"/>
  <c r="CH472" i="43"/>
  <c r="CG472" i="43"/>
  <c r="CJ471" i="43"/>
  <c r="CI471" i="43"/>
  <c r="CH471" i="43"/>
  <c r="CG471" i="43"/>
  <c r="CJ470" i="43"/>
  <c r="CI470" i="43"/>
  <c r="CH470" i="43"/>
  <c r="CG470" i="43"/>
  <c r="CJ469" i="43"/>
  <c r="CI469" i="43"/>
  <c r="CH469" i="43"/>
  <c r="CG469" i="43"/>
  <c r="CJ468" i="43"/>
  <c r="CI468" i="43"/>
  <c r="CH468" i="43"/>
  <c r="CG468" i="43"/>
  <c r="CJ467" i="43"/>
  <c r="CI467" i="43"/>
  <c r="CH467" i="43"/>
  <c r="CG467" i="43"/>
  <c r="CJ466" i="43"/>
  <c r="CI466" i="43"/>
  <c r="CH466" i="43"/>
  <c r="CG466" i="43"/>
  <c r="CJ465" i="43"/>
  <c r="CI465" i="43"/>
  <c r="CH465" i="43"/>
  <c r="CG465" i="43"/>
  <c r="CJ464" i="43"/>
  <c r="CI464" i="43"/>
  <c r="CH464" i="43"/>
  <c r="CG464" i="43"/>
  <c r="CJ463" i="43"/>
  <c r="CI463" i="43"/>
  <c r="CH463" i="43"/>
  <c r="CG463" i="43"/>
  <c r="CJ462" i="43"/>
  <c r="CI462" i="43"/>
  <c r="CH462" i="43"/>
  <c r="CG462" i="43"/>
  <c r="CJ461" i="43"/>
  <c r="CI461" i="43"/>
  <c r="CH461" i="43"/>
  <c r="CG461" i="43"/>
  <c r="CJ460" i="43"/>
  <c r="CI460" i="43"/>
  <c r="CH460" i="43"/>
  <c r="CG460" i="43"/>
  <c r="CJ459" i="43"/>
  <c r="CI459" i="43"/>
  <c r="CH459" i="43"/>
  <c r="CG459" i="43"/>
  <c r="CJ458" i="43"/>
  <c r="CI458" i="43"/>
  <c r="CH458" i="43"/>
  <c r="CG458" i="43"/>
  <c r="CJ457" i="43"/>
  <c r="CI457" i="43"/>
  <c r="CH457" i="43"/>
  <c r="CG457" i="43"/>
  <c r="CJ456" i="43"/>
  <c r="CI456" i="43"/>
  <c r="CH456" i="43"/>
  <c r="CG456" i="43"/>
  <c r="CJ455" i="43"/>
  <c r="CI455" i="43"/>
  <c r="CH455" i="43"/>
  <c r="CG455" i="43"/>
  <c r="CJ454" i="43"/>
  <c r="CI454" i="43"/>
  <c r="CH454" i="43"/>
  <c r="CG454" i="43"/>
  <c r="CJ453" i="43"/>
  <c r="CI453" i="43"/>
  <c r="CH453" i="43"/>
  <c r="CG453" i="43"/>
  <c r="CJ452" i="43"/>
  <c r="CI452" i="43"/>
  <c r="CH452" i="43"/>
  <c r="CG452" i="43"/>
  <c r="CJ451" i="43"/>
  <c r="CI451" i="43"/>
  <c r="CH451" i="43"/>
  <c r="CG451" i="43"/>
  <c r="CJ450" i="43"/>
  <c r="CI450" i="43"/>
  <c r="CH450" i="43"/>
  <c r="CG450" i="43"/>
  <c r="CJ449" i="43"/>
  <c r="CI449" i="43"/>
  <c r="CH449" i="43"/>
  <c r="CG449" i="43"/>
  <c r="CJ448" i="43"/>
  <c r="CI448" i="43"/>
  <c r="CH448" i="43"/>
  <c r="CG448" i="43"/>
  <c r="CJ447" i="43"/>
  <c r="CI447" i="43"/>
  <c r="CH447" i="43"/>
  <c r="CG447" i="43"/>
  <c r="CJ446" i="43"/>
  <c r="CI446" i="43"/>
  <c r="CH446" i="43"/>
  <c r="CG446" i="43"/>
  <c r="CJ445" i="43"/>
  <c r="CI445" i="43"/>
  <c r="CH445" i="43"/>
  <c r="CG445" i="43"/>
  <c r="CJ444" i="43"/>
  <c r="CI444" i="43"/>
  <c r="CH444" i="43"/>
  <c r="CG444" i="43"/>
  <c r="CJ443" i="43"/>
  <c r="CI443" i="43"/>
  <c r="CH443" i="43"/>
  <c r="CG443" i="43"/>
  <c r="CJ442" i="43"/>
  <c r="CI442" i="43"/>
  <c r="CH442" i="43"/>
  <c r="CG442" i="43"/>
  <c r="CJ441" i="43"/>
  <c r="CI441" i="43"/>
  <c r="CH441" i="43"/>
  <c r="CG441" i="43"/>
  <c r="CJ440" i="43"/>
  <c r="CI440" i="43"/>
  <c r="CH440" i="43"/>
  <c r="CG440" i="43"/>
  <c r="CJ439" i="43"/>
  <c r="CI439" i="43"/>
  <c r="CH439" i="43"/>
  <c r="CG439" i="43"/>
  <c r="CJ438" i="43"/>
  <c r="CI438" i="43"/>
  <c r="CH438" i="43"/>
  <c r="CG438" i="43"/>
  <c r="CJ437" i="43"/>
  <c r="CI437" i="43"/>
  <c r="CH437" i="43"/>
  <c r="CG437" i="43"/>
  <c r="CJ436" i="43"/>
  <c r="CI436" i="43"/>
  <c r="CH436" i="43"/>
  <c r="CG436" i="43"/>
  <c r="CJ435" i="43"/>
  <c r="CI435" i="43"/>
  <c r="CH435" i="43"/>
  <c r="CG435" i="43"/>
  <c r="CJ434" i="43"/>
  <c r="CI434" i="43"/>
  <c r="CH434" i="43"/>
  <c r="CG434" i="43"/>
  <c r="CJ433" i="43"/>
  <c r="CI433" i="43"/>
  <c r="CH433" i="43"/>
  <c r="CG433" i="43"/>
  <c r="CJ432" i="43"/>
  <c r="CI432" i="43"/>
  <c r="CH432" i="43"/>
  <c r="CG432" i="43"/>
  <c r="CJ431" i="43"/>
  <c r="CI431" i="43"/>
  <c r="CH431" i="43"/>
  <c r="CG431" i="43"/>
  <c r="CJ430" i="43"/>
  <c r="CI430" i="43"/>
  <c r="CH430" i="43"/>
  <c r="CG430" i="43"/>
  <c r="CJ429" i="43"/>
  <c r="CI429" i="43"/>
  <c r="CH429" i="43"/>
  <c r="CG429" i="43"/>
  <c r="CJ428" i="43"/>
  <c r="CI428" i="43"/>
  <c r="CH428" i="43"/>
  <c r="CG428" i="43"/>
  <c r="CJ427" i="43"/>
  <c r="CI427" i="43"/>
  <c r="CH427" i="43"/>
  <c r="CG427" i="43"/>
  <c r="CJ426" i="43"/>
  <c r="CI426" i="43"/>
  <c r="CH426" i="43"/>
  <c r="CG426" i="43"/>
  <c r="CJ425" i="43"/>
  <c r="CI425" i="43"/>
  <c r="CH425" i="43"/>
  <c r="CG425" i="43"/>
  <c r="CJ424" i="43"/>
  <c r="CI424" i="43"/>
  <c r="CH424" i="43"/>
  <c r="CG424" i="43"/>
  <c r="CJ423" i="43"/>
  <c r="CI423" i="43"/>
  <c r="CH423" i="43"/>
  <c r="CG423" i="43"/>
  <c r="CJ422" i="43"/>
  <c r="CI422" i="43"/>
  <c r="CH422" i="43"/>
  <c r="CG422" i="43"/>
  <c r="CJ421" i="43"/>
  <c r="CI421" i="43"/>
  <c r="CH421" i="43"/>
  <c r="CG421" i="43"/>
  <c r="CJ420" i="43"/>
  <c r="CI420" i="43"/>
  <c r="CH420" i="43"/>
  <c r="CG420" i="43"/>
  <c r="CJ419" i="43"/>
  <c r="CI419" i="43"/>
  <c r="CH419" i="43"/>
  <c r="CG419" i="43"/>
  <c r="CJ418" i="43"/>
  <c r="CI418" i="43"/>
  <c r="CH418" i="43"/>
  <c r="CG418" i="43"/>
  <c r="CJ417" i="43"/>
  <c r="CI417" i="43"/>
  <c r="CH417" i="43"/>
  <c r="CG417" i="43"/>
  <c r="CJ416" i="43"/>
  <c r="CI416" i="43"/>
  <c r="CH416" i="43"/>
  <c r="CG416" i="43"/>
  <c r="CJ415" i="43"/>
  <c r="CI415" i="43"/>
  <c r="CH415" i="43"/>
  <c r="CG415" i="43"/>
  <c r="CJ414" i="43"/>
  <c r="CI414" i="43"/>
  <c r="CH414" i="43"/>
  <c r="CG414" i="43"/>
  <c r="CJ413" i="43"/>
  <c r="CI413" i="43"/>
  <c r="CH413" i="43"/>
  <c r="CG413" i="43"/>
  <c r="CJ412" i="43"/>
  <c r="CI412" i="43"/>
  <c r="CH412" i="43"/>
  <c r="CG412" i="43"/>
  <c r="CJ411" i="43"/>
  <c r="CI411" i="43"/>
  <c r="CH411" i="43"/>
  <c r="CG411" i="43"/>
  <c r="CJ410" i="43"/>
  <c r="CI410" i="43"/>
  <c r="CH410" i="43"/>
  <c r="CG410" i="43"/>
  <c r="CJ409" i="43"/>
  <c r="CI409" i="43"/>
  <c r="CH409" i="43"/>
  <c r="CG409" i="43"/>
  <c r="CJ408" i="43"/>
  <c r="CI408" i="43"/>
  <c r="CH408" i="43"/>
  <c r="CG408" i="43"/>
  <c r="CJ407" i="43"/>
  <c r="CI407" i="43"/>
  <c r="CH407" i="43"/>
  <c r="CG407" i="43"/>
  <c r="CJ406" i="43"/>
  <c r="CI406" i="43"/>
  <c r="CH406" i="43"/>
  <c r="CG406" i="43"/>
  <c r="CJ405" i="43"/>
  <c r="CI405" i="43"/>
  <c r="CH405" i="43"/>
  <c r="CG405" i="43"/>
  <c r="CJ404" i="43"/>
  <c r="CI404" i="43"/>
  <c r="CH404" i="43"/>
  <c r="CG404" i="43"/>
  <c r="CJ403" i="43"/>
  <c r="CI403" i="43"/>
  <c r="CH403" i="43"/>
  <c r="CG403" i="43"/>
  <c r="CJ402" i="43"/>
  <c r="CI402" i="43"/>
  <c r="CH402" i="43"/>
  <c r="CG402" i="43"/>
  <c r="CJ401" i="43"/>
  <c r="CI401" i="43"/>
  <c r="CH401" i="43"/>
  <c r="CG401" i="43"/>
  <c r="CJ400" i="43"/>
  <c r="CI400" i="43"/>
  <c r="CH400" i="43"/>
  <c r="CG400" i="43"/>
  <c r="CJ399" i="43"/>
  <c r="CI399" i="43"/>
  <c r="CH399" i="43"/>
  <c r="CG399" i="43"/>
  <c r="CJ398" i="43"/>
  <c r="CI398" i="43"/>
  <c r="CH398" i="43"/>
  <c r="CG398" i="43"/>
  <c r="CJ397" i="43"/>
  <c r="CI397" i="43"/>
  <c r="CH397" i="43"/>
  <c r="CG397" i="43"/>
  <c r="CJ396" i="43"/>
  <c r="CI396" i="43"/>
  <c r="CH396" i="43"/>
  <c r="CG396" i="43"/>
  <c r="CJ395" i="43"/>
  <c r="CI395" i="43"/>
  <c r="CH395" i="43"/>
  <c r="CG395" i="43"/>
  <c r="CJ394" i="43"/>
  <c r="CI394" i="43"/>
  <c r="CH394" i="43"/>
  <c r="CG394" i="43"/>
  <c r="CJ393" i="43"/>
  <c r="CI393" i="43"/>
  <c r="CH393" i="43"/>
  <c r="CG393" i="43"/>
  <c r="CJ392" i="43"/>
  <c r="CI392" i="43"/>
  <c r="CH392" i="43"/>
  <c r="CG392" i="43"/>
  <c r="CJ391" i="43"/>
  <c r="CI391" i="43"/>
  <c r="CH391" i="43"/>
  <c r="CG391" i="43"/>
  <c r="CJ390" i="43"/>
  <c r="CI390" i="43"/>
  <c r="CH390" i="43"/>
  <c r="CG390" i="43"/>
  <c r="CJ389" i="43"/>
  <c r="CI389" i="43"/>
  <c r="CH389" i="43"/>
  <c r="CG389" i="43"/>
  <c r="CJ388" i="43"/>
  <c r="CI388" i="43"/>
  <c r="CH388" i="43"/>
  <c r="CG388" i="43"/>
  <c r="CJ387" i="43"/>
  <c r="CI387" i="43"/>
  <c r="CH387" i="43"/>
  <c r="CG387" i="43"/>
  <c r="CJ386" i="43"/>
  <c r="CI386" i="43"/>
  <c r="CH386" i="43"/>
  <c r="CG386" i="43"/>
  <c r="CJ385" i="43"/>
  <c r="CI385" i="43"/>
  <c r="CH385" i="43"/>
  <c r="CG385" i="43"/>
  <c r="CJ384" i="43"/>
  <c r="CI384" i="43"/>
  <c r="CH384" i="43"/>
  <c r="CG384" i="43"/>
  <c r="CJ383" i="43"/>
  <c r="CI383" i="43"/>
  <c r="CH383" i="43"/>
  <c r="CG383" i="43"/>
  <c r="CJ382" i="43"/>
  <c r="CI382" i="43"/>
  <c r="CH382" i="43"/>
  <c r="CG382" i="43"/>
  <c r="CJ381" i="43"/>
  <c r="CI381" i="43"/>
  <c r="CH381" i="43"/>
  <c r="CG381" i="43"/>
  <c r="CJ380" i="43"/>
  <c r="CI380" i="43"/>
  <c r="CH380" i="43"/>
  <c r="CG380" i="43"/>
  <c r="CJ379" i="43"/>
  <c r="CI379" i="43"/>
  <c r="CH379" i="43"/>
  <c r="CG379" i="43"/>
  <c r="CJ378" i="43"/>
  <c r="CI378" i="43"/>
  <c r="CH378" i="43"/>
  <c r="CG378" i="43"/>
  <c r="CJ377" i="43"/>
  <c r="CI377" i="43"/>
  <c r="CH377" i="43"/>
  <c r="CG377" i="43"/>
  <c r="CJ376" i="43"/>
  <c r="CI376" i="43"/>
  <c r="CH376" i="43"/>
  <c r="CG376" i="43"/>
  <c r="CJ375" i="43"/>
  <c r="CI375" i="43"/>
  <c r="CH375" i="43"/>
  <c r="CG375" i="43"/>
  <c r="CJ374" i="43"/>
  <c r="CI374" i="43"/>
  <c r="CH374" i="43"/>
  <c r="CG374" i="43"/>
  <c r="CJ373" i="43"/>
  <c r="CI373" i="43"/>
  <c r="CH373" i="43"/>
  <c r="CG373" i="43"/>
  <c r="CJ372" i="43"/>
  <c r="CI372" i="43"/>
  <c r="CH372" i="43"/>
  <c r="CG372" i="43"/>
  <c r="CJ371" i="43"/>
  <c r="CI371" i="43"/>
  <c r="CH371" i="43"/>
  <c r="CG371" i="43"/>
  <c r="CJ370" i="43"/>
  <c r="CI370" i="43"/>
  <c r="CH370" i="43"/>
  <c r="CG370" i="43"/>
  <c r="CJ369" i="43"/>
  <c r="CI369" i="43"/>
  <c r="CH369" i="43"/>
  <c r="CG369" i="43"/>
  <c r="CJ368" i="43"/>
  <c r="CI368" i="43"/>
  <c r="CH368" i="43"/>
  <c r="CG368" i="43"/>
  <c r="CJ367" i="43"/>
  <c r="CI367" i="43"/>
  <c r="CH367" i="43"/>
  <c r="CG367" i="43"/>
  <c r="CJ366" i="43"/>
  <c r="CI366" i="43"/>
  <c r="CH366" i="43"/>
  <c r="CG366" i="43"/>
  <c r="CJ365" i="43"/>
  <c r="CI365" i="43"/>
  <c r="CH365" i="43"/>
  <c r="CG365" i="43"/>
  <c r="CJ364" i="43"/>
  <c r="CI364" i="43"/>
  <c r="CH364" i="43"/>
  <c r="CG364" i="43"/>
  <c r="CJ363" i="43"/>
  <c r="CI363" i="43"/>
  <c r="CH363" i="43"/>
  <c r="CG363" i="43"/>
  <c r="CJ362" i="43"/>
  <c r="CI362" i="43"/>
  <c r="CH362" i="43"/>
  <c r="CG362" i="43"/>
  <c r="CJ361" i="43"/>
  <c r="CI361" i="43"/>
  <c r="CH361" i="43"/>
  <c r="CG361" i="43"/>
  <c r="CJ360" i="43"/>
  <c r="CI360" i="43"/>
  <c r="CH360" i="43"/>
  <c r="CG360" i="43"/>
  <c r="CJ359" i="43"/>
  <c r="CI359" i="43"/>
  <c r="CH359" i="43"/>
  <c r="CG359" i="43"/>
  <c r="CJ358" i="43"/>
  <c r="CI358" i="43"/>
  <c r="CH358" i="43"/>
  <c r="CG358" i="43"/>
  <c r="CJ357" i="43"/>
  <c r="CI357" i="43"/>
  <c r="CH357" i="43"/>
  <c r="CG357" i="43"/>
  <c r="CJ356" i="43"/>
  <c r="CI356" i="43"/>
  <c r="CH356" i="43"/>
  <c r="CG356" i="43"/>
  <c r="CJ355" i="43"/>
  <c r="CI355" i="43"/>
  <c r="CH355" i="43"/>
  <c r="CG355" i="43"/>
  <c r="CJ354" i="43"/>
  <c r="CI354" i="43"/>
  <c r="CH354" i="43"/>
  <c r="CG354" i="43"/>
  <c r="CJ353" i="43"/>
  <c r="CI353" i="43"/>
  <c r="CH353" i="43"/>
  <c r="CG353" i="43"/>
  <c r="CJ352" i="43"/>
  <c r="CI352" i="43"/>
  <c r="CH352" i="43"/>
  <c r="CG352" i="43"/>
  <c r="CJ351" i="43"/>
  <c r="CI351" i="43"/>
  <c r="CH351" i="43"/>
  <c r="CG351" i="43"/>
  <c r="CJ350" i="43"/>
  <c r="CI350" i="43"/>
  <c r="CH350" i="43"/>
  <c r="CG350" i="43"/>
  <c r="CJ349" i="43"/>
  <c r="CI349" i="43"/>
  <c r="CH349" i="43"/>
  <c r="CG349" i="43"/>
  <c r="CJ348" i="43"/>
  <c r="CI348" i="43"/>
  <c r="CH348" i="43"/>
  <c r="CG348" i="43"/>
  <c r="CJ347" i="43"/>
  <c r="CI347" i="43"/>
  <c r="CH347" i="43"/>
  <c r="CG347" i="43"/>
  <c r="CJ346" i="43"/>
  <c r="CI346" i="43"/>
  <c r="CH346" i="43"/>
  <c r="CG346" i="43"/>
  <c r="CJ345" i="43"/>
  <c r="CI345" i="43"/>
  <c r="CH345" i="43"/>
  <c r="CG345" i="43"/>
  <c r="CJ344" i="43"/>
  <c r="CI344" i="43"/>
  <c r="CH344" i="43"/>
  <c r="CG344" i="43"/>
  <c r="CJ343" i="43"/>
  <c r="CI343" i="43"/>
  <c r="CH343" i="43"/>
  <c r="CG343" i="43"/>
  <c r="CJ342" i="43"/>
  <c r="CI342" i="43"/>
  <c r="CH342" i="43"/>
  <c r="CG342" i="43"/>
  <c r="CJ341" i="43"/>
  <c r="CI341" i="43"/>
  <c r="CH341" i="43"/>
  <c r="CG341" i="43"/>
  <c r="CJ340" i="43"/>
  <c r="CI340" i="43"/>
  <c r="CH340" i="43"/>
  <c r="CG340" i="43"/>
  <c r="CJ339" i="43"/>
  <c r="CI339" i="43"/>
  <c r="CH339" i="43"/>
  <c r="CG339" i="43"/>
  <c r="CJ338" i="43"/>
  <c r="CI338" i="43"/>
  <c r="CH338" i="43"/>
  <c r="CG338" i="43"/>
  <c r="CJ337" i="43"/>
  <c r="CI337" i="43"/>
  <c r="CH337" i="43"/>
  <c r="CG337" i="43"/>
  <c r="CJ336" i="43"/>
  <c r="CI336" i="43"/>
  <c r="CH336" i="43"/>
  <c r="CG336" i="43"/>
  <c r="CJ335" i="43"/>
  <c r="CI335" i="43"/>
  <c r="CH335" i="43"/>
  <c r="CG335" i="43"/>
  <c r="CJ334" i="43"/>
  <c r="CI334" i="43"/>
  <c r="CH334" i="43"/>
  <c r="CG334" i="43"/>
  <c r="CJ333" i="43"/>
  <c r="CI333" i="43"/>
  <c r="CH333" i="43"/>
  <c r="CG333" i="43"/>
  <c r="CJ332" i="43"/>
  <c r="CI332" i="43"/>
  <c r="CH332" i="43"/>
  <c r="CG332" i="43"/>
  <c r="CJ331" i="43"/>
  <c r="CI331" i="43"/>
  <c r="CH331" i="43"/>
  <c r="CG331" i="43"/>
  <c r="CJ330" i="43"/>
  <c r="CI330" i="43"/>
  <c r="CH330" i="43"/>
  <c r="CG330" i="43"/>
  <c r="CJ329" i="43"/>
  <c r="CI329" i="43"/>
  <c r="CH329" i="43"/>
  <c r="CG329" i="43"/>
  <c r="CJ328" i="43"/>
  <c r="CI328" i="43"/>
  <c r="CH328" i="43"/>
  <c r="CG328" i="43"/>
  <c r="CJ327" i="43"/>
  <c r="CI327" i="43"/>
  <c r="CH327" i="43"/>
  <c r="CG327" i="43"/>
  <c r="CJ326" i="43"/>
  <c r="CI326" i="43"/>
  <c r="CH326" i="43"/>
  <c r="CG326" i="43"/>
  <c r="CJ325" i="43"/>
  <c r="CI325" i="43"/>
  <c r="CH325" i="43"/>
  <c r="CG325" i="43"/>
  <c r="CJ324" i="43"/>
  <c r="CI324" i="43"/>
  <c r="CH324" i="43"/>
  <c r="CG324" i="43"/>
  <c r="CJ323" i="43"/>
  <c r="CI323" i="43"/>
  <c r="CH323" i="43"/>
  <c r="CG323" i="43"/>
  <c r="CJ322" i="43"/>
  <c r="CI322" i="43"/>
  <c r="CH322" i="43"/>
  <c r="CG322" i="43"/>
  <c r="CJ321" i="43"/>
  <c r="CI321" i="43"/>
  <c r="CH321" i="43"/>
  <c r="CG321" i="43"/>
  <c r="CJ320" i="43"/>
  <c r="CI320" i="43"/>
  <c r="CH320" i="43"/>
  <c r="CG320" i="43"/>
  <c r="CJ319" i="43"/>
  <c r="CI319" i="43"/>
  <c r="CH319" i="43"/>
  <c r="CG319" i="43"/>
  <c r="CJ318" i="43"/>
  <c r="CI318" i="43"/>
  <c r="CH318" i="43"/>
  <c r="CG318" i="43"/>
  <c r="CJ317" i="43"/>
  <c r="CI317" i="43"/>
  <c r="CH317" i="43"/>
  <c r="CG317" i="43"/>
  <c r="CJ316" i="43"/>
  <c r="CI316" i="43"/>
  <c r="CH316" i="43"/>
  <c r="CG316" i="43"/>
  <c r="CJ315" i="43"/>
  <c r="CI315" i="43"/>
  <c r="CH315" i="43"/>
  <c r="CG315" i="43"/>
  <c r="CJ314" i="43"/>
  <c r="CI314" i="43"/>
  <c r="CH314" i="43"/>
  <c r="CG314" i="43"/>
  <c r="CJ313" i="43"/>
  <c r="CI313" i="43"/>
  <c r="CH313" i="43"/>
  <c r="CG313" i="43"/>
  <c r="CJ312" i="43"/>
  <c r="CI312" i="43"/>
  <c r="CH312" i="43"/>
  <c r="CG312" i="43"/>
  <c r="CJ311" i="43"/>
  <c r="CI311" i="43"/>
  <c r="CH311" i="43"/>
  <c r="CG311" i="43"/>
  <c r="CJ310" i="43"/>
  <c r="CI310" i="43"/>
  <c r="CH310" i="43"/>
  <c r="CG310" i="43"/>
  <c r="CJ309" i="43"/>
  <c r="CI309" i="43"/>
  <c r="CH309" i="43"/>
  <c r="CG309" i="43"/>
  <c r="CJ308" i="43"/>
  <c r="CI308" i="43"/>
  <c r="CH308" i="43"/>
  <c r="CG308" i="43"/>
  <c r="CJ307" i="43"/>
  <c r="CI307" i="43"/>
  <c r="CH307" i="43"/>
  <c r="CG307" i="43"/>
  <c r="CJ306" i="43"/>
  <c r="CI306" i="43"/>
  <c r="CH306" i="43"/>
  <c r="CG306" i="43"/>
  <c r="CJ305" i="43"/>
  <c r="CI305" i="43"/>
  <c r="CH305" i="43"/>
  <c r="CG305" i="43"/>
  <c r="CJ304" i="43"/>
  <c r="CI304" i="43"/>
  <c r="CH304" i="43"/>
  <c r="CG304" i="43"/>
  <c r="CJ303" i="43"/>
  <c r="CI303" i="43"/>
  <c r="CH303" i="43"/>
  <c r="CG303" i="43"/>
  <c r="CJ302" i="43"/>
  <c r="CI302" i="43"/>
  <c r="CH302" i="43"/>
  <c r="CG302" i="43"/>
  <c r="CJ301" i="43"/>
  <c r="CI301" i="43"/>
  <c r="CH301" i="43"/>
  <c r="CG301" i="43"/>
  <c r="CJ300" i="43"/>
  <c r="CI300" i="43"/>
  <c r="CH300" i="43"/>
  <c r="CG300" i="43"/>
  <c r="CJ299" i="43"/>
  <c r="CI299" i="43"/>
  <c r="CH299" i="43"/>
  <c r="CG299" i="43"/>
  <c r="CJ298" i="43"/>
  <c r="CI298" i="43"/>
  <c r="CH298" i="43"/>
  <c r="CG298" i="43"/>
  <c r="CJ297" i="43"/>
  <c r="CI297" i="43"/>
  <c r="CH297" i="43"/>
  <c r="CG297" i="43"/>
  <c r="CJ296" i="43"/>
  <c r="CI296" i="43"/>
  <c r="CH296" i="43"/>
  <c r="CG296" i="43"/>
  <c r="CJ295" i="43"/>
  <c r="CI295" i="43"/>
  <c r="CH295" i="43"/>
  <c r="CG295" i="43"/>
  <c r="CJ294" i="43"/>
  <c r="CI294" i="43"/>
  <c r="CH294" i="43"/>
  <c r="CG294" i="43"/>
  <c r="CJ293" i="43"/>
  <c r="CI293" i="43"/>
  <c r="CH293" i="43"/>
  <c r="CG293" i="43"/>
  <c r="CJ292" i="43"/>
  <c r="CI292" i="43"/>
  <c r="CH292" i="43"/>
  <c r="CG292" i="43"/>
  <c r="CJ291" i="43"/>
  <c r="CI291" i="43"/>
  <c r="CH291" i="43"/>
  <c r="CG291" i="43"/>
  <c r="CJ290" i="43"/>
  <c r="CI290" i="43"/>
  <c r="CH290" i="43"/>
  <c r="CG290" i="43"/>
  <c r="CJ289" i="43"/>
  <c r="CI289" i="43"/>
  <c r="CH289" i="43"/>
  <c r="CG289" i="43"/>
  <c r="CJ288" i="43"/>
  <c r="CI288" i="43"/>
  <c r="CH288" i="43"/>
  <c r="CG288" i="43"/>
  <c r="CJ287" i="43"/>
  <c r="CI287" i="43"/>
  <c r="CH287" i="43"/>
  <c r="CG287" i="43"/>
  <c r="CJ286" i="43"/>
  <c r="CI286" i="43"/>
  <c r="CH286" i="43"/>
  <c r="CG286" i="43"/>
  <c r="CJ285" i="43"/>
  <c r="CI285" i="43"/>
  <c r="CH285" i="43"/>
  <c r="CG285" i="43"/>
  <c r="CJ284" i="43"/>
  <c r="CI284" i="43"/>
  <c r="CH284" i="43"/>
  <c r="CG284" i="43"/>
  <c r="CJ283" i="43"/>
  <c r="CI283" i="43"/>
  <c r="CH283" i="43"/>
  <c r="CG283" i="43"/>
  <c r="CJ282" i="43"/>
  <c r="CI282" i="43"/>
  <c r="CH282" i="43"/>
  <c r="CG282" i="43"/>
  <c r="CJ281" i="43"/>
  <c r="CI281" i="43"/>
  <c r="CH281" i="43"/>
  <c r="CG281" i="43"/>
  <c r="CJ280" i="43"/>
  <c r="CI280" i="43"/>
  <c r="CH280" i="43"/>
  <c r="CG280" i="43"/>
  <c r="CJ279" i="43"/>
  <c r="CI279" i="43"/>
  <c r="CH279" i="43"/>
  <c r="CG279" i="43"/>
  <c r="CJ278" i="43"/>
  <c r="CI278" i="43"/>
  <c r="CH278" i="43"/>
  <c r="CG278" i="43"/>
  <c r="CJ277" i="43"/>
  <c r="CI277" i="43"/>
  <c r="CH277" i="43"/>
  <c r="CG277" i="43"/>
  <c r="CJ276" i="43"/>
  <c r="CI276" i="43"/>
  <c r="CH276" i="43"/>
  <c r="CG276" i="43"/>
  <c r="CJ275" i="43"/>
  <c r="CI275" i="43"/>
  <c r="CH275" i="43"/>
  <c r="CG275" i="43"/>
  <c r="CJ274" i="43"/>
  <c r="CI274" i="43"/>
  <c r="CH274" i="43"/>
  <c r="CG274" i="43"/>
  <c r="CJ273" i="43"/>
  <c r="CI273" i="43"/>
  <c r="CH273" i="43"/>
  <c r="CG273" i="43"/>
  <c r="CJ272" i="43"/>
  <c r="CI272" i="43"/>
  <c r="CH272" i="43"/>
  <c r="CG272" i="43"/>
  <c r="CJ271" i="43"/>
  <c r="CI271" i="43"/>
  <c r="CH271" i="43"/>
  <c r="CG271" i="43"/>
  <c r="CJ270" i="43"/>
  <c r="CI270" i="43"/>
  <c r="CH270" i="43"/>
  <c r="CG270" i="43"/>
  <c r="CJ269" i="43"/>
  <c r="CI269" i="43"/>
  <c r="CH269" i="43"/>
  <c r="CG269" i="43"/>
  <c r="CJ268" i="43"/>
  <c r="CI268" i="43"/>
  <c r="CH268" i="43"/>
  <c r="CG268" i="43"/>
  <c r="CJ267" i="43"/>
  <c r="CI267" i="43"/>
  <c r="CH267" i="43"/>
  <c r="CG267" i="43"/>
  <c r="CJ266" i="43"/>
  <c r="CI266" i="43"/>
  <c r="CH266" i="43"/>
  <c r="CG266" i="43"/>
  <c r="CJ265" i="43"/>
  <c r="CI265" i="43"/>
  <c r="CH265" i="43"/>
  <c r="CG265" i="43"/>
  <c r="CJ264" i="43"/>
  <c r="CI264" i="43"/>
  <c r="CH264" i="43"/>
  <c r="CG264" i="43"/>
  <c r="CJ263" i="43"/>
  <c r="CI263" i="43"/>
  <c r="CH263" i="43"/>
  <c r="CG263" i="43"/>
  <c r="CJ262" i="43"/>
  <c r="CI262" i="43"/>
  <c r="CH262" i="43"/>
  <c r="CG262" i="43"/>
  <c r="CJ261" i="43"/>
  <c r="CI261" i="43"/>
  <c r="CH261" i="43"/>
  <c r="CG261" i="43"/>
  <c r="CJ260" i="43"/>
  <c r="CI260" i="43"/>
  <c r="CH260" i="43"/>
  <c r="CG260" i="43"/>
  <c r="CJ259" i="43"/>
  <c r="CI259" i="43"/>
  <c r="CH259" i="43"/>
  <c r="CG259" i="43"/>
  <c r="CJ258" i="43"/>
  <c r="CI258" i="43"/>
  <c r="CH258" i="43"/>
  <c r="CG258" i="43"/>
  <c r="CJ257" i="43"/>
  <c r="CI257" i="43"/>
  <c r="CH257" i="43"/>
  <c r="CG257" i="43"/>
  <c r="CJ256" i="43"/>
  <c r="CI256" i="43"/>
  <c r="CH256" i="43"/>
  <c r="CG256" i="43"/>
  <c r="CJ255" i="43"/>
  <c r="CI255" i="43"/>
  <c r="CH255" i="43"/>
  <c r="CG255" i="43"/>
  <c r="CJ254" i="43"/>
  <c r="CI254" i="43"/>
  <c r="CH254" i="43"/>
  <c r="CG254" i="43"/>
  <c r="CJ253" i="43"/>
  <c r="CI253" i="43"/>
  <c r="CH253" i="43"/>
  <c r="CG253" i="43"/>
  <c r="CJ252" i="43"/>
  <c r="CI252" i="43"/>
  <c r="CH252" i="43"/>
  <c r="CG252" i="43"/>
  <c r="CJ251" i="43"/>
  <c r="CI251" i="43"/>
  <c r="CH251" i="43"/>
  <c r="CG251" i="43"/>
  <c r="CJ250" i="43"/>
  <c r="CI250" i="43"/>
  <c r="CH250" i="43"/>
  <c r="CG250" i="43"/>
  <c r="CJ249" i="43"/>
  <c r="CI249" i="43"/>
  <c r="CH249" i="43"/>
  <c r="CG249" i="43"/>
  <c r="CJ248" i="43"/>
  <c r="CI248" i="43"/>
  <c r="CH248" i="43"/>
  <c r="CG248" i="43"/>
  <c r="CJ247" i="43"/>
  <c r="CI247" i="43"/>
  <c r="CH247" i="43"/>
  <c r="CG247" i="43"/>
  <c r="CJ246" i="43"/>
  <c r="CI246" i="43"/>
  <c r="CH246" i="43"/>
  <c r="CG246" i="43"/>
  <c r="CJ245" i="43"/>
  <c r="CI245" i="43"/>
  <c r="CH245" i="43"/>
  <c r="CG245" i="43"/>
  <c r="CJ244" i="43"/>
  <c r="CI244" i="43"/>
  <c r="CH244" i="43"/>
  <c r="CG244" i="43"/>
  <c r="CJ243" i="43"/>
  <c r="CI243" i="43"/>
  <c r="CH243" i="43"/>
  <c r="CG243" i="43"/>
  <c r="CJ242" i="43"/>
  <c r="CI242" i="43"/>
  <c r="CH242" i="43"/>
  <c r="CG242" i="43"/>
  <c r="CJ241" i="43"/>
  <c r="CI241" i="43"/>
  <c r="CH241" i="43"/>
  <c r="CG241" i="43"/>
  <c r="CJ240" i="43"/>
  <c r="CI240" i="43"/>
  <c r="CH240" i="43"/>
  <c r="CG240" i="43"/>
  <c r="CJ239" i="43"/>
  <c r="CI239" i="43"/>
  <c r="CH239" i="43"/>
  <c r="CG239" i="43"/>
  <c r="CJ238" i="43"/>
  <c r="CI238" i="43"/>
  <c r="CH238" i="43"/>
  <c r="CG238" i="43"/>
  <c r="CJ237" i="43"/>
  <c r="CI237" i="43"/>
  <c r="CH237" i="43"/>
  <c r="CG237" i="43"/>
  <c r="CJ236" i="43"/>
  <c r="CI236" i="43"/>
  <c r="CH236" i="43"/>
  <c r="CG236" i="43"/>
  <c r="CJ235" i="43"/>
  <c r="CI235" i="43"/>
  <c r="CH235" i="43"/>
  <c r="CG235" i="43"/>
  <c r="CJ234" i="43"/>
  <c r="CI234" i="43"/>
  <c r="CH234" i="43"/>
  <c r="CG234" i="43"/>
  <c r="CJ233" i="43"/>
  <c r="CI233" i="43"/>
  <c r="CH233" i="43"/>
  <c r="CG233" i="43"/>
  <c r="CJ232" i="43"/>
  <c r="CI232" i="43"/>
  <c r="CH232" i="43"/>
  <c r="CG232" i="43"/>
  <c r="CJ231" i="43"/>
  <c r="CI231" i="43"/>
  <c r="CH231" i="43"/>
  <c r="CG231" i="43"/>
  <c r="CJ230" i="43"/>
  <c r="CI230" i="43"/>
  <c r="CH230" i="43"/>
  <c r="CG230" i="43"/>
  <c r="CJ229" i="43"/>
  <c r="CI229" i="43"/>
  <c r="CH229" i="43"/>
  <c r="CG229" i="43"/>
  <c r="CJ228" i="43"/>
  <c r="CI228" i="43"/>
  <c r="CH228" i="43"/>
  <c r="CG228" i="43"/>
  <c r="CJ227" i="43"/>
  <c r="CI227" i="43"/>
  <c r="CH227" i="43"/>
  <c r="CG227" i="43"/>
  <c r="CJ226" i="43"/>
  <c r="CI226" i="43"/>
  <c r="CH226" i="43"/>
  <c r="CG226" i="43"/>
  <c r="CJ225" i="43"/>
  <c r="CI225" i="43"/>
  <c r="CH225" i="43"/>
  <c r="CG225" i="43"/>
  <c r="CJ224" i="43"/>
  <c r="CI224" i="43"/>
  <c r="CH224" i="43"/>
  <c r="CG224" i="43"/>
  <c r="CJ223" i="43"/>
  <c r="CI223" i="43"/>
  <c r="CH223" i="43"/>
  <c r="CG223" i="43"/>
  <c r="CJ222" i="43"/>
  <c r="CI222" i="43"/>
  <c r="CH222" i="43"/>
  <c r="CG222" i="43"/>
  <c r="CJ221" i="43"/>
  <c r="CI221" i="43"/>
  <c r="CH221" i="43"/>
  <c r="CG221" i="43"/>
  <c r="CJ220" i="43"/>
  <c r="CI220" i="43"/>
  <c r="CH220" i="43"/>
  <c r="CG220" i="43"/>
  <c r="CJ219" i="43"/>
  <c r="CI219" i="43"/>
  <c r="CH219" i="43"/>
  <c r="CG219" i="43"/>
  <c r="CJ218" i="43"/>
  <c r="CI218" i="43"/>
  <c r="CH218" i="43"/>
  <c r="CG218" i="43"/>
  <c r="CJ217" i="43"/>
  <c r="CI217" i="43"/>
  <c r="CH217" i="43"/>
  <c r="CG217" i="43"/>
  <c r="CJ216" i="43"/>
  <c r="CI216" i="43"/>
  <c r="CH216" i="43"/>
  <c r="CG216" i="43"/>
  <c r="CJ215" i="43"/>
  <c r="CI215" i="43"/>
  <c r="CH215" i="43"/>
  <c r="CG215" i="43"/>
  <c r="CJ214" i="43"/>
  <c r="CI214" i="43"/>
  <c r="CH214" i="43"/>
  <c r="CG214" i="43"/>
  <c r="CJ213" i="43"/>
  <c r="CI213" i="43"/>
  <c r="CH213" i="43"/>
  <c r="CG213" i="43"/>
  <c r="CJ212" i="43"/>
  <c r="CI212" i="43"/>
  <c r="CH212" i="43"/>
  <c r="CG212" i="43"/>
  <c r="CJ211" i="43"/>
  <c r="CI211" i="43"/>
  <c r="CH211" i="43"/>
  <c r="CG211" i="43"/>
  <c r="CJ210" i="43"/>
  <c r="CI210" i="43"/>
  <c r="CH210" i="43"/>
  <c r="CG210" i="43"/>
  <c r="CJ209" i="43"/>
  <c r="CI209" i="43"/>
  <c r="CH209" i="43"/>
  <c r="CG209" i="43"/>
  <c r="CJ208" i="43"/>
  <c r="CI208" i="43"/>
  <c r="CH208" i="43"/>
  <c r="CG208" i="43"/>
  <c r="CJ207" i="43"/>
  <c r="CI207" i="43"/>
  <c r="CH207" i="43"/>
  <c r="CG207" i="43"/>
  <c r="CJ206" i="43"/>
  <c r="CI206" i="43"/>
  <c r="CH206" i="43"/>
  <c r="CG206" i="43"/>
  <c r="CJ205" i="43"/>
  <c r="CI205" i="43"/>
  <c r="CH205" i="43"/>
  <c r="CG205" i="43"/>
  <c r="CJ204" i="43"/>
  <c r="CI204" i="43"/>
  <c r="CH204" i="43"/>
  <c r="CG204" i="43"/>
  <c r="CJ203" i="43"/>
  <c r="CI203" i="43"/>
  <c r="CH203" i="43"/>
  <c r="CG203" i="43"/>
  <c r="CJ202" i="43"/>
  <c r="CI202" i="43"/>
  <c r="CH202" i="43"/>
  <c r="CG202" i="43"/>
  <c r="CJ201" i="43"/>
  <c r="CI201" i="43"/>
  <c r="CH201" i="43"/>
  <c r="CG201" i="43"/>
  <c r="CJ200" i="43"/>
  <c r="CI200" i="43"/>
  <c r="CH200" i="43"/>
  <c r="CG200" i="43"/>
  <c r="CJ199" i="43"/>
  <c r="CI199" i="43"/>
  <c r="CH199" i="43"/>
  <c r="CG199" i="43"/>
  <c r="CJ198" i="43"/>
  <c r="CI198" i="43"/>
  <c r="CH198" i="43"/>
  <c r="CG198" i="43"/>
  <c r="CJ197" i="43"/>
  <c r="CI197" i="43"/>
  <c r="CH197" i="43"/>
  <c r="CG197" i="43"/>
  <c r="CJ196" i="43"/>
  <c r="CI196" i="43"/>
  <c r="CH196" i="43"/>
  <c r="CG196" i="43"/>
  <c r="CJ195" i="43"/>
  <c r="CI195" i="43"/>
  <c r="CH195" i="43"/>
  <c r="CG195" i="43"/>
  <c r="CJ194" i="43"/>
  <c r="CI194" i="43"/>
  <c r="CH194" i="43"/>
  <c r="CG194" i="43"/>
  <c r="CJ193" i="43"/>
  <c r="CI193" i="43"/>
  <c r="CH193" i="43"/>
  <c r="CG193" i="43"/>
  <c r="CJ192" i="43"/>
  <c r="CI192" i="43"/>
  <c r="CH192" i="43"/>
  <c r="CG192" i="43"/>
  <c r="CJ191" i="43"/>
  <c r="CI191" i="43"/>
  <c r="CH191" i="43"/>
  <c r="CG191" i="43"/>
  <c r="CJ190" i="43"/>
  <c r="CI190" i="43"/>
  <c r="CH190" i="43"/>
  <c r="CG190" i="43"/>
  <c r="CJ189" i="43"/>
  <c r="CI189" i="43"/>
  <c r="CH189" i="43"/>
  <c r="CG189" i="43"/>
  <c r="CJ188" i="43"/>
  <c r="CI188" i="43"/>
  <c r="CH188" i="43"/>
  <c r="CG188" i="43"/>
  <c r="CJ187" i="43"/>
  <c r="CI187" i="43"/>
  <c r="CH187" i="43"/>
  <c r="CG187" i="43"/>
  <c r="CJ186" i="43"/>
  <c r="CI186" i="43"/>
  <c r="CH186" i="43"/>
  <c r="CG186" i="43"/>
  <c r="CJ185" i="43"/>
  <c r="CI185" i="43"/>
  <c r="CH185" i="43"/>
  <c r="CG185" i="43"/>
  <c r="CJ184" i="43"/>
  <c r="CI184" i="43"/>
  <c r="CH184" i="43"/>
  <c r="CG184" i="43"/>
  <c r="CJ183" i="43"/>
  <c r="CI183" i="43"/>
  <c r="CH183" i="43"/>
  <c r="CG183" i="43"/>
  <c r="CJ182" i="43"/>
  <c r="CI182" i="43"/>
  <c r="CH182" i="43"/>
  <c r="CG182" i="43"/>
  <c r="CJ181" i="43"/>
  <c r="CI181" i="43"/>
  <c r="CH181" i="43"/>
  <c r="CG181" i="43"/>
  <c r="CJ180" i="43"/>
  <c r="CI180" i="43"/>
  <c r="CH180" i="43"/>
  <c r="CG180" i="43"/>
  <c r="CJ179" i="43"/>
  <c r="CI179" i="43"/>
  <c r="CH179" i="43"/>
  <c r="CG179" i="43"/>
  <c r="CJ178" i="43"/>
  <c r="CI178" i="43"/>
  <c r="CH178" i="43"/>
  <c r="CG178" i="43"/>
  <c r="CJ177" i="43"/>
  <c r="CI177" i="43"/>
  <c r="CH177" i="43"/>
  <c r="CG177" i="43"/>
  <c r="CJ176" i="43"/>
  <c r="CI176" i="43"/>
  <c r="CH176" i="43"/>
  <c r="CG176" i="43"/>
  <c r="CJ175" i="43"/>
  <c r="CI175" i="43"/>
  <c r="CH175" i="43"/>
  <c r="CG175" i="43"/>
  <c r="CJ174" i="43"/>
  <c r="CI174" i="43"/>
  <c r="CH174" i="43"/>
  <c r="CG174" i="43"/>
  <c r="CJ173" i="43"/>
  <c r="CI173" i="43"/>
  <c r="CH173" i="43"/>
  <c r="CG173" i="43"/>
  <c r="CJ172" i="43"/>
  <c r="CI172" i="43"/>
  <c r="CH172" i="43"/>
  <c r="CG172" i="43"/>
  <c r="CJ171" i="43"/>
  <c r="CI171" i="43"/>
  <c r="CH171" i="43"/>
  <c r="CG171" i="43"/>
  <c r="CJ170" i="43"/>
  <c r="CI170" i="43"/>
  <c r="CH170" i="43"/>
  <c r="CG170" i="43"/>
  <c r="CJ169" i="43"/>
  <c r="CI169" i="43"/>
  <c r="CH169" i="43"/>
  <c r="CG169" i="43"/>
  <c r="CJ168" i="43"/>
  <c r="CI168" i="43"/>
  <c r="CH168" i="43"/>
  <c r="CG168" i="43"/>
  <c r="CJ167" i="43"/>
  <c r="CI167" i="43"/>
  <c r="CH167" i="43"/>
  <c r="CG167" i="43"/>
  <c r="CJ166" i="43"/>
  <c r="CI166" i="43"/>
  <c r="CH166" i="43"/>
  <c r="CG166" i="43"/>
  <c r="CJ165" i="43"/>
  <c r="CI165" i="43"/>
  <c r="CH165" i="43"/>
  <c r="CG165" i="43"/>
  <c r="CJ164" i="43"/>
  <c r="CI164" i="43"/>
  <c r="CH164" i="43"/>
  <c r="CG164" i="43"/>
  <c r="CJ163" i="43"/>
  <c r="CI163" i="43"/>
  <c r="CH163" i="43"/>
  <c r="CG163" i="43"/>
  <c r="CJ162" i="43"/>
  <c r="CI162" i="43"/>
  <c r="CH162" i="43"/>
  <c r="CG162" i="43"/>
  <c r="CJ161" i="43"/>
  <c r="CI161" i="43"/>
  <c r="CH161" i="43"/>
  <c r="CG161" i="43"/>
  <c r="CJ160" i="43"/>
  <c r="CI160" i="43"/>
  <c r="CH160" i="43"/>
  <c r="CG160" i="43"/>
  <c r="CJ159" i="43"/>
  <c r="CI159" i="43"/>
  <c r="CH159" i="43"/>
  <c r="CG159" i="43"/>
  <c r="CJ158" i="43"/>
  <c r="CI158" i="43"/>
  <c r="CH158" i="43"/>
  <c r="CG158" i="43"/>
  <c r="CJ157" i="43"/>
  <c r="CI157" i="43"/>
  <c r="CH157" i="43"/>
  <c r="CG157" i="43"/>
  <c r="CJ156" i="43"/>
  <c r="CI156" i="43"/>
  <c r="CH156" i="43"/>
  <c r="CG156" i="43"/>
  <c r="CJ155" i="43"/>
  <c r="CI155" i="43"/>
  <c r="CH155" i="43"/>
  <c r="CG155" i="43"/>
  <c r="CJ154" i="43"/>
  <c r="CI154" i="43"/>
  <c r="CH154" i="43"/>
  <c r="CG154" i="43"/>
  <c r="CJ153" i="43"/>
  <c r="CI153" i="43"/>
  <c r="CH153" i="43"/>
  <c r="CG153" i="43"/>
  <c r="CJ152" i="43"/>
  <c r="CI152" i="43"/>
  <c r="CH152" i="43"/>
  <c r="CG152" i="43"/>
  <c r="CJ151" i="43"/>
  <c r="CI151" i="43"/>
  <c r="CH151" i="43"/>
  <c r="CG151" i="43"/>
  <c r="CJ150" i="43"/>
  <c r="CI150" i="43"/>
  <c r="CH150" i="43"/>
  <c r="CG150" i="43"/>
  <c r="CJ149" i="43"/>
  <c r="CI149" i="43"/>
  <c r="CH149" i="43"/>
  <c r="CG149" i="43"/>
  <c r="CJ148" i="43"/>
  <c r="CI148" i="43"/>
  <c r="CH148" i="43"/>
  <c r="CG148" i="43"/>
  <c r="CJ147" i="43"/>
  <c r="CI147" i="43"/>
  <c r="CH147" i="43"/>
  <c r="CG147" i="43"/>
  <c r="CJ146" i="43"/>
  <c r="CI146" i="43"/>
  <c r="CH146" i="43"/>
  <c r="CG146" i="43"/>
  <c r="CJ145" i="43"/>
  <c r="CI145" i="43"/>
  <c r="CH145" i="43"/>
  <c r="CG145" i="43"/>
  <c r="CJ144" i="43"/>
  <c r="CI144" i="43"/>
  <c r="CH144" i="43"/>
  <c r="CG144" i="43"/>
  <c r="CJ143" i="43"/>
  <c r="CI143" i="43"/>
  <c r="CH143" i="43"/>
  <c r="CG143" i="43"/>
  <c r="CJ142" i="43"/>
  <c r="CI142" i="43"/>
  <c r="CH142" i="43"/>
  <c r="CG142" i="43"/>
  <c r="CJ141" i="43"/>
  <c r="CI141" i="43"/>
  <c r="CH141" i="43"/>
  <c r="CG141" i="43"/>
  <c r="CJ140" i="43"/>
  <c r="CI140" i="43"/>
  <c r="CH140" i="43"/>
  <c r="CG140" i="43"/>
  <c r="CJ139" i="43"/>
  <c r="CI139" i="43"/>
  <c r="CH139" i="43"/>
  <c r="CG139" i="43"/>
  <c r="CJ138" i="43"/>
  <c r="CI138" i="43"/>
  <c r="CH138" i="43"/>
  <c r="CG138" i="43"/>
  <c r="CJ137" i="43"/>
  <c r="CI137" i="43"/>
  <c r="CH137" i="43"/>
  <c r="CG137" i="43"/>
  <c r="CJ136" i="43"/>
  <c r="CI136" i="43"/>
  <c r="CH136" i="43"/>
  <c r="CG136" i="43"/>
  <c r="CJ135" i="43"/>
  <c r="CI135" i="43"/>
  <c r="CH135" i="43"/>
  <c r="CG135" i="43"/>
  <c r="CJ134" i="43"/>
  <c r="CI134" i="43"/>
  <c r="CH134" i="43"/>
  <c r="CG134" i="43"/>
  <c r="CJ133" i="43"/>
  <c r="CI133" i="43"/>
  <c r="CH133" i="43"/>
  <c r="CG133" i="43"/>
  <c r="CJ132" i="43"/>
  <c r="CI132" i="43"/>
  <c r="CH132" i="43"/>
  <c r="CG132" i="43"/>
  <c r="CJ131" i="43"/>
  <c r="CI131" i="43"/>
  <c r="CH131" i="43"/>
  <c r="CG131" i="43"/>
  <c r="CJ130" i="43"/>
  <c r="CI130" i="43"/>
  <c r="CH130" i="43"/>
  <c r="CG130" i="43"/>
  <c r="CJ129" i="43"/>
  <c r="CI129" i="43"/>
  <c r="CH129" i="43"/>
  <c r="CG129" i="43"/>
  <c r="CJ128" i="43"/>
  <c r="CI128" i="43"/>
  <c r="CH128" i="43"/>
  <c r="CG128" i="43"/>
  <c r="CJ127" i="43"/>
  <c r="CI127" i="43"/>
  <c r="CH127" i="43"/>
  <c r="CG127" i="43"/>
  <c r="CJ126" i="43"/>
  <c r="CI126" i="43"/>
  <c r="CH126" i="43"/>
  <c r="CG126" i="43"/>
  <c r="CJ125" i="43"/>
  <c r="CI125" i="43"/>
  <c r="CH125" i="43"/>
  <c r="CG125" i="43"/>
  <c r="CJ124" i="43"/>
  <c r="CI124" i="43"/>
  <c r="CH124" i="43"/>
  <c r="CG124" i="43"/>
  <c r="CJ123" i="43"/>
  <c r="CI123" i="43"/>
  <c r="CH123" i="43"/>
  <c r="CG123" i="43"/>
  <c r="CJ122" i="43"/>
  <c r="CI122" i="43"/>
  <c r="CH122" i="43"/>
  <c r="CG122" i="43"/>
  <c r="CJ121" i="43"/>
  <c r="CI121" i="43"/>
  <c r="CH121" i="43"/>
  <c r="CG121" i="43"/>
  <c r="CJ120" i="43"/>
  <c r="CI120" i="43"/>
  <c r="CH120" i="43"/>
  <c r="CG120" i="43"/>
  <c r="CJ119" i="43"/>
  <c r="CI119" i="43"/>
  <c r="CH119" i="43"/>
  <c r="CG119" i="43"/>
  <c r="CJ118" i="43"/>
  <c r="CI118" i="43"/>
  <c r="CH118" i="43"/>
  <c r="CG118" i="43"/>
  <c r="CJ117" i="43"/>
  <c r="CI117" i="43"/>
  <c r="CH117" i="43"/>
  <c r="CG117" i="43"/>
  <c r="CJ116" i="43"/>
  <c r="CI116" i="43"/>
  <c r="CH116" i="43"/>
  <c r="CG116" i="43"/>
  <c r="CJ115" i="43"/>
  <c r="CI115" i="43"/>
  <c r="CH115" i="43"/>
  <c r="CG115" i="43"/>
  <c r="CJ114" i="43"/>
  <c r="CI114" i="43"/>
  <c r="CH114" i="43"/>
  <c r="CG114" i="43"/>
  <c r="CJ113" i="43"/>
  <c r="CI113" i="43"/>
  <c r="CH113" i="43"/>
  <c r="CG113" i="43"/>
  <c r="CJ112" i="43"/>
  <c r="CI112" i="43"/>
  <c r="CH112" i="43"/>
  <c r="CG112" i="43"/>
  <c r="CJ111" i="43"/>
  <c r="CI111" i="43"/>
  <c r="CH111" i="43"/>
  <c r="CG111" i="43"/>
  <c r="CJ110" i="43"/>
  <c r="CI110" i="43"/>
  <c r="CH110" i="43"/>
  <c r="CG110" i="43"/>
  <c r="CJ109" i="43"/>
  <c r="CI109" i="43"/>
  <c r="CH109" i="43"/>
  <c r="CG109" i="43"/>
  <c r="CJ108" i="43"/>
  <c r="CI108" i="43"/>
  <c r="CH108" i="43"/>
  <c r="CG108" i="43"/>
  <c r="CJ107" i="43"/>
  <c r="CI107" i="43"/>
  <c r="CH107" i="43"/>
  <c r="CG107" i="43"/>
  <c r="CJ106" i="43"/>
  <c r="CI106" i="43"/>
  <c r="CH106" i="43"/>
  <c r="CG106" i="43"/>
  <c r="CJ105" i="43"/>
  <c r="CI105" i="43"/>
  <c r="CH105" i="43"/>
  <c r="CG105" i="43"/>
  <c r="CJ104" i="43"/>
  <c r="CI104" i="43"/>
  <c r="CH104" i="43"/>
  <c r="CG104" i="43"/>
  <c r="CJ103" i="43"/>
  <c r="CI103" i="43"/>
  <c r="CH103" i="43"/>
  <c r="CG103" i="43"/>
  <c r="CJ102" i="43"/>
  <c r="CI102" i="43"/>
  <c r="CH102" i="43"/>
  <c r="CG102" i="43"/>
  <c r="CJ101" i="43"/>
  <c r="CI101" i="43"/>
  <c r="CH101" i="43"/>
  <c r="CG101" i="43"/>
  <c r="CJ100" i="43"/>
  <c r="CI100" i="43"/>
  <c r="CH100" i="43"/>
  <c r="CG100" i="43"/>
  <c r="CJ99" i="43"/>
  <c r="CI99" i="43"/>
  <c r="CH99" i="43"/>
  <c r="CG99" i="43"/>
  <c r="CJ98" i="43"/>
  <c r="CI98" i="43"/>
  <c r="CH98" i="43"/>
  <c r="CG98" i="43"/>
  <c r="CJ97" i="43"/>
  <c r="CI97" i="43"/>
  <c r="CH97" i="43"/>
  <c r="CG97" i="43"/>
  <c r="CJ96" i="43"/>
  <c r="CI96" i="43"/>
  <c r="CH96" i="43"/>
  <c r="CG96" i="43"/>
  <c r="CJ95" i="43"/>
  <c r="CI95" i="43"/>
  <c r="CH95" i="43"/>
  <c r="CG95" i="43"/>
  <c r="CJ94" i="43"/>
  <c r="CI94" i="43"/>
  <c r="CH94" i="43"/>
  <c r="CG94" i="43"/>
  <c r="CJ93" i="43"/>
  <c r="CI93" i="43"/>
  <c r="CH93" i="43"/>
  <c r="CG93" i="43"/>
  <c r="CJ92" i="43"/>
  <c r="CI92" i="43"/>
  <c r="CH92" i="43"/>
  <c r="CG92" i="43"/>
  <c r="CJ91" i="43"/>
  <c r="CI91" i="43"/>
  <c r="CH91" i="43"/>
  <c r="CG91" i="43"/>
  <c r="CJ90" i="43"/>
  <c r="CI90" i="43"/>
  <c r="CH90" i="43"/>
  <c r="CG90" i="43"/>
  <c r="CJ89" i="43"/>
  <c r="CI89" i="43"/>
  <c r="CH89" i="43"/>
  <c r="CG89" i="43"/>
  <c r="CJ88" i="43"/>
  <c r="CI88" i="43"/>
  <c r="CH88" i="43"/>
  <c r="CG88" i="43"/>
  <c r="CJ87" i="43"/>
  <c r="CI87" i="43"/>
  <c r="CH87" i="43"/>
  <c r="CG87" i="43"/>
  <c r="CJ86" i="43"/>
  <c r="CI86" i="43"/>
  <c r="CH86" i="43"/>
  <c r="CG86" i="43"/>
  <c r="CJ85" i="43"/>
  <c r="CI85" i="43"/>
  <c r="CH85" i="43"/>
  <c r="CG85" i="43"/>
  <c r="CJ84" i="43"/>
  <c r="CI84" i="43"/>
  <c r="CH84" i="43"/>
  <c r="CG84" i="43"/>
  <c r="CJ83" i="43"/>
  <c r="CI83" i="43"/>
  <c r="CH83" i="43"/>
  <c r="CG83" i="43"/>
  <c r="CJ82" i="43"/>
  <c r="CI82" i="43"/>
  <c r="CH82" i="43"/>
  <c r="CG82" i="43"/>
  <c r="CJ81" i="43"/>
  <c r="CI81" i="43"/>
  <c r="CH81" i="43"/>
  <c r="CG81" i="43"/>
  <c r="CJ80" i="43"/>
  <c r="CI80" i="43"/>
  <c r="CH80" i="43"/>
  <c r="CG80" i="43"/>
  <c r="CJ79" i="43"/>
  <c r="CI79" i="43"/>
  <c r="CH79" i="43"/>
  <c r="CG79" i="43"/>
  <c r="CJ78" i="43"/>
  <c r="CI78" i="43"/>
  <c r="CH78" i="43"/>
  <c r="CG78" i="43"/>
  <c r="CJ77" i="43"/>
  <c r="CI77" i="43"/>
  <c r="CH77" i="43"/>
  <c r="CG77" i="43"/>
  <c r="CJ76" i="43"/>
  <c r="CI76" i="43"/>
  <c r="CH76" i="43"/>
  <c r="CG76" i="43"/>
  <c r="CJ75" i="43"/>
  <c r="CI75" i="43"/>
  <c r="CH75" i="43"/>
  <c r="CG75" i="43"/>
  <c r="CJ74" i="43"/>
  <c r="CI74" i="43"/>
  <c r="CH74" i="43"/>
  <c r="CG74" i="43"/>
  <c r="CJ73" i="43"/>
  <c r="CI73" i="43"/>
  <c r="CH73" i="43"/>
  <c r="CG73" i="43"/>
  <c r="CJ72" i="43"/>
  <c r="CI72" i="43"/>
  <c r="CH72" i="43"/>
  <c r="CG72" i="43"/>
  <c r="CJ71" i="43"/>
  <c r="CI71" i="43"/>
  <c r="CH71" i="43"/>
  <c r="CG71" i="43"/>
  <c r="CJ70" i="43"/>
  <c r="CI70" i="43"/>
  <c r="CH70" i="43"/>
  <c r="CG70" i="43"/>
  <c r="CJ69" i="43"/>
  <c r="CI69" i="43"/>
  <c r="CH69" i="43"/>
  <c r="CG69" i="43"/>
  <c r="CJ68" i="43"/>
  <c r="CI68" i="43"/>
  <c r="CH68" i="43"/>
  <c r="CG68" i="43"/>
  <c r="CJ67" i="43"/>
  <c r="CI67" i="43"/>
  <c r="CH67" i="43"/>
  <c r="CG67" i="43"/>
  <c r="CJ66" i="43"/>
  <c r="CI66" i="43"/>
  <c r="CH66" i="43"/>
  <c r="CG66" i="43"/>
  <c r="CJ65" i="43"/>
  <c r="CI65" i="43"/>
  <c r="CH65" i="43"/>
  <c r="CG65" i="43"/>
  <c r="CJ64" i="43"/>
  <c r="CI64" i="43"/>
  <c r="CH64" i="43"/>
  <c r="CG64" i="43"/>
  <c r="CJ63" i="43"/>
  <c r="CI63" i="43"/>
  <c r="CH63" i="43"/>
  <c r="CG63" i="43"/>
  <c r="CJ62" i="43"/>
  <c r="CI62" i="43"/>
  <c r="CH62" i="43"/>
  <c r="CG62" i="43"/>
  <c r="CJ61" i="43"/>
  <c r="CI61" i="43"/>
  <c r="CH61" i="43"/>
  <c r="CG61" i="43"/>
  <c r="CJ60" i="43"/>
  <c r="CI60" i="43"/>
  <c r="CH60" i="43"/>
  <c r="CG60" i="43"/>
  <c r="CJ59" i="43"/>
  <c r="CI59" i="43"/>
  <c r="CH59" i="43"/>
  <c r="CG59" i="43"/>
  <c r="CJ58" i="43"/>
  <c r="CI58" i="43"/>
  <c r="CH58" i="43"/>
  <c r="CG58" i="43"/>
  <c r="CJ57" i="43"/>
  <c r="CI57" i="43"/>
  <c r="CH57" i="43"/>
  <c r="CG57" i="43"/>
  <c r="CJ56" i="43"/>
  <c r="CI56" i="43"/>
  <c r="CH56" i="43"/>
  <c r="CG56" i="43"/>
  <c r="CJ55" i="43"/>
  <c r="CI55" i="43"/>
  <c r="CH55" i="43"/>
  <c r="CG55" i="43"/>
  <c r="CJ54" i="43"/>
  <c r="CI54" i="43"/>
  <c r="CH54" i="43"/>
  <c r="CG54" i="43"/>
  <c r="CJ53" i="43"/>
  <c r="CI53" i="43"/>
  <c r="CH53" i="43"/>
  <c r="CG53" i="43"/>
  <c r="CJ52" i="43"/>
  <c r="CI52" i="43"/>
  <c r="CH52" i="43"/>
  <c r="CG52" i="43"/>
  <c r="CJ51" i="43"/>
  <c r="CI51" i="43"/>
  <c r="CH51" i="43"/>
  <c r="CG51" i="43"/>
  <c r="CJ50" i="43"/>
  <c r="CI50" i="43"/>
  <c r="CH50" i="43"/>
  <c r="CG50" i="43"/>
  <c r="CJ49" i="43"/>
  <c r="CI49" i="43"/>
  <c r="CH49" i="43"/>
  <c r="CG49" i="43"/>
  <c r="CJ48" i="43"/>
  <c r="CI48" i="43"/>
  <c r="CH48" i="43"/>
  <c r="CG48" i="43"/>
  <c r="CJ47" i="43"/>
  <c r="CI47" i="43"/>
  <c r="CH47" i="43"/>
  <c r="CG47" i="43"/>
  <c r="CJ46" i="43"/>
  <c r="CI46" i="43"/>
  <c r="CH46" i="43"/>
  <c r="CG46" i="43"/>
  <c r="CJ45" i="43"/>
  <c r="CI45" i="43"/>
  <c r="CH45" i="43"/>
  <c r="CG45" i="43"/>
  <c r="CJ44" i="43"/>
  <c r="CI44" i="43"/>
  <c r="CH44" i="43"/>
  <c r="CG44" i="43"/>
  <c r="CJ43" i="43"/>
  <c r="CI43" i="43"/>
  <c r="CH43" i="43"/>
  <c r="CG43" i="43"/>
  <c r="CJ42" i="43"/>
  <c r="CI42" i="43"/>
  <c r="CH42" i="43"/>
  <c r="CG42" i="43"/>
  <c r="CJ41" i="43"/>
  <c r="CI41" i="43"/>
  <c r="CH41" i="43"/>
  <c r="CG41" i="43"/>
  <c r="CJ40" i="43"/>
  <c r="CI40" i="43"/>
  <c r="CH40" i="43"/>
  <c r="CG40" i="43"/>
  <c r="CJ39" i="43"/>
  <c r="CI39" i="43"/>
  <c r="CH39" i="43"/>
  <c r="CG39" i="43"/>
  <c r="CJ38" i="43"/>
  <c r="CI38" i="43"/>
  <c r="CH38" i="43"/>
  <c r="CG38" i="43"/>
  <c r="CJ37" i="43"/>
  <c r="CI37" i="43"/>
  <c r="CH37" i="43"/>
  <c r="CG37" i="43"/>
  <c r="CJ36" i="43"/>
  <c r="CI36" i="43"/>
  <c r="CH36" i="43"/>
  <c r="CG36" i="43"/>
  <c r="CJ35" i="43"/>
  <c r="CI35" i="43"/>
  <c r="CH35" i="43"/>
  <c r="CG35" i="43"/>
  <c r="CJ34" i="43"/>
  <c r="CI34" i="43"/>
  <c r="CH34" i="43"/>
  <c r="CG34" i="43"/>
  <c r="CJ33" i="43"/>
  <c r="CI33" i="43"/>
  <c r="CH33" i="43"/>
  <c r="CG33" i="43"/>
  <c r="CJ32" i="43"/>
  <c r="CI32" i="43"/>
  <c r="CH32" i="43"/>
  <c r="CG32" i="43"/>
  <c r="CJ31" i="43"/>
  <c r="CI31" i="43"/>
  <c r="CH31" i="43"/>
  <c r="CG31" i="43"/>
  <c r="CJ30" i="43"/>
  <c r="CI30" i="43"/>
  <c r="CH30" i="43"/>
  <c r="CG30" i="43"/>
  <c r="CJ29" i="43"/>
  <c r="CI29" i="43"/>
  <c r="CH29" i="43"/>
  <c r="CG29" i="43"/>
  <c r="CJ28" i="43"/>
  <c r="CI28" i="43"/>
  <c r="CH28" i="43"/>
  <c r="CG28" i="43"/>
  <c r="CJ27" i="43"/>
  <c r="CI27" i="43"/>
  <c r="CH27" i="43"/>
  <c r="CG27" i="43"/>
  <c r="CJ26" i="43"/>
  <c r="CI26" i="43"/>
  <c r="CH26" i="43"/>
  <c r="CG26" i="43"/>
  <c r="CJ25" i="43"/>
  <c r="CI25" i="43"/>
  <c r="CH25" i="43"/>
  <c r="CG25" i="43"/>
  <c r="CJ24" i="43"/>
  <c r="CI24" i="43"/>
  <c r="CH24" i="43"/>
  <c r="CG24" i="43"/>
  <c r="CJ23" i="43"/>
  <c r="CI23" i="43"/>
  <c r="CH23" i="43"/>
  <c r="CG23" i="43"/>
  <c r="CJ22" i="43"/>
  <c r="CI22" i="43"/>
  <c r="CH22" i="43"/>
  <c r="CG22" i="43"/>
  <c r="CJ21" i="43"/>
  <c r="CI21" i="43"/>
  <c r="CH21" i="43"/>
  <c r="CG21" i="43"/>
  <c r="CJ20" i="43"/>
  <c r="CI20" i="43"/>
  <c r="CH20" i="43"/>
  <c r="CG20" i="43"/>
  <c r="CJ19" i="43"/>
  <c r="CI19" i="43"/>
  <c r="CH19" i="43"/>
  <c r="CG19" i="43"/>
  <c r="CJ18" i="43"/>
  <c r="CI18" i="43"/>
  <c r="CH18" i="43"/>
  <c r="CG18" i="43"/>
  <c r="CJ17" i="43"/>
  <c r="CI17" i="43"/>
  <c r="CH17" i="43"/>
  <c r="CG17" i="43"/>
  <c r="CJ16" i="43"/>
  <c r="CI16" i="43"/>
  <c r="CH16" i="43"/>
  <c r="CG16" i="43"/>
  <c r="CJ15" i="43"/>
  <c r="CI15" i="43"/>
  <c r="CH15" i="43"/>
  <c r="CG15" i="43"/>
  <c r="CJ14" i="43"/>
  <c r="CI14" i="43"/>
  <c r="CH14" i="43"/>
  <c r="CG14" i="43"/>
  <c r="CJ13" i="43"/>
  <c r="CI13" i="43"/>
  <c r="CH13" i="43"/>
  <c r="CG13" i="43"/>
  <c r="CJ12" i="43"/>
  <c r="CI12" i="43"/>
  <c r="CH12" i="43"/>
  <c r="CG12" i="43"/>
  <c r="CJ11" i="43"/>
  <c r="CI11" i="43"/>
  <c r="CH11" i="43"/>
  <c r="CG11" i="43"/>
  <c r="CJ10" i="43"/>
  <c r="CI10" i="43"/>
  <c r="CH10" i="43"/>
  <c r="CG10" i="43"/>
  <c r="CJ9" i="43"/>
  <c r="CI9" i="43"/>
  <c r="CH9" i="43"/>
  <c r="CG9" i="43"/>
  <c r="CJ8" i="43"/>
  <c r="CI8" i="43"/>
  <c r="CH8" i="43"/>
  <c r="CG8" i="43"/>
  <c r="CJ7" i="43"/>
  <c r="CI7" i="43"/>
  <c r="CH7" i="43"/>
  <c r="CG7" i="43"/>
  <c r="CJ6" i="43"/>
  <c r="CI6" i="43"/>
  <c r="CH6" i="43"/>
  <c r="CG6" i="43"/>
  <c r="CJ5" i="43"/>
  <c r="CI5" i="43"/>
  <c r="CH5" i="43"/>
  <c r="CG5" i="43"/>
  <c r="BW4" i="43" l="1"/>
  <c r="BX4" i="43"/>
  <c r="AV447" i="43" l="1"/>
  <c r="AV420" i="43"/>
  <c r="BY4" i="43"/>
  <c r="BV4" i="43"/>
  <c r="BU4" i="43"/>
  <c r="BM488" i="43"/>
  <c r="BL488" i="43"/>
  <c r="BJ488" i="43"/>
  <c r="BI488" i="43"/>
  <c r="BM487" i="43"/>
  <c r="BL487" i="43"/>
  <c r="BJ487" i="43"/>
  <c r="BI487" i="43"/>
  <c r="BM486" i="43"/>
  <c r="BL486" i="43"/>
  <c r="BJ486" i="43"/>
  <c r="BI486" i="43"/>
  <c r="BM485" i="43"/>
  <c r="BL485" i="43"/>
  <c r="BJ485" i="43"/>
  <c r="BI485" i="43"/>
  <c r="BM484" i="43"/>
  <c r="BL484" i="43"/>
  <c r="BJ484" i="43"/>
  <c r="BI484" i="43"/>
  <c r="BM483" i="43"/>
  <c r="BL483" i="43"/>
  <c r="BJ483" i="43"/>
  <c r="BI483" i="43"/>
  <c r="BM482" i="43"/>
  <c r="BL482" i="43"/>
  <c r="BJ482" i="43"/>
  <c r="BI482" i="43"/>
  <c r="BM481" i="43"/>
  <c r="BL481" i="43"/>
  <c r="BJ481" i="43"/>
  <c r="BI481" i="43"/>
  <c r="BM480" i="43"/>
  <c r="BL480" i="43"/>
  <c r="BJ480" i="43"/>
  <c r="BI480" i="43"/>
  <c r="BM479" i="43"/>
  <c r="BL479" i="43"/>
  <c r="BJ479" i="43"/>
  <c r="BI479" i="43"/>
  <c r="BM478" i="43"/>
  <c r="BL478" i="43"/>
  <c r="BJ478" i="43"/>
  <c r="BI478" i="43"/>
  <c r="BM477" i="43"/>
  <c r="BL477" i="43"/>
  <c r="BJ477" i="43"/>
  <c r="BI477" i="43"/>
  <c r="BM476" i="43"/>
  <c r="BL476" i="43"/>
  <c r="BJ476" i="43"/>
  <c r="BI476" i="43"/>
  <c r="BM475" i="43"/>
  <c r="BL475" i="43"/>
  <c r="BJ475" i="43"/>
  <c r="BI475" i="43"/>
  <c r="BM474" i="43"/>
  <c r="BL474" i="43"/>
  <c r="BJ474" i="43"/>
  <c r="BI474" i="43"/>
  <c r="BM473" i="43"/>
  <c r="BL473" i="43"/>
  <c r="BJ473" i="43"/>
  <c r="BI473" i="43"/>
  <c r="BM472" i="43"/>
  <c r="BL472" i="43"/>
  <c r="BJ472" i="43"/>
  <c r="BI472" i="43"/>
  <c r="BM471" i="43"/>
  <c r="BL471" i="43"/>
  <c r="BJ471" i="43"/>
  <c r="BI471" i="43"/>
  <c r="BM470" i="43"/>
  <c r="BL470" i="43"/>
  <c r="BJ470" i="43"/>
  <c r="BI470" i="43"/>
  <c r="BM469" i="43"/>
  <c r="BL469" i="43"/>
  <c r="BJ469" i="43"/>
  <c r="BI469" i="43"/>
  <c r="BM468" i="43"/>
  <c r="BL468" i="43"/>
  <c r="BJ468" i="43"/>
  <c r="BI468" i="43"/>
  <c r="BM467" i="43"/>
  <c r="BL467" i="43"/>
  <c r="BJ467" i="43"/>
  <c r="BI467" i="43"/>
  <c r="BM466" i="43"/>
  <c r="BL466" i="43"/>
  <c r="BJ466" i="43"/>
  <c r="BI466" i="43"/>
  <c r="BM465" i="43"/>
  <c r="BL465" i="43"/>
  <c r="BJ465" i="43"/>
  <c r="BI465" i="43"/>
  <c r="BM464" i="43"/>
  <c r="BL464" i="43"/>
  <c r="BJ464" i="43"/>
  <c r="BI464" i="43"/>
  <c r="BM463" i="43"/>
  <c r="BL463" i="43"/>
  <c r="BJ463" i="43"/>
  <c r="BI463" i="43"/>
  <c r="BM462" i="43"/>
  <c r="BL462" i="43"/>
  <c r="BJ462" i="43"/>
  <c r="BI462" i="43"/>
  <c r="BM461" i="43"/>
  <c r="BL461" i="43"/>
  <c r="BJ461" i="43"/>
  <c r="BI461" i="43"/>
  <c r="BM460" i="43"/>
  <c r="BL460" i="43"/>
  <c r="BJ460" i="43"/>
  <c r="BI460" i="43"/>
  <c r="BM459" i="43"/>
  <c r="BL459" i="43"/>
  <c r="BJ459" i="43"/>
  <c r="BI459" i="43"/>
  <c r="BM458" i="43"/>
  <c r="BL458" i="43"/>
  <c r="BJ458" i="43"/>
  <c r="BI458" i="43"/>
  <c r="BM457" i="43"/>
  <c r="BL457" i="43"/>
  <c r="BJ457" i="43"/>
  <c r="BI457" i="43"/>
  <c r="BM456" i="43"/>
  <c r="BL456" i="43"/>
  <c r="BJ456" i="43"/>
  <c r="BI456" i="43"/>
  <c r="BM455" i="43"/>
  <c r="BL455" i="43"/>
  <c r="BJ455" i="43"/>
  <c r="BI455" i="43"/>
  <c r="BM454" i="43"/>
  <c r="BL454" i="43"/>
  <c r="BJ454" i="43"/>
  <c r="BI454" i="43"/>
  <c r="BM453" i="43"/>
  <c r="BL453" i="43"/>
  <c r="BJ453" i="43"/>
  <c r="BI453" i="43"/>
  <c r="BM452" i="43"/>
  <c r="BL452" i="43"/>
  <c r="BJ452" i="43"/>
  <c r="BI452" i="43"/>
  <c r="BM451" i="43"/>
  <c r="BL451" i="43"/>
  <c r="BJ451" i="43"/>
  <c r="BI451" i="43"/>
  <c r="BM450" i="43"/>
  <c r="BL450" i="43"/>
  <c r="BJ450" i="43"/>
  <c r="BI450" i="43"/>
  <c r="BM449" i="43"/>
  <c r="BL449" i="43"/>
  <c r="BJ449" i="43"/>
  <c r="BI449" i="43"/>
  <c r="BM448" i="43"/>
  <c r="BL448" i="43"/>
  <c r="BJ448" i="43"/>
  <c r="BI448" i="43"/>
  <c r="BM447" i="43"/>
  <c r="BL447" i="43"/>
  <c r="BJ447" i="43"/>
  <c r="BI447" i="43"/>
  <c r="BM446" i="43"/>
  <c r="BL446" i="43"/>
  <c r="BJ446" i="43"/>
  <c r="BI446" i="43"/>
  <c r="BM445" i="43"/>
  <c r="BL445" i="43"/>
  <c r="BJ445" i="43"/>
  <c r="BI445" i="43"/>
  <c r="BM444" i="43"/>
  <c r="BL444" i="43"/>
  <c r="BJ444" i="43"/>
  <c r="BI444" i="43"/>
  <c r="BM443" i="43"/>
  <c r="BL443" i="43"/>
  <c r="BJ443" i="43"/>
  <c r="BI443" i="43"/>
  <c r="BM442" i="43"/>
  <c r="BL442" i="43"/>
  <c r="BJ442" i="43"/>
  <c r="BI442" i="43"/>
  <c r="BM441" i="43"/>
  <c r="BL441" i="43"/>
  <c r="BJ441" i="43"/>
  <c r="BI441" i="43"/>
  <c r="BM440" i="43"/>
  <c r="BL440" i="43"/>
  <c r="BJ440" i="43"/>
  <c r="BI440" i="43"/>
  <c r="BM439" i="43"/>
  <c r="BL439" i="43"/>
  <c r="BJ439" i="43"/>
  <c r="BI439" i="43"/>
  <c r="BM438" i="43"/>
  <c r="BL438" i="43"/>
  <c r="BJ438" i="43"/>
  <c r="BI438" i="43"/>
  <c r="BM437" i="43"/>
  <c r="BL437" i="43"/>
  <c r="BJ437" i="43"/>
  <c r="BI437" i="43"/>
  <c r="BM436" i="43"/>
  <c r="BL436" i="43"/>
  <c r="BJ436" i="43"/>
  <c r="BI436" i="43"/>
  <c r="BM435" i="43"/>
  <c r="BL435" i="43"/>
  <c r="BJ435" i="43"/>
  <c r="BI435" i="43"/>
  <c r="BM434" i="43"/>
  <c r="BL434" i="43"/>
  <c r="BJ434" i="43"/>
  <c r="BI434" i="43"/>
  <c r="BM433" i="43"/>
  <c r="BL433" i="43"/>
  <c r="BJ433" i="43"/>
  <c r="BI433" i="43"/>
  <c r="BM432" i="43"/>
  <c r="BL432" i="43"/>
  <c r="BJ432" i="43"/>
  <c r="BI432" i="43"/>
  <c r="BM431" i="43"/>
  <c r="BL431" i="43"/>
  <c r="BJ431" i="43"/>
  <c r="BI431" i="43"/>
  <c r="BM430" i="43"/>
  <c r="BL430" i="43"/>
  <c r="BJ430" i="43"/>
  <c r="BI430" i="43"/>
  <c r="BM429" i="43"/>
  <c r="BL429" i="43"/>
  <c r="BJ429" i="43"/>
  <c r="BI429" i="43"/>
  <c r="BM428" i="43"/>
  <c r="BL428" i="43"/>
  <c r="BJ428" i="43"/>
  <c r="BI428" i="43"/>
  <c r="BM427" i="43"/>
  <c r="BL427" i="43"/>
  <c r="BJ427" i="43"/>
  <c r="BI427" i="43"/>
  <c r="BM426" i="43"/>
  <c r="BL426" i="43"/>
  <c r="BJ426" i="43"/>
  <c r="BI426" i="43"/>
  <c r="BM425" i="43"/>
  <c r="BL425" i="43"/>
  <c r="BJ425" i="43"/>
  <c r="BI425" i="43"/>
  <c r="BM424" i="43"/>
  <c r="BL424" i="43"/>
  <c r="BJ424" i="43"/>
  <c r="BI424" i="43"/>
  <c r="BM423" i="43"/>
  <c r="BL423" i="43"/>
  <c r="BJ423" i="43"/>
  <c r="BI423" i="43"/>
  <c r="BM422" i="43"/>
  <c r="BL422" i="43"/>
  <c r="BJ422" i="43"/>
  <c r="BI422" i="43"/>
  <c r="BM421" i="43"/>
  <c r="BL421" i="43"/>
  <c r="BJ421" i="43"/>
  <c r="BI421" i="43"/>
  <c r="BM420" i="43"/>
  <c r="BL420" i="43"/>
  <c r="BJ420" i="43"/>
  <c r="BI420" i="43"/>
  <c r="BM419" i="43"/>
  <c r="BL419" i="43"/>
  <c r="BJ419" i="43"/>
  <c r="BI419" i="43"/>
  <c r="BM418" i="43"/>
  <c r="BL418" i="43"/>
  <c r="BJ418" i="43"/>
  <c r="BI418" i="43"/>
  <c r="BM417" i="43"/>
  <c r="BL417" i="43"/>
  <c r="BJ417" i="43"/>
  <c r="BI417" i="43"/>
  <c r="BM416" i="43"/>
  <c r="BL416" i="43"/>
  <c r="BJ416" i="43"/>
  <c r="BI416" i="43"/>
  <c r="BM415" i="43"/>
  <c r="BL415" i="43"/>
  <c r="BJ415" i="43"/>
  <c r="BI415" i="43"/>
  <c r="BM414" i="43"/>
  <c r="BL414" i="43"/>
  <c r="BJ414" i="43"/>
  <c r="BI414" i="43"/>
  <c r="BM413" i="43"/>
  <c r="BL413" i="43"/>
  <c r="BJ413" i="43"/>
  <c r="BI413" i="43"/>
  <c r="BM412" i="43"/>
  <c r="BL412" i="43"/>
  <c r="BJ412" i="43"/>
  <c r="BI412" i="43"/>
  <c r="BM411" i="43"/>
  <c r="BL411" i="43"/>
  <c r="BJ411" i="43"/>
  <c r="BI411" i="43"/>
  <c r="BM410" i="43"/>
  <c r="BL410" i="43"/>
  <c r="BJ410" i="43"/>
  <c r="BI410" i="43"/>
  <c r="BM409" i="43"/>
  <c r="BL409" i="43"/>
  <c r="BJ409" i="43"/>
  <c r="BI409" i="43"/>
  <c r="BM408" i="43"/>
  <c r="BL408" i="43"/>
  <c r="BJ408" i="43"/>
  <c r="BI408" i="43"/>
  <c r="BM407" i="43"/>
  <c r="BL407" i="43"/>
  <c r="BJ407" i="43"/>
  <c r="BI407" i="43"/>
  <c r="BM406" i="43"/>
  <c r="BL406" i="43"/>
  <c r="BJ406" i="43"/>
  <c r="BI406" i="43"/>
  <c r="BM405" i="43"/>
  <c r="BL405" i="43"/>
  <c r="BJ405" i="43"/>
  <c r="BI405" i="43"/>
  <c r="BM404" i="43"/>
  <c r="BL404" i="43"/>
  <c r="BJ404" i="43"/>
  <c r="BI404" i="43"/>
  <c r="BM403" i="43"/>
  <c r="BL403" i="43"/>
  <c r="BJ403" i="43"/>
  <c r="BI403" i="43"/>
  <c r="BM402" i="43"/>
  <c r="BL402" i="43"/>
  <c r="BJ402" i="43"/>
  <c r="BI402" i="43"/>
  <c r="BM401" i="43"/>
  <c r="BL401" i="43"/>
  <c r="BJ401" i="43"/>
  <c r="BI401" i="43"/>
  <c r="BM400" i="43"/>
  <c r="BL400" i="43"/>
  <c r="BJ400" i="43"/>
  <c r="BI400" i="43"/>
  <c r="BM399" i="43"/>
  <c r="BL399" i="43"/>
  <c r="BJ399" i="43"/>
  <c r="BI399" i="43"/>
  <c r="BM398" i="43"/>
  <c r="BL398" i="43"/>
  <c r="BJ398" i="43"/>
  <c r="BI398" i="43"/>
  <c r="BM397" i="43"/>
  <c r="BL397" i="43"/>
  <c r="BJ397" i="43"/>
  <c r="BI397" i="43"/>
  <c r="BM396" i="43"/>
  <c r="BL396" i="43"/>
  <c r="BJ396" i="43"/>
  <c r="BI396" i="43"/>
  <c r="BM395" i="43"/>
  <c r="BL395" i="43"/>
  <c r="BJ395" i="43"/>
  <c r="BI395" i="43"/>
  <c r="BM394" i="43"/>
  <c r="BL394" i="43"/>
  <c r="BJ394" i="43"/>
  <c r="BI394" i="43"/>
  <c r="BM393" i="43"/>
  <c r="BL393" i="43"/>
  <c r="BJ393" i="43"/>
  <c r="BI393" i="43"/>
  <c r="BM392" i="43"/>
  <c r="BL392" i="43"/>
  <c r="BJ392" i="43"/>
  <c r="BI392" i="43"/>
  <c r="BM391" i="43"/>
  <c r="BL391" i="43"/>
  <c r="BJ391" i="43"/>
  <c r="BI391" i="43"/>
  <c r="BM390" i="43"/>
  <c r="BL390" i="43"/>
  <c r="BJ390" i="43"/>
  <c r="BI390" i="43"/>
  <c r="BM389" i="43"/>
  <c r="BL389" i="43"/>
  <c r="BJ389" i="43"/>
  <c r="BI389" i="43"/>
  <c r="BM388" i="43"/>
  <c r="BL388" i="43"/>
  <c r="BJ388" i="43"/>
  <c r="BI388" i="43"/>
  <c r="BM387" i="43"/>
  <c r="BL387" i="43"/>
  <c r="BJ387" i="43"/>
  <c r="BI387" i="43"/>
  <c r="BM386" i="43"/>
  <c r="BL386" i="43"/>
  <c r="BJ386" i="43"/>
  <c r="BI386" i="43"/>
  <c r="BM385" i="43"/>
  <c r="BL385" i="43"/>
  <c r="BJ385" i="43"/>
  <c r="BI385" i="43"/>
  <c r="BM384" i="43"/>
  <c r="BL384" i="43"/>
  <c r="BJ384" i="43"/>
  <c r="BI384" i="43"/>
  <c r="BM383" i="43"/>
  <c r="BL383" i="43"/>
  <c r="BJ383" i="43"/>
  <c r="BI383" i="43"/>
  <c r="BM382" i="43"/>
  <c r="BL382" i="43"/>
  <c r="BJ382" i="43"/>
  <c r="BI382" i="43"/>
  <c r="BM381" i="43"/>
  <c r="BL381" i="43"/>
  <c r="BJ381" i="43"/>
  <c r="BI381" i="43"/>
  <c r="BM380" i="43"/>
  <c r="BL380" i="43"/>
  <c r="BJ380" i="43"/>
  <c r="BI380" i="43"/>
  <c r="BM379" i="43"/>
  <c r="BL379" i="43"/>
  <c r="BJ379" i="43"/>
  <c r="BI379" i="43"/>
  <c r="BM378" i="43"/>
  <c r="BL378" i="43"/>
  <c r="BJ378" i="43"/>
  <c r="BI378" i="43"/>
  <c r="BM377" i="43"/>
  <c r="BL377" i="43"/>
  <c r="BJ377" i="43"/>
  <c r="BI377" i="43"/>
  <c r="BM376" i="43"/>
  <c r="BL376" i="43"/>
  <c r="BJ376" i="43"/>
  <c r="BI376" i="43"/>
  <c r="BM375" i="43"/>
  <c r="BL375" i="43"/>
  <c r="BJ375" i="43"/>
  <c r="BI375" i="43"/>
  <c r="BM374" i="43"/>
  <c r="BL374" i="43"/>
  <c r="BJ374" i="43"/>
  <c r="BI374" i="43"/>
  <c r="BM373" i="43"/>
  <c r="BL373" i="43"/>
  <c r="BJ373" i="43"/>
  <c r="BI373" i="43"/>
  <c r="BM372" i="43"/>
  <c r="BL372" i="43"/>
  <c r="BJ372" i="43"/>
  <c r="BI372" i="43"/>
  <c r="BM371" i="43"/>
  <c r="BL371" i="43"/>
  <c r="BJ371" i="43"/>
  <c r="BI371" i="43"/>
  <c r="BM370" i="43"/>
  <c r="BL370" i="43"/>
  <c r="BJ370" i="43"/>
  <c r="BI370" i="43"/>
  <c r="BM369" i="43"/>
  <c r="BL369" i="43"/>
  <c r="BJ369" i="43"/>
  <c r="BI369" i="43"/>
  <c r="BM368" i="43"/>
  <c r="BL368" i="43"/>
  <c r="BJ368" i="43"/>
  <c r="BI368" i="43"/>
  <c r="BM367" i="43"/>
  <c r="BL367" i="43"/>
  <c r="BJ367" i="43"/>
  <c r="BI367" i="43"/>
  <c r="BM366" i="43"/>
  <c r="BL366" i="43"/>
  <c r="BJ366" i="43"/>
  <c r="BI366" i="43"/>
  <c r="BM365" i="43"/>
  <c r="BL365" i="43"/>
  <c r="BJ365" i="43"/>
  <c r="BI365" i="43"/>
  <c r="BM364" i="43"/>
  <c r="BL364" i="43"/>
  <c r="BJ364" i="43"/>
  <c r="BI364" i="43"/>
  <c r="BM363" i="43"/>
  <c r="BL363" i="43"/>
  <c r="BJ363" i="43"/>
  <c r="BI363" i="43"/>
  <c r="BM362" i="43"/>
  <c r="BL362" i="43"/>
  <c r="BJ362" i="43"/>
  <c r="BI362" i="43"/>
  <c r="BM361" i="43"/>
  <c r="BL361" i="43"/>
  <c r="BJ361" i="43"/>
  <c r="BI361" i="43"/>
  <c r="BM360" i="43"/>
  <c r="BL360" i="43"/>
  <c r="BJ360" i="43"/>
  <c r="BI360" i="43"/>
  <c r="BM359" i="43"/>
  <c r="BL359" i="43"/>
  <c r="BJ359" i="43"/>
  <c r="BI359" i="43"/>
  <c r="BM358" i="43"/>
  <c r="BL358" i="43"/>
  <c r="BJ358" i="43"/>
  <c r="BI358" i="43"/>
  <c r="BO358" i="43" s="1"/>
  <c r="BM357" i="43"/>
  <c r="BL357" i="43"/>
  <c r="BJ357" i="43"/>
  <c r="BI357" i="43"/>
  <c r="BM356" i="43"/>
  <c r="BL356" i="43"/>
  <c r="BJ356" i="43"/>
  <c r="BI356" i="43"/>
  <c r="BM355" i="43"/>
  <c r="BL355" i="43"/>
  <c r="BJ355" i="43"/>
  <c r="BI355" i="43"/>
  <c r="BM354" i="43"/>
  <c r="BL354" i="43"/>
  <c r="BJ354" i="43"/>
  <c r="BI354" i="43"/>
  <c r="BM353" i="43"/>
  <c r="BL353" i="43"/>
  <c r="BJ353" i="43"/>
  <c r="BI353" i="43"/>
  <c r="BM352" i="43"/>
  <c r="BL352" i="43"/>
  <c r="BJ352" i="43"/>
  <c r="BI352" i="43"/>
  <c r="BM351" i="43"/>
  <c r="BL351" i="43"/>
  <c r="BJ351" i="43"/>
  <c r="BI351" i="43"/>
  <c r="BM350" i="43"/>
  <c r="BL350" i="43"/>
  <c r="BJ350" i="43"/>
  <c r="BI350" i="43"/>
  <c r="BM349" i="43"/>
  <c r="BL349" i="43"/>
  <c r="BJ349" i="43"/>
  <c r="BI349" i="43"/>
  <c r="BM348" i="43"/>
  <c r="BL348" i="43"/>
  <c r="BJ348" i="43"/>
  <c r="BI348" i="43"/>
  <c r="BM347" i="43"/>
  <c r="BL347" i="43"/>
  <c r="BJ347" i="43"/>
  <c r="BI347" i="43"/>
  <c r="BM346" i="43"/>
  <c r="BL346" i="43"/>
  <c r="BJ346" i="43"/>
  <c r="BI346" i="43"/>
  <c r="BM345" i="43"/>
  <c r="BL345" i="43"/>
  <c r="BJ345" i="43"/>
  <c r="BI345" i="43"/>
  <c r="BM344" i="43"/>
  <c r="BL344" i="43"/>
  <c r="BJ344" i="43"/>
  <c r="BI344" i="43"/>
  <c r="BM343" i="43"/>
  <c r="BL343" i="43"/>
  <c r="BJ343" i="43"/>
  <c r="BI343" i="43"/>
  <c r="BM342" i="43"/>
  <c r="BL342" i="43"/>
  <c r="BJ342" i="43"/>
  <c r="BI342" i="43"/>
  <c r="BM341" i="43"/>
  <c r="BL341" i="43"/>
  <c r="BJ341" i="43"/>
  <c r="BI341" i="43"/>
  <c r="BM340" i="43"/>
  <c r="BL340" i="43"/>
  <c r="BJ340" i="43"/>
  <c r="BI340" i="43"/>
  <c r="BM339" i="43"/>
  <c r="BL339" i="43"/>
  <c r="BJ339" i="43"/>
  <c r="BI339" i="43"/>
  <c r="BM338" i="43"/>
  <c r="BL338" i="43"/>
  <c r="BJ338" i="43"/>
  <c r="BI338" i="43"/>
  <c r="BM337" i="43"/>
  <c r="BL337" i="43"/>
  <c r="BJ337" i="43"/>
  <c r="BI337" i="43"/>
  <c r="BM336" i="43"/>
  <c r="BL336" i="43"/>
  <c r="BJ336" i="43"/>
  <c r="BI336" i="43"/>
  <c r="BM335" i="43"/>
  <c r="BL335" i="43"/>
  <c r="BJ335" i="43"/>
  <c r="BI335" i="43"/>
  <c r="BM334" i="43"/>
  <c r="BL334" i="43"/>
  <c r="BJ334" i="43"/>
  <c r="BI334" i="43"/>
  <c r="BM333" i="43"/>
  <c r="BL333" i="43"/>
  <c r="BJ333" i="43"/>
  <c r="BI333" i="43"/>
  <c r="BM332" i="43"/>
  <c r="BL332" i="43"/>
  <c r="BJ332" i="43"/>
  <c r="BI332" i="43"/>
  <c r="BM331" i="43"/>
  <c r="BL331" i="43"/>
  <c r="BJ331" i="43"/>
  <c r="BI331" i="43"/>
  <c r="BM330" i="43"/>
  <c r="BL330" i="43"/>
  <c r="BJ330" i="43"/>
  <c r="BI330" i="43"/>
  <c r="BM329" i="43"/>
  <c r="BL329" i="43"/>
  <c r="BJ329" i="43"/>
  <c r="BI329" i="43"/>
  <c r="BM328" i="43"/>
  <c r="BL328" i="43"/>
  <c r="BJ328" i="43"/>
  <c r="BI328" i="43"/>
  <c r="BM327" i="43"/>
  <c r="BL327" i="43"/>
  <c r="BJ327" i="43"/>
  <c r="BI327" i="43"/>
  <c r="BM326" i="43"/>
  <c r="BL326" i="43"/>
  <c r="BJ326" i="43"/>
  <c r="BI326" i="43"/>
  <c r="BM325" i="43"/>
  <c r="BL325" i="43"/>
  <c r="BJ325" i="43"/>
  <c r="BI325" i="43"/>
  <c r="BM324" i="43"/>
  <c r="BL324" i="43"/>
  <c r="BJ324" i="43"/>
  <c r="BI324" i="43"/>
  <c r="BM323" i="43"/>
  <c r="BL323" i="43"/>
  <c r="BJ323" i="43"/>
  <c r="BI323" i="43"/>
  <c r="BM322" i="43"/>
  <c r="BL322" i="43"/>
  <c r="BJ322" i="43"/>
  <c r="BI322" i="43"/>
  <c r="BM321" i="43"/>
  <c r="BL321" i="43"/>
  <c r="BJ321" i="43"/>
  <c r="BI321" i="43"/>
  <c r="BM320" i="43"/>
  <c r="BL320" i="43"/>
  <c r="BJ320" i="43"/>
  <c r="BI320" i="43"/>
  <c r="BM319" i="43"/>
  <c r="BL319" i="43"/>
  <c r="BJ319" i="43"/>
  <c r="BI319" i="43"/>
  <c r="BM318" i="43"/>
  <c r="BL318" i="43"/>
  <c r="BJ318" i="43"/>
  <c r="BI318" i="43"/>
  <c r="BM317" i="43"/>
  <c r="BL317" i="43"/>
  <c r="BJ317" i="43"/>
  <c r="BI317" i="43"/>
  <c r="BM316" i="43"/>
  <c r="BL316" i="43"/>
  <c r="BJ316" i="43"/>
  <c r="BI316" i="43"/>
  <c r="BM315" i="43"/>
  <c r="BL315" i="43"/>
  <c r="BJ315" i="43"/>
  <c r="BI315" i="43"/>
  <c r="BM314" i="43"/>
  <c r="BL314" i="43"/>
  <c r="BJ314" i="43"/>
  <c r="BI314" i="43"/>
  <c r="BM313" i="43"/>
  <c r="BL313" i="43"/>
  <c r="BJ313" i="43"/>
  <c r="BI313" i="43"/>
  <c r="BM312" i="43"/>
  <c r="BL312" i="43"/>
  <c r="BJ312" i="43"/>
  <c r="BI312" i="43"/>
  <c r="BM311" i="43"/>
  <c r="BL311" i="43"/>
  <c r="BJ311" i="43"/>
  <c r="BI311" i="43"/>
  <c r="BM310" i="43"/>
  <c r="BL310" i="43"/>
  <c r="BJ310" i="43"/>
  <c r="BI310" i="43"/>
  <c r="BM309" i="43"/>
  <c r="BL309" i="43"/>
  <c r="BJ309" i="43"/>
  <c r="BI309" i="43"/>
  <c r="BM308" i="43"/>
  <c r="BL308" i="43"/>
  <c r="BJ308" i="43"/>
  <c r="BI308" i="43"/>
  <c r="BM307" i="43"/>
  <c r="BL307" i="43"/>
  <c r="BJ307" i="43"/>
  <c r="BI307" i="43"/>
  <c r="BM306" i="43"/>
  <c r="BL306" i="43"/>
  <c r="BJ306" i="43"/>
  <c r="BI306" i="43"/>
  <c r="BM305" i="43"/>
  <c r="BL305" i="43"/>
  <c r="BJ305" i="43"/>
  <c r="BI305" i="43"/>
  <c r="BM304" i="43"/>
  <c r="BL304" i="43"/>
  <c r="BJ304" i="43"/>
  <c r="BI304" i="43"/>
  <c r="BM303" i="43"/>
  <c r="BL303" i="43"/>
  <c r="BJ303" i="43"/>
  <c r="BI303" i="43"/>
  <c r="BM302" i="43"/>
  <c r="BL302" i="43"/>
  <c r="BJ302" i="43"/>
  <c r="BI302" i="43"/>
  <c r="BM301" i="43"/>
  <c r="BL301" i="43"/>
  <c r="BJ301" i="43"/>
  <c r="BI301" i="43"/>
  <c r="BM300" i="43"/>
  <c r="BL300" i="43"/>
  <c r="BJ300" i="43"/>
  <c r="BI300" i="43"/>
  <c r="BM299" i="43"/>
  <c r="BL299" i="43"/>
  <c r="BJ299" i="43"/>
  <c r="BI299" i="43"/>
  <c r="BM298" i="43"/>
  <c r="BL298" i="43"/>
  <c r="BJ298" i="43"/>
  <c r="BI298" i="43"/>
  <c r="BM297" i="43"/>
  <c r="BL297" i="43"/>
  <c r="BJ297" i="43"/>
  <c r="BI297" i="43"/>
  <c r="BM296" i="43"/>
  <c r="BL296" i="43"/>
  <c r="BJ296" i="43"/>
  <c r="BI296" i="43"/>
  <c r="BM295" i="43"/>
  <c r="BL295" i="43"/>
  <c r="BJ295" i="43"/>
  <c r="BI295" i="43"/>
  <c r="BM294" i="43"/>
  <c r="BL294" i="43"/>
  <c r="BJ294" i="43"/>
  <c r="BI294" i="43"/>
  <c r="BM293" i="43"/>
  <c r="BL293" i="43"/>
  <c r="BJ293" i="43"/>
  <c r="BI293" i="43"/>
  <c r="BM292" i="43"/>
  <c r="BL292" i="43"/>
  <c r="BJ292" i="43"/>
  <c r="BI292" i="43"/>
  <c r="BM291" i="43"/>
  <c r="BL291" i="43"/>
  <c r="BJ291" i="43"/>
  <c r="BI291" i="43"/>
  <c r="BM290" i="43"/>
  <c r="BL290" i="43"/>
  <c r="BJ290" i="43"/>
  <c r="BI290" i="43"/>
  <c r="BM289" i="43"/>
  <c r="BL289" i="43"/>
  <c r="BJ289" i="43"/>
  <c r="BI289" i="43"/>
  <c r="BM288" i="43"/>
  <c r="BL288" i="43"/>
  <c r="BJ288" i="43"/>
  <c r="BI288" i="43"/>
  <c r="BM287" i="43"/>
  <c r="BL287" i="43"/>
  <c r="BJ287" i="43"/>
  <c r="BI287" i="43"/>
  <c r="BM286" i="43"/>
  <c r="BL286" i="43"/>
  <c r="BJ286" i="43"/>
  <c r="BI286" i="43"/>
  <c r="BM285" i="43"/>
  <c r="BL285" i="43"/>
  <c r="BJ285" i="43"/>
  <c r="BI285" i="43"/>
  <c r="BM284" i="43"/>
  <c r="BL284" i="43"/>
  <c r="BJ284" i="43"/>
  <c r="BI284" i="43"/>
  <c r="BM283" i="43"/>
  <c r="BL283" i="43"/>
  <c r="BJ283" i="43"/>
  <c r="BI283" i="43"/>
  <c r="BM282" i="43"/>
  <c r="BL282" i="43"/>
  <c r="BJ282" i="43"/>
  <c r="BI282" i="43"/>
  <c r="BO282" i="43" s="1"/>
  <c r="BM281" i="43"/>
  <c r="BL281" i="43"/>
  <c r="BJ281" i="43"/>
  <c r="BI281" i="43"/>
  <c r="BM280" i="43"/>
  <c r="BL280" i="43"/>
  <c r="BJ280" i="43"/>
  <c r="BI280" i="43"/>
  <c r="BM279" i="43"/>
  <c r="BL279" i="43"/>
  <c r="BJ279" i="43"/>
  <c r="BI279" i="43"/>
  <c r="BM278" i="43"/>
  <c r="BL278" i="43"/>
  <c r="BJ278" i="43"/>
  <c r="BI278" i="43"/>
  <c r="BM277" i="43"/>
  <c r="BL277" i="43"/>
  <c r="BJ277" i="43"/>
  <c r="BI277" i="43"/>
  <c r="BM276" i="43"/>
  <c r="BL276" i="43"/>
  <c r="BJ276" i="43"/>
  <c r="BI276" i="43"/>
  <c r="BM275" i="43"/>
  <c r="BL275" i="43"/>
  <c r="BJ275" i="43"/>
  <c r="BI275" i="43"/>
  <c r="BM274" i="43"/>
  <c r="BL274" i="43"/>
  <c r="BJ274" i="43"/>
  <c r="BI274" i="43"/>
  <c r="BM273" i="43"/>
  <c r="BL273" i="43"/>
  <c r="BJ273" i="43"/>
  <c r="BI273" i="43"/>
  <c r="BM272" i="43"/>
  <c r="BL272" i="43"/>
  <c r="BJ272" i="43"/>
  <c r="BI272" i="43"/>
  <c r="BM271" i="43"/>
  <c r="BL271" i="43"/>
  <c r="BJ271" i="43"/>
  <c r="BI271" i="43"/>
  <c r="BM270" i="43"/>
  <c r="BL270" i="43"/>
  <c r="BJ270" i="43"/>
  <c r="BI270" i="43"/>
  <c r="BM269" i="43"/>
  <c r="BL269" i="43"/>
  <c r="BJ269" i="43"/>
  <c r="BI269" i="43"/>
  <c r="BM268" i="43"/>
  <c r="BL268" i="43"/>
  <c r="BJ268" i="43"/>
  <c r="BI268" i="43"/>
  <c r="BM267" i="43"/>
  <c r="BL267" i="43"/>
  <c r="BJ267" i="43"/>
  <c r="BI267" i="43"/>
  <c r="BM266" i="43"/>
  <c r="BL266" i="43"/>
  <c r="BJ266" i="43"/>
  <c r="BI266" i="43"/>
  <c r="BM265" i="43"/>
  <c r="BL265" i="43"/>
  <c r="BJ265" i="43"/>
  <c r="BI265" i="43"/>
  <c r="BM264" i="43"/>
  <c r="BL264" i="43"/>
  <c r="BJ264" i="43"/>
  <c r="BI264" i="43"/>
  <c r="BM263" i="43"/>
  <c r="BL263" i="43"/>
  <c r="BJ263" i="43"/>
  <c r="BP263" i="43" s="1"/>
  <c r="BI263" i="43"/>
  <c r="BM262" i="43"/>
  <c r="BL262" i="43"/>
  <c r="BJ262" i="43"/>
  <c r="BI262" i="43"/>
  <c r="BM261" i="43"/>
  <c r="BL261" i="43"/>
  <c r="BJ261" i="43"/>
  <c r="BI261" i="43"/>
  <c r="BM260" i="43"/>
  <c r="BL260" i="43"/>
  <c r="BJ260" i="43"/>
  <c r="BI260" i="43"/>
  <c r="BM259" i="43"/>
  <c r="BL259" i="43"/>
  <c r="BJ259" i="43"/>
  <c r="BI259" i="43"/>
  <c r="BO259" i="43" s="1"/>
  <c r="BM258" i="43"/>
  <c r="BL258" i="43"/>
  <c r="BJ258" i="43"/>
  <c r="BI258" i="43"/>
  <c r="BM257" i="43"/>
  <c r="BL257" i="43"/>
  <c r="BJ257" i="43"/>
  <c r="BI257" i="43"/>
  <c r="BM256" i="43"/>
  <c r="BL256" i="43"/>
  <c r="BJ256" i="43"/>
  <c r="BI256" i="43"/>
  <c r="BM255" i="43"/>
  <c r="BL255" i="43"/>
  <c r="BJ255" i="43"/>
  <c r="BI255" i="43"/>
  <c r="BM254" i="43"/>
  <c r="BS254" i="43" s="1"/>
  <c r="BL254" i="43"/>
  <c r="BJ254" i="43"/>
  <c r="BI254" i="43"/>
  <c r="BM253" i="43"/>
  <c r="BL253" i="43"/>
  <c r="BJ253" i="43"/>
  <c r="BP253" i="43" s="1"/>
  <c r="BI253" i="43"/>
  <c r="BM252" i="43"/>
  <c r="BL252" i="43"/>
  <c r="BJ252" i="43"/>
  <c r="BI252" i="43"/>
  <c r="BM251" i="43"/>
  <c r="BL251" i="43"/>
  <c r="BJ251" i="43"/>
  <c r="BI251" i="43"/>
  <c r="BM250" i="43"/>
  <c r="BL250" i="43"/>
  <c r="BJ250" i="43"/>
  <c r="BI250" i="43"/>
  <c r="BO250" i="43" s="1"/>
  <c r="BM249" i="43"/>
  <c r="BL249" i="43"/>
  <c r="BJ249" i="43"/>
  <c r="BI249" i="43"/>
  <c r="BM248" i="43"/>
  <c r="BL248" i="43"/>
  <c r="BJ248" i="43"/>
  <c r="BI248" i="43"/>
  <c r="BM247" i="43"/>
  <c r="BL247" i="43"/>
  <c r="BJ247" i="43"/>
  <c r="BI247" i="43"/>
  <c r="BM246" i="43"/>
  <c r="BL246" i="43"/>
  <c r="BJ246" i="43"/>
  <c r="BI246" i="43"/>
  <c r="BM245" i="43"/>
  <c r="BL245" i="43"/>
  <c r="BJ245" i="43"/>
  <c r="BP245" i="43" s="1"/>
  <c r="BI245" i="43"/>
  <c r="BM244" i="43"/>
  <c r="BL244" i="43"/>
  <c r="BJ244" i="43"/>
  <c r="BI244" i="43"/>
  <c r="BM243" i="43"/>
  <c r="BL243" i="43"/>
  <c r="BJ243" i="43"/>
  <c r="BI243" i="43"/>
  <c r="BM242" i="43"/>
  <c r="BL242" i="43"/>
  <c r="BJ242" i="43"/>
  <c r="BI242" i="43"/>
  <c r="BO242" i="43" s="1"/>
  <c r="BM241" i="43"/>
  <c r="BL241" i="43"/>
  <c r="BJ241" i="43"/>
  <c r="BI241" i="43"/>
  <c r="BM240" i="43"/>
  <c r="BL240" i="43"/>
  <c r="BJ240" i="43"/>
  <c r="BI240" i="43"/>
  <c r="BM239" i="43"/>
  <c r="BL239" i="43"/>
  <c r="BJ239" i="43"/>
  <c r="BI239" i="43"/>
  <c r="BM238" i="43"/>
  <c r="BL238" i="43"/>
  <c r="BJ238" i="43"/>
  <c r="BI238" i="43"/>
  <c r="BM237" i="43"/>
  <c r="BL237" i="43"/>
  <c r="BJ237" i="43"/>
  <c r="BP237" i="43" s="1"/>
  <c r="BI237" i="43"/>
  <c r="BM236" i="43"/>
  <c r="BL236" i="43"/>
  <c r="BJ236" i="43"/>
  <c r="BI236" i="43"/>
  <c r="BM235" i="43"/>
  <c r="BL235" i="43"/>
  <c r="BJ235" i="43"/>
  <c r="BI235" i="43"/>
  <c r="BM234" i="43"/>
  <c r="BL234" i="43"/>
  <c r="BJ234" i="43"/>
  <c r="BI234" i="43"/>
  <c r="BO234" i="43" s="1"/>
  <c r="BM233" i="43"/>
  <c r="BL233" i="43"/>
  <c r="BJ233" i="43"/>
  <c r="BI233" i="43"/>
  <c r="BM232" i="43"/>
  <c r="BL232" i="43"/>
  <c r="BJ232" i="43"/>
  <c r="BI232" i="43"/>
  <c r="BM231" i="43"/>
  <c r="BL231" i="43"/>
  <c r="BJ231" i="43"/>
  <c r="BI231" i="43"/>
  <c r="BM230" i="43"/>
  <c r="BL230" i="43"/>
  <c r="BJ230" i="43"/>
  <c r="BI230" i="43"/>
  <c r="BM229" i="43"/>
  <c r="BL229" i="43"/>
  <c r="BJ229" i="43"/>
  <c r="BP229" i="43" s="1"/>
  <c r="BI229" i="43"/>
  <c r="BM228" i="43"/>
  <c r="BL228" i="43"/>
  <c r="BJ228" i="43"/>
  <c r="BI228" i="43"/>
  <c r="BM227" i="43"/>
  <c r="BL227" i="43"/>
  <c r="BJ227" i="43"/>
  <c r="BI227" i="43"/>
  <c r="BM226" i="43"/>
  <c r="BL226" i="43"/>
  <c r="BJ226" i="43"/>
  <c r="BI226" i="43"/>
  <c r="BO226" i="43" s="1"/>
  <c r="BM225" i="43"/>
  <c r="BL225" i="43"/>
  <c r="BJ225" i="43"/>
  <c r="BI225" i="43"/>
  <c r="BM224" i="43"/>
  <c r="BL224" i="43"/>
  <c r="BJ224" i="43"/>
  <c r="BI224" i="43"/>
  <c r="BM223" i="43"/>
  <c r="BL223" i="43"/>
  <c r="BJ223" i="43"/>
  <c r="BI223" i="43"/>
  <c r="BM222" i="43"/>
  <c r="BS222" i="43" s="1"/>
  <c r="BL222" i="43"/>
  <c r="BJ222" i="43"/>
  <c r="BI222" i="43"/>
  <c r="BM221" i="43"/>
  <c r="BL221" i="43"/>
  <c r="BJ221" i="43"/>
  <c r="BI221" i="43"/>
  <c r="BM220" i="43"/>
  <c r="BL220" i="43"/>
  <c r="BJ220" i="43"/>
  <c r="BI220" i="43"/>
  <c r="BM219" i="43"/>
  <c r="BL219" i="43"/>
  <c r="BJ219" i="43"/>
  <c r="BI219" i="43"/>
  <c r="BM218" i="43"/>
  <c r="BL218" i="43"/>
  <c r="BJ218" i="43"/>
  <c r="BI218" i="43"/>
  <c r="BO218" i="43" s="1"/>
  <c r="BM217" i="43"/>
  <c r="BL217" i="43"/>
  <c r="BJ217" i="43"/>
  <c r="BI217" i="43"/>
  <c r="BM216" i="43"/>
  <c r="BL216" i="43"/>
  <c r="BJ216" i="43"/>
  <c r="BI216" i="43"/>
  <c r="BM215" i="43"/>
  <c r="BL215" i="43"/>
  <c r="BJ215" i="43"/>
  <c r="BI215" i="43"/>
  <c r="BM214" i="43"/>
  <c r="BL214" i="43"/>
  <c r="BJ214" i="43"/>
  <c r="BI214" i="43"/>
  <c r="BM213" i="43"/>
  <c r="BL213" i="43"/>
  <c r="BJ213" i="43"/>
  <c r="BI213" i="43"/>
  <c r="BM212" i="43"/>
  <c r="BL212" i="43"/>
  <c r="BJ212" i="43"/>
  <c r="BI212" i="43"/>
  <c r="BM211" i="43"/>
  <c r="BL211" i="43"/>
  <c r="BJ211" i="43"/>
  <c r="BI211" i="43"/>
  <c r="BM210" i="43"/>
  <c r="BL210" i="43"/>
  <c r="BJ210" i="43"/>
  <c r="BI210" i="43"/>
  <c r="BO210" i="43" s="1"/>
  <c r="BM209" i="43"/>
  <c r="BL209" i="43"/>
  <c r="BJ209" i="43"/>
  <c r="BI209" i="43"/>
  <c r="BM208" i="43"/>
  <c r="BL208" i="43"/>
  <c r="BJ208" i="43"/>
  <c r="BI208" i="43"/>
  <c r="BM207" i="43"/>
  <c r="BL207" i="43"/>
  <c r="BJ207" i="43"/>
  <c r="BI207" i="43"/>
  <c r="BM206" i="43"/>
  <c r="BL206" i="43"/>
  <c r="BJ206" i="43"/>
  <c r="BI206" i="43"/>
  <c r="BM205" i="43"/>
  <c r="BL205" i="43"/>
  <c r="BJ205" i="43"/>
  <c r="BI205" i="43"/>
  <c r="BM204" i="43"/>
  <c r="BL204" i="43"/>
  <c r="BJ204" i="43"/>
  <c r="BI204" i="43"/>
  <c r="BM203" i="43"/>
  <c r="BL203" i="43"/>
  <c r="BJ203" i="43"/>
  <c r="BI203" i="43"/>
  <c r="BM202" i="43"/>
  <c r="BL202" i="43"/>
  <c r="BJ202" i="43"/>
  <c r="BI202" i="43"/>
  <c r="BO202" i="43" s="1"/>
  <c r="BM201" i="43"/>
  <c r="BL201" i="43"/>
  <c r="BJ201" i="43"/>
  <c r="BI201" i="43"/>
  <c r="BM200" i="43"/>
  <c r="BL200" i="43"/>
  <c r="BJ200" i="43"/>
  <c r="BI200" i="43"/>
  <c r="BM199" i="43"/>
  <c r="BL199" i="43"/>
  <c r="BJ199" i="43"/>
  <c r="BI199" i="43"/>
  <c r="BM198" i="43"/>
  <c r="BL198" i="43"/>
  <c r="BJ198" i="43"/>
  <c r="BI198" i="43"/>
  <c r="BM197" i="43"/>
  <c r="BL197" i="43"/>
  <c r="BJ197" i="43"/>
  <c r="BP197" i="43" s="1"/>
  <c r="BI197" i="43"/>
  <c r="BM196" i="43"/>
  <c r="BL196" i="43"/>
  <c r="BJ196" i="43"/>
  <c r="BI196" i="43"/>
  <c r="BM195" i="43"/>
  <c r="BL195" i="43"/>
  <c r="BJ195" i="43"/>
  <c r="BI195" i="43"/>
  <c r="BM194" i="43"/>
  <c r="BL194" i="43"/>
  <c r="BJ194" i="43"/>
  <c r="BI194" i="43"/>
  <c r="BM193" i="43"/>
  <c r="BL193" i="43"/>
  <c r="BJ193" i="43"/>
  <c r="BI193" i="43"/>
  <c r="BM192" i="43"/>
  <c r="BL192" i="43"/>
  <c r="BJ192" i="43"/>
  <c r="BI192" i="43"/>
  <c r="BM191" i="43"/>
  <c r="BL191" i="43"/>
  <c r="BJ191" i="43"/>
  <c r="BI191" i="43"/>
  <c r="BM190" i="43"/>
  <c r="BS190" i="43" s="1"/>
  <c r="BL190" i="43"/>
  <c r="BJ190" i="43"/>
  <c r="BI190" i="43"/>
  <c r="BM189" i="43"/>
  <c r="BL189" i="43"/>
  <c r="BJ189" i="43"/>
  <c r="BI189" i="43"/>
  <c r="BM188" i="43"/>
  <c r="BL188" i="43"/>
  <c r="BJ188" i="43"/>
  <c r="BI188" i="43"/>
  <c r="BM187" i="43"/>
  <c r="BL187" i="43"/>
  <c r="BJ187" i="43"/>
  <c r="BI187" i="43"/>
  <c r="BM186" i="43"/>
  <c r="BL186" i="43"/>
  <c r="BJ186" i="43"/>
  <c r="BI186" i="43"/>
  <c r="BM185" i="43"/>
  <c r="BL185" i="43"/>
  <c r="BJ185" i="43"/>
  <c r="BI185" i="43"/>
  <c r="BM184" i="43"/>
  <c r="BL184" i="43"/>
  <c r="BJ184" i="43"/>
  <c r="BI184" i="43"/>
  <c r="BM183" i="43"/>
  <c r="BL183" i="43"/>
  <c r="BJ183" i="43"/>
  <c r="BI183" i="43"/>
  <c r="BM182" i="43"/>
  <c r="BL182" i="43"/>
  <c r="BJ182" i="43"/>
  <c r="BI182" i="43"/>
  <c r="BM181" i="43"/>
  <c r="BL181" i="43"/>
  <c r="BJ181" i="43"/>
  <c r="BI181" i="43"/>
  <c r="BM180" i="43"/>
  <c r="BL180" i="43"/>
  <c r="BJ180" i="43"/>
  <c r="BI180" i="43"/>
  <c r="BM179" i="43"/>
  <c r="BL179" i="43"/>
  <c r="BJ179" i="43"/>
  <c r="BI179" i="43"/>
  <c r="BM178" i="43"/>
  <c r="BL178" i="43"/>
  <c r="BJ178" i="43"/>
  <c r="BI178" i="43"/>
  <c r="BO178" i="43" s="1"/>
  <c r="BM177" i="43"/>
  <c r="BL177" i="43"/>
  <c r="BJ177" i="43"/>
  <c r="BI177" i="43"/>
  <c r="BM176" i="43"/>
  <c r="BL176" i="43"/>
  <c r="BJ176" i="43"/>
  <c r="BI176" i="43"/>
  <c r="BM175" i="43"/>
  <c r="BL175" i="43"/>
  <c r="BJ175" i="43"/>
  <c r="BI175" i="43"/>
  <c r="BM174" i="43"/>
  <c r="BL174" i="43"/>
  <c r="BJ174" i="43"/>
  <c r="BI174" i="43"/>
  <c r="BM173" i="43"/>
  <c r="BL173" i="43"/>
  <c r="BJ173" i="43"/>
  <c r="BI173" i="43"/>
  <c r="BM172" i="43"/>
  <c r="BL172" i="43"/>
  <c r="BJ172" i="43"/>
  <c r="BI172" i="43"/>
  <c r="BM171" i="43"/>
  <c r="BL171" i="43"/>
  <c r="BJ171" i="43"/>
  <c r="BI171" i="43"/>
  <c r="BM170" i="43"/>
  <c r="BL170" i="43"/>
  <c r="BJ170" i="43"/>
  <c r="BI170" i="43"/>
  <c r="BM169" i="43"/>
  <c r="BL169" i="43"/>
  <c r="BJ169" i="43"/>
  <c r="BI169" i="43"/>
  <c r="BM168" i="43"/>
  <c r="BL168" i="43"/>
  <c r="BJ168" i="43"/>
  <c r="BI168" i="43"/>
  <c r="BM167" i="43"/>
  <c r="BL167" i="43"/>
  <c r="BJ167" i="43"/>
  <c r="BI167" i="43"/>
  <c r="BM166" i="43"/>
  <c r="BL166" i="43"/>
  <c r="BJ166" i="43"/>
  <c r="BI166" i="43"/>
  <c r="BM165" i="43"/>
  <c r="BL165" i="43"/>
  <c r="BJ165" i="43"/>
  <c r="BP165" i="43" s="1"/>
  <c r="BI165" i="43"/>
  <c r="BM164" i="43"/>
  <c r="BL164" i="43"/>
  <c r="BJ164" i="43"/>
  <c r="BI164" i="43"/>
  <c r="BM163" i="43"/>
  <c r="BL163" i="43"/>
  <c r="BJ163" i="43"/>
  <c r="BI163" i="43"/>
  <c r="BM162" i="43"/>
  <c r="BL162" i="43"/>
  <c r="BJ162" i="43"/>
  <c r="BI162" i="43"/>
  <c r="BM161" i="43"/>
  <c r="BL161" i="43"/>
  <c r="BJ161" i="43"/>
  <c r="BI161" i="43"/>
  <c r="BM160" i="43"/>
  <c r="BL160" i="43"/>
  <c r="BJ160" i="43"/>
  <c r="BI160" i="43"/>
  <c r="BM159" i="43"/>
  <c r="BL159" i="43"/>
  <c r="BJ159" i="43"/>
  <c r="BI159" i="43"/>
  <c r="BM158" i="43"/>
  <c r="BL158" i="43"/>
  <c r="BJ158" i="43"/>
  <c r="BI158" i="43"/>
  <c r="BM157" i="43"/>
  <c r="BL157" i="43"/>
  <c r="BJ157" i="43"/>
  <c r="BI157" i="43"/>
  <c r="BM156" i="43"/>
  <c r="BL156" i="43"/>
  <c r="BJ156" i="43"/>
  <c r="BI156" i="43"/>
  <c r="BM155" i="43"/>
  <c r="BL155" i="43"/>
  <c r="BJ155" i="43"/>
  <c r="BP155" i="43" s="1"/>
  <c r="BI155" i="43"/>
  <c r="BM154" i="43"/>
  <c r="BL154" i="43"/>
  <c r="BJ154" i="43"/>
  <c r="BI154" i="43"/>
  <c r="BM153" i="43"/>
  <c r="BL153" i="43"/>
  <c r="BJ153" i="43"/>
  <c r="BI153" i="43"/>
  <c r="BM152" i="43"/>
  <c r="BL152" i="43"/>
  <c r="BJ152" i="43"/>
  <c r="BI152" i="43"/>
  <c r="BO152" i="43" s="1"/>
  <c r="BM151" i="43"/>
  <c r="BL151" i="43"/>
  <c r="BJ151" i="43"/>
  <c r="BI151" i="43"/>
  <c r="BM150" i="43"/>
  <c r="BL150" i="43"/>
  <c r="BJ150" i="43"/>
  <c r="BI150" i="43"/>
  <c r="BM149" i="43"/>
  <c r="BL149" i="43"/>
  <c r="BJ149" i="43"/>
  <c r="BI149" i="43"/>
  <c r="BM148" i="43"/>
  <c r="BS148" i="43" s="1"/>
  <c r="BL148" i="43"/>
  <c r="BJ148" i="43"/>
  <c r="BI148" i="43"/>
  <c r="BM147" i="43"/>
  <c r="BL147" i="43"/>
  <c r="BJ147" i="43"/>
  <c r="BI147" i="43"/>
  <c r="BM146" i="43"/>
  <c r="BL146" i="43"/>
  <c r="BJ146" i="43"/>
  <c r="BI146" i="43"/>
  <c r="BM145" i="43"/>
  <c r="BL145" i="43"/>
  <c r="BJ145" i="43"/>
  <c r="BI145" i="43"/>
  <c r="BM144" i="43"/>
  <c r="BL144" i="43"/>
  <c r="BJ144" i="43"/>
  <c r="BI144" i="43"/>
  <c r="BM143" i="43"/>
  <c r="BL143" i="43"/>
  <c r="BJ143" i="43"/>
  <c r="BI143" i="43"/>
  <c r="BM142" i="43"/>
  <c r="BL142" i="43"/>
  <c r="BJ142" i="43"/>
  <c r="BI142" i="43"/>
  <c r="BM141" i="43"/>
  <c r="BL141" i="43"/>
  <c r="BJ141" i="43"/>
  <c r="BI141" i="43"/>
  <c r="BM140" i="43"/>
  <c r="BL140" i="43"/>
  <c r="BJ140" i="43"/>
  <c r="BI140" i="43"/>
  <c r="BM139" i="43"/>
  <c r="BL139" i="43"/>
  <c r="BJ139" i="43"/>
  <c r="BP139" i="43" s="1"/>
  <c r="BI139" i="43"/>
  <c r="BM138" i="43"/>
  <c r="BL138" i="43"/>
  <c r="BJ138" i="43"/>
  <c r="BI138" i="43"/>
  <c r="BM137" i="43"/>
  <c r="BL137" i="43"/>
  <c r="BJ137" i="43"/>
  <c r="BI137" i="43"/>
  <c r="BM136" i="43"/>
  <c r="BL136" i="43"/>
  <c r="BJ136" i="43"/>
  <c r="BI136" i="43"/>
  <c r="BO136" i="43" s="1"/>
  <c r="BM135" i="43"/>
  <c r="BL135" i="43"/>
  <c r="BJ135" i="43"/>
  <c r="BI135" i="43"/>
  <c r="BM134" i="43"/>
  <c r="BL134" i="43"/>
  <c r="BJ134" i="43"/>
  <c r="BI134" i="43"/>
  <c r="BM133" i="43"/>
  <c r="BL133" i="43"/>
  <c r="BJ133" i="43"/>
  <c r="BI133" i="43"/>
  <c r="BM132" i="43"/>
  <c r="BS132" i="43" s="1"/>
  <c r="BL132" i="43"/>
  <c r="BJ132" i="43"/>
  <c r="BI132" i="43"/>
  <c r="BM131" i="43"/>
  <c r="BL131" i="43"/>
  <c r="BJ131" i="43"/>
  <c r="BI131" i="43"/>
  <c r="BM130" i="43"/>
  <c r="BL130" i="43"/>
  <c r="BJ130" i="43"/>
  <c r="BI130" i="43"/>
  <c r="BM129" i="43"/>
  <c r="BL129" i="43"/>
  <c r="BJ129" i="43"/>
  <c r="BI129" i="43"/>
  <c r="BM128" i="43"/>
  <c r="BL128" i="43"/>
  <c r="BJ128" i="43"/>
  <c r="BI128" i="43"/>
  <c r="BM127" i="43"/>
  <c r="BL127" i="43"/>
  <c r="BJ127" i="43"/>
  <c r="BI127" i="43"/>
  <c r="BM126" i="43"/>
  <c r="BL126" i="43"/>
  <c r="BJ126" i="43"/>
  <c r="BI126" i="43"/>
  <c r="BM125" i="43"/>
  <c r="BL125" i="43"/>
  <c r="BJ125" i="43"/>
  <c r="BI125" i="43"/>
  <c r="BM124" i="43"/>
  <c r="BL124" i="43"/>
  <c r="BJ124" i="43"/>
  <c r="BI124" i="43"/>
  <c r="BM123" i="43"/>
  <c r="BL123" i="43"/>
  <c r="BJ123" i="43"/>
  <c r="BP123" i="43" s="1"/>
  <c r="BI123" i="43"/>
  <c r="BM122" i="43"/>
  <c r="BL122" i="43"/>
  <c r="BJ122" i="43"/>
  <c r="BI122" i="43"/>
  <c r="BM121" i="43"/>
  <c r="BL121" i="43"/>
  <c r="BJ121" i="43"/>
  <c r="BI121" i="43"/>
  <c r="BM120" i="43"/>
  <c r="BL120" i="43"/>
  <c r="BJ120" i="43"/>
  <c r="BI120" i="43"/>
  <c r="BO120" i="43" s="1"/>
  <c r="BM119" i="43"/>
  <c r="BL119" i="43"/>
  <c r="BJ119" i="43"/>
  <c r="BI119" i="43"/>
  <c r="BM118" i="43"/>
  <c r="BL118" i="43"/>
  <c r="BJ118" i="43"/>
  <c r="BI118" i="43"/>
  <c r="BM117" i="43"/>
  <c r="BL117" i="43"/>
  <c r="BJ117" i="43"/>
  <c r="BI117" i="43"/>
  <c r="BM116" i="43"/>
  <c r="BS116" i="43" s="1"/>
  <c r="BL116" i="43"/>
  <c r="BJ116" i="43"/>
  <c r="BI116" i="43"/>
  <c r="BM115" i="43"/>
  <c r="BL115" i="43"/>
  <c r="BJ115" i="43"/>
  <c r="BI115" i="43"/>
  <c r="BM114" i="43"/>
  <c r="BL114" i="43"/>
  <c r="BJ114" i="43"/>
  <c r="BI114" i="43"/>
  <c r="BM113" i="43"/>
  <c r="BL113" i="43"/>
  <c r="BJ113" i="43"/>
  <c r="BI113" i="43"/>
  <c r="BM112" i="43"/>
  <c r="BL112" i="43"/>
  <c r="BJ112" i="43"/>
  <c r="BI112" i="43"/>
  <c r="BM111" i="43"/>
  <c r="BL111" i="43"/>
  <c r="BJ111" i="43"/>
  <c r="BI111" i="43"/>
  <c r="BM110" i="43"/>
  <c r="BL110" i="43"/>
  <c r="BJ110" i="43"/>
  <c r="BI110" i="43"/>
  <c r="BM109" i="43"/>
  <c r="BL109" i="43"/>
  <c r="BJ109" i="43"/>
  <c r="BI109" i="43"/>
  <c r="BM108" i="43"/>
  <c r="BL108" i="43"/>
  <c r="BJ108" i="43"/>
  <c r="BI108" i="43"/>
  <c r="BM107" i="43"/>
  <c r="BL107" i="43"/>
  <c r="BJ107" i="43"/>
  <c r="BP107" i="43" s="1"/>
  <c r="BI107" i="43"/>
  <c r="BM106" i="43"/>
  <c r="BL106" i="43"/>
  <c r="BJ106" i="43"/>
  <c r="BI106" i="43"/>
  <c r="BM105" i="43"/>
  <c r="BL105" i="43"/>
  <c r="BJ105" i="43"/>
  <c r="BI105" i="43"/>
  <c r="BM104" i="43"/>
  <c r="BL104" i="43"/>
  <c r="BJ104" i="43"/>
  <c r="BI104" i="43"/>
  <c r="BO104" i="43" s="1"/>
  <c r="BM103" i="43"/>
  <c r="BL103" i="43"/>
  <c r="BJ103" i="43"/>
  <c r="BI103" i="43"/>
  <c r="BM102" i="43"/>
  <c r="BL102" i="43"/>
  <c r="BJ102" i="43"/>
  <c r="BI102" i="43"/>
  <c r="BM101" i="43"/>
  <c r="BL101" i="43"/>
  <c r="BJ101" i="43"/>
  <c r="BI101" i="43"/>
  <c r="BM100" i="43"/>
  <c r="BS100" i="43" s="1"/>
  <c r="BL100" i="43"/>
  <c r="BJ100" i="43"/>
  <c r="BI100" i="43"/>
  <c r="BM99" i="43"/>
  <c r="BL99" i="43"/>
  <c r="BJ99" i="43"/>
  <c r="BI99" i="43"/>
  <c r="BM98" i="43"/>
  <c r="BL98" i="43"/>
  <c r="BJ98" i="43"/>
  <c r="BI98" i="43"/>
  <c r="BM97" i="43"/>
  <c r="BL97" i="43"/>
  <c r="BJ97" i="43"/>
  <c r="BI97" i="43"/>
  <c r="BM96" i="43"/>
  <c r="BL96" i="43"/>
  <c r="BJ96" i="43"/>
  <c r="BI96" i="43"/>
  <c r="BM95" i="43"/>
  <c r="BL95" i="43"/>
  <c r="BJ95" i="43"/>
  <c r="BI95" i="43"/>
  <c r="BM94" i="43"/>
  <c r="BL94" i="43"/>
  <c r="BJ94" i="43"/>
  <c r="BI94" i="43"/>
  <c r="BM93" i="43"/>
  <c r="BL93" i="43"/>
  <c r="BJ93" i="43"/>
  <c r="BI93" i="43"/>
  <c r="BM92" i="43"/>
  <c r="BL92" i="43"/>
  <c r="BJ92" i="43"/>
  <c r="BI92" i="43"/>
  <c r="BM91" i="43"/>
  <c r="BL91" i="43"/>
  <c r="BJ91" i="43"/>
  <c r="BP91" i="43" s="1"/>
  <c r="BI91" i="43"/>
  <c r="BM90" i="43"/>
  <c r="BL90" i="43"/>
  <c r="BJ90" i="43"/>
  <c r="BI90" i="43"/>
  <c r="BM89" i="43"/>
  <c r="BL89" i="43"/>
  <c r="BJ89" i="43"/>
  <c r="BI89" i="43"/>
  <c r="BM88" i="43"/>
  <c r="BL88" i="43"/>
  <c r="BJ88" i="43"/>
  <c r="BI88" i="43"/>
  <c r="BO88" i="43" s="1"/>
  <c r="BM87" i="43"/>
  <c r="BL87" i="43"/>
  <c r="BJ87" i="43"/>
  <c r="BI87" i="43"/>
  <c r="BM86" i="43"/>
  <c r="BL86" i="43"/>
  <c r="BJ86" i="43"/>
  <c r="BI86" i="43"/>
  <c r="BM85" i="43"/>
  <c r="BL85" i="43"/>
  <c r="BJ85" i="43"/>
  <c r="BI85" i="43"/>
  <c r="BM84" i="43"/>
  <c r="BL84" i="43"/>
  <c r="BJ84" i="43"/>
  <c r="BI84" i="43"/>
  <c r="BM83" i="43"/>
  <c r="BS83" i="43" s="1"/>
  <c r="BL83" i="43"/>
  <c r="BJ83" i="43"/>
  <c r="BI83" i="43"/>
  <c r="BM82" i="43"/>
  <c r="BL82" i="43"/>
  <c r="BJ82" i="43"/>
  <c r="BP82" i="43" s="1"/>
  <c r="BI82" i="43"/>
  <c r="BM81" i="43"/>
  <c r="BL81" i="43"/>
  <c r="BJ81" i="43"/>
  <c r="BI81" i="43"/>
  <c r="BM80" i="43"/>
  <c r="BL80" i="43"/>
  <c r="BJ80" i="43"/>
  <c r="BI80" i="43"/>
  <c r="BM79" i="43"/>
  <c r="BL79" i="43"/>
  <c r="BJ79" i="43"/>
  <c r="BP79" i="43" s="1"/>
  <c r="BI79" i="43"/>
  <c r="BM78" i="43"/>
  <c r="BL78" i="43"/>
  <c r="BJ78" i="43"/>
  <c r="BI78" i="43"/>
  <c r="BM77" i="43"/>
  <c r="BL77" i="43"/>
  <c r="BJ77" i="43"/>
  <c r="BI77" i="43"/>
  <c r="BM76" i="43"/>
  <c r="BS76" i="43" s="1"/>
  <c r="BL76" i="43"/>
  <c r="BJ76" i="43"/>
  <c r="BI76" i="43"/>
  <c r="BO76" i="43" s="1"/>
  <c r="BM75" i="43"/>
  <c r="BL75" i="43"/>
  <c r="BJ75" i="43"/>
  <c r="BP75" i="43" s="1"/>
  <c r="BI75" i="43"/>
  <c r="BM74" i="43"/>
  <c r="BL74" i="43"/>
  <c r="BJ74" i="43"/>
  <c r="BI74" i="43"/>
  <c r="BM73" i="43"/>
  <c r="BL73" i="43"/>
  <c r="BJ73" i="43"/>
  <c r="BI73" i="43"/>
  <c r="BM72" i="43"/>
  <c r="BS72" i="43" s="1"/>
  <c r="BL72" i="43"/>
  <c r="BJ72" i="43"/>
  <c r="BI72" i="43"/>
  <c r="BO72" i="43" s="1"/>
  <c r="BM71" i="43"/>
  <c r="BL71" i="43"/>
  <c r="BJ71" i="43"/>
  <c r="BP71" i="43" s="1"/>
  <c r="BI71" i="43"/>
  <c r="BM70" i="43"/>
  <c r="BL70" i="43"/>
  <c r="BJ70" i="43"/>
  <c r="BI70" i="43"/>
  <c r="BM69" i="43"/>
  <c r="BL69" i="43"/>
  <c r="BJ69" i="43"/>
  <c r="BI69" i="43"/>
  <c r="BM68" i="43"/>
  <c r="BS68" i="43" s="1"/>
  <c r="BL68" i="43"/>
  <c r="BJ68" i="43"/>
  <c r="BI68" i="43"/>
  <c r="BO68" i="43" s="1"/>
  <c r="BM67" i="43"/>
  <c r="BL67" i="43"/>
  <c r="BJ67" i="43"/>
  <c r="BP67" i="43" s="1"/>
  <c r="BI67" i="43"/>
  <c r="BM66" i="43"/>
  <c r="BL66" i="43"/>
  <c r="BJ66" i="43"/>
  <c r="BI66" i="43"/>
  <c r="BM65" i="43"/>
  <c r="BL65" i="43"/>
  <c r="BJ65" i="43"/>
  <c r="BI65" i="43"/>
  <c r="BM64" i="43"/>
  <c r="BS64" i="43" s="1"/>
  <c r="BL64" i="43"/>
  <c r="BJ64" i="43"/>
  <c r="BI64" i="43"/>
  <c r="BO64" i="43" s="1"/>
  <c r="BM63" i="43"/>
  <c r="BL63" i="43"/>
  <c r="BJ63" i="43"/>
  <c r="BP63" i="43" s="1"/>
  <c r="BI63" i="43"/>
  <c r="BM62" i="43"/>
  <c r="BL62" i="43"/>
  <c r="BJ62" i="43"/>
  <c r="BI62" i="43"/>
  <c r="BM61" i="43"/>
  <c r="BL61" i="43"/>
  <c r="BJ61" i="43"/>
  <c r="BI61" i="43"/>
  <c r="BM60" i="43"/>
  <c r="BS60" i="43" s="1"/>
  <c r="BL60" i="43"/>
  <c r="BJ60" i="43"/>
  <c r="BI60" i="43"/>
  <c r="BO60" i="43" s="1"/>
  <c r="BM59" i="43"/>
  <c r="BL59" i="43"/>
  <c r="BJ59" i="43"/>
  <c r="BP59" i="43" s="1"/>
  <c r="BI59" i="43"/>
  <c r="BM58" i="43"/>
  <c r="BL58" i="43"/>
  <c r="BJ58" i="43"/>
  <c r="BI58" i="43"/>
  <c r="BM57" i="43"/>
  <c r="BL57" i="43"/>
  <c r="BJ57" i="43"/>
  <c r="BI57" i="43"/>
  <c r="BM56" i="43"/>
  <c r="BS56" i="43" s="1"/>
  <c r="BL56" i="43"/>
  <c r="BJ56" i="43"/>
  <c r="BI56" i="43"/>
  <c r="BO56" i="43" s="1"/>
  <c r="BM55" i="43"/>
  <c r="BL55" i="43"/>
  <c r="BJ55" i="43"/>
  <c r="BP55" i="43" s="1"/>
  <c r="BI55" i="43"/>
  <c r="BM54" i="43"/>
  <c r="BL54" i="43"/>
  <c r="BJ54" i="43"/>
  <c r="BI54" i="43"/>
  <c r="BM53" i="43"/>
  <c r="BL53" i="43"/>
  <c r="BJ53" i="43"/>
  <c r="BI53" i="43"/>
  <c r="BM52" i="43"/>
  <c r="BS52" i="43" s="1"/>
  <c r="BL52" i="43"/>
  <c r="BJ52" i="43"/>
  <c r="BI52" i="43"/>
  <c r="BO52" i="43" s="1"/>
  <c r="BM51" i="43"/>
  <c r="BL51" i="43"/>
  <c r="BJ51" i="43"/>
  <c r="BP51" i="43" s="1"/>
  <c r="BI51" i="43"/>
  <c r="BM50" i="43"/>
  <c r="BL50" i="43"/>
  <c r="BJ50" i="43"/>
  <c r="BI50" i="43"/>
  <c r="BM49" i="43"/>
  <c r="BL49" i="43"/>
  <c r="BJ49" i="43"/>
  <c r="BI49" i="43"/>
  <c r="BM48" i="43"/>
  <c r="BS48" i="43" s="1"/>
  <c r="BL48" i="43"/>
  <c r="BJ48" i="43"/>
  <c r="BI48" i="43"/>
  <c r="BO48" i="43" s="1"/>
  <c r="BM47" i="43"/>
  <c r="BL47" i="43"/>
  <c r="BJ47" i="43"/>
  <c r="BP47" i="43" s="1"/>
  <c r="BI47" i="43"/>
  <c r="BM46" i="43"/>
  <c r="BL46" i="43"/>
  <c r="BJ46" i="43"/>
  <c r="BI46" i="43"/>
  <c r="BM45" i="43"/>
  <c r="BL45" i="43"/>
  <c r="BJ45" i="43"/>
  <c r="BI45" i="43"/>
  <c r="BM44" i="43"/>
  <c r="BS44" i="43" s="1"/>
  <c r="BL44" i="43"/>
  <c r="BJ44" i="43"/>
  <c r="BI44" i="43"/>
  <c r="BO44" i="43" s="1"/>
  <c r="BM43" i="43"/>
  <c r="BL43" i="43"/>
  <c r="BJ43" i="43"/>
  <c r="BP43" i="43" s="1"/>
  <c r="BI43" i="43"/>
  <c r="BM42" i="43"/>
  <c r="BL42" i="43"/>
  <c r="BJ42" i="43"/>
  <c r="BI42" i="43"/>
  <c r="BM41" i="43"/>
  <c r="BL41" i="43"/>
  <c r="BJ41" i="43"/>
  <c r="BI41" i="43"/>
  <c r="BM40" i="43"/>
  <c r="BS40" i="43" s="1"/>
  <c r="BL40" i="43"/>
  <c r="BJ40" i="43"/>
  <c r="BI40" i="43"/>
  <c r="BO40" i="43" s="1"/>
  <c r="BM39" i="43"/>
  <c r="BL39" i="43"/>
  <c r="BJ39" i="43"/>
  <c r="BP39" i="43" s="1"/>
  <c r="BI39" i="43"/>
  <c r="BM38" i="43"/>
  <c r="BL38" i="43"/>
  <c r="BJ38" i="43"/>
  <c r="BI38" i="43"/>
  <c r="BM37" i="43"/>
  <c r="BL37" i="43"/>
  <c r="BJ37" i="43"/>
  <c r="BI37" i="43"/>
  <c r="BM36" i="43"/>
  <c r="BS36" i="43" s="1"/>
  <c r="BL36" i="43"/>
  <c r="BJ36" i="43"/>
  <c r="BI36" i="43"/>
  <c r="BO36" i="43" s="1"/>
  <c r="BM35" i="43"/>
  <c r="BL35" i="43"/>
  <c r="BJ35" i="43"/>
  <c r="BP35" i="43" s="1"/>
  <c r="BI35" i="43"/>
  <c r="BM34" i="43"/>
  <c r="BL34" i="43"/>
  <c r="BJ34" i="43"/>
  <c r="BI34" i="43"/>
  <c r="BM33" i="43"/>
  <c r="BL33" i="43"/>
  <c r="BJ33" i="43"/>
  <c r="BI33" i="43"/>
  <c r="BM32" i="43"/>
  <c r="BS32" i="43" s="1"/>
  <c r="BL32" i="43"/>
  <c r="BJ32" i="43"/>
  <c r="BI32" i="43"/>
  <c r="BO32" i="43" s="1"/>
  <c r="BM31" i="43"/>
  <c r="BL31" i="43"/>
  <c r="BJ31" i="43"/>
  <c r="BP31" i="43" s="1"/>
  <c r="BI31" i="43"/>
  <c r="BM30" i="43"/>
  <c r="BL30" i="43"/>
  <c r="BJ30" i="43"/>
  <c r="BI30" i="43"/>
  <c r="BM29" i="43"/>
  <c r="BL29" i="43"/>
  <c r="BJ29" i="43"/>
  <c r="BI29" i="43"/>
  <c r="BM28" i="43"/>
  <c r="BS28" i="43" s="1"/>
  <c r="BL28" i="43"/>
  <c r="BJ28" i="43"/>
  <c r="BI28" i="43"/>
  <c r="BO28" i="43" s="1"/>
  <c r="BM27" i="43"/>
  <c r="BL27" i="43"/>
  <c r="BJ27" i="43"/>
  <c r="BP27" i="43" s="1"/>
  <c r="BI27" i="43"/>
  <c r="BM26" i="43"/>
  <c r="BL26" i="43"/>
  <c r="BJ26" i="43"/>
  <c r="BI26" i="43"/>
  <c r="BM25" i="43"/>
  <c r="BL25" i="43"/>
  <c r="BJ25" i="43"/>
  <c r="BI25" i="43"/>
  <c r="BM24" i="43"/>
  <c r="BS24" i="43" s="1"/>
  <c r="BL24" i="43"/>
  <c r="BJ24" i="43"/>
  <c r="BI24" i="43"/>
  <c r="BO24" i="43" s="1"/>
  <c r="BM23" i="43"/>
  <c r="BL23" i="43"/>
  <c r="BJ23" i="43"/>
  <c r="BP23" i="43" s="1"/>
  <c r="BI23" i="43"/>
  <c r="BM22" i="43"/>
  <c r="BL22" i="43"/>
  <c r="BJ22" i="43"/>
  <c r="BI22" i="43"/>
  <c r="BM21" i="43"/>
  <c r="BL21" i="43"/>
  <c r="BJ21" i="43"/>
  <c r="BI21" i="43"/>
  <c r="BM20" i="43"/>
  <c r="BS20" i="43" s="1"/>
  <c r="BL20" i="43"/>
  <c r="BJ20" i="43"/>
  <c r="BI20" i="43"/>
  <c r="BO20" i="43" s="1"/>
  <c r="BM19" i="43"/>
  <c r="BL19" i="43"/>
  <c r="BJ19" i="43"/>
  <c r="BP19" i="43" s="1"/>
  <c r="BI19" i="43"/>
  <c r="BM18" i="43"/>
  <c r="BL18" i="43"/>
  <c r="BJ18" i="43"/>
  <c r="BI18" i="43"/>
  <c r="BM17" i="43"/>
  <c r="BL17" i="43"/>
  <c r="BJ17" i="43"/>
  <c r="BI17" i="43"/>
  <c r="BM16" i="43"/>
  <c r="BS16" i="43" s="1"/>
  <c r="BL16" i="43"/>
  <c r="BJ16" i="43"/>
  <c r="BI16" i="43"/>
  <c r="BO16" i="43" s="1"/>
  <c r="BM15" i="43"/>
  <c r="BL15" i="43"/>
  <c r="BJ15" i="43"/>
  <c r="BP15" i="43" s="1"/>
  <c r="BI15" i="43"/>
  <c r="BM14" i="43"/>
  <c r="BL14" i="43"/>
  <c r="BJ14" i="43"/>
  <c r="BI14" i="43"/>
  <c r="BM13" i="43"/>
  <c r="BL13" i="43"/>
  <c r="BJ13" i="43"/>
  <c r="BI13" i="43"/>
  <c r="BM12" i="43"/>
  <c r="BS12" i="43" s="1"/>
  <c r="BL12" i="43"/>
  <c r="BJ12" i="43"/>
  <c r="BI12" i="43"/>
  <c r="BO12" i="43" s="1"/>
  <c r="BM11" i="43"/>
  <c r="BL11" i="43"/>
  <c r="BJ11" i="43"/>
  <c r="BP11" i="43" s="1"/>
  <c r="BI11" i="43"/>
  <c r="BM10" i="43"/>
  <c r="BL10" i="43"/>
  <c r="BJ10" i="43"/>
  <c r="BI10" i="43"/>
  <c r="BM9" i="43"/>
  <c r="BL9" i="43"/>
  <c r="BJ9" i="43"/>
  <c r="BI9" i="43"/>
  <c r="BM8" i="43"/>
  <c r="BS8" i="43" s="1"/>
  <c r="BL8" i="43"/>
  <c r="BJ8" i="43"/>
  <c r="BI8" i="43"/>
  <c r="BO8" i="43" s="1"/>
  <c r="BM7" i="43"/>
  <c r="BL7" i="43"/>
  <c r="BJ7" i="43"/>
  <c r="BP7" i="43" s="1"/>
  <c r="BI7" i="43"/>
  <c r="BM6" i="43"/>
  <c r="BL6" i="43"/>
  <c r="BJ6" i="43"/>
  <c r="BI6" i="43"/>
  <c r="BM5" i="43"/>
  <c r="BS5" i="43" s="1"/>
  <c r="BL5" i="43"/>
  <c r="BJ5" i="43"/>
  <c r="BP5" i="43" s="1"/>
  <c r="BI5" i="43"/>
  <c r="BO5" i="43" s="1"/>
  <c r="AV14" i="43"/>
  <c r="AV437" i="43"/>
  <c r="AV434" i="43"/>
  <c r="AV412" i="43"/>
  <c r="AV393" i="43"/>
  <c r="AV392" i="43"/>
  <c r="AV391" i="43"/>
  <c r="AV390" i="43"/>
  <c r="AV389" i="43"/>
  <c r="AV388" i="43"/>
  <c r="AV387" i="43"/>
  <c r="AV386" i="43"/>
  <c r="AV385" i="43"/>
  <c r="AV384" i="43"/>
  <c r="AV383" i="43"/>
  <c r="AV382" i="43"/>
  <c r="AV381" i="43"/>
  <c r="AV380" i="43"/>
  <c r="AV379" i="43"/>
  <c r="AV378" i="43"/>
  <c r="AV377" i="43"/>
  <c r="AV376" i="43"/>
  <c r="AV375" i="43"/>
  <c r="AV374" i="43"/>
  <c r="AV373" i="43"/>
  <c r="AV372" i="43"/>
  <c r="AV371" i="43"/>
  <c r="AV370" i="43"/>
  <c r="AV369" i="43"/>
  <c r="AV368" i="43"/>
  <c r="AV367" i="43"/>
  <c r="AV366" i="43"/>
  <c r="AV365" i="43"/>
  <c r="AV364" i="43"/>
  <c r="AV363" i="43"/>
  <c r="AV362" i="43"/>
  <c r="AV361" i="43"/>
  <c r="AV360" i="43"/>
  <c r="AV359" i="43"/>
  <c r="AV358" i="43"/>
  <c r="AV357" i="43"/>
  <c r="AV356" i="43"/>
  <c r="AV355" i="43"/>
  <c r="AV354" i="43"/>
  <c r="AV353" i="43"/>
  <c r="AV352" i="43"/>
  <c r="AV351" i="43"/>
  <c r="AV350" i="43"/>
  <c r="AV349" i="43"/>
  <c r="AV348" i="43"/>
  <c r="AV347" i="43"/>
  <c r="AV346" i="43"/>
  <c r="AV345" i="43"/>
  <c r="AV344" i="43"/>
  <c r="AV343" i="43"/>
  <c r="AV342" i="43"/>
  <c r="AV341" i="43"/>
  <c r="AV340" i="43"/>
  <c r="AV339" i="43"/>
  <c r="AV338" i="43"/>
  <c r="AV337" i="43"/>
  <c r="AV336" i="43"/>
  <c r="AV335" i="43"/>
  <c r="AV334" i="43"/>
  <c r="AV333" i="43"/>
  <c r="AV332" i="43"/>
  <c r="AV331" i="43"/>
  <c r="AV330" i="43"/>
  <c r="AV329" i="43"/>
  <c r="AV328" i="43"/>
  <c r="AV327" i="43"/>
  <c r="AV326" i="43"/>
  <c r="AV325" i="43"/>
  <c r="AV324" i="43"/>
  <c r="AV323" i="43"/>
  <c r="AV322" i="43"/>
  <c r="AV321" i="43"/>
  <c r="AV320" i="43"/>
  <c r="AV319" i="43"/>
  <c r="AV318" i="43"/>
  <c r="AV317" i="43"/>
  <c r="AV316" i="43"/>
  <c r="AV315" i="43"/>
  <c r="AV314" i="43"/>
  <c r="AV313" i="43"/>
  <c r="AV312" i="43"/>
  <c r="AV311" i="43"/>
  <c r="AV310" i="43"/>
  <c r="AV309" i="43"/>
  <c r="AV308" i="43"/>
  <c r="AV307" i="43"/>
  <c r="AV306" i="43"/>
  <c r="AV305" i="43"/>
  <c r="AV304" i="43"/>
  <c r="AV303" i="43"/>
  <c r="AV302" i="43"/>
  <c r="AV301" i="43"/>
  <c r="AV300" i="43"/>
  <c r="AV299" i="43"/>
  <c r="AV298" i="43"/>
  <c r="AV297" i="43"/>
  <c r="AV296" i="43"/>
  <c r="AV295" i="43"/>
  <c r="AV294" i="43"/>
  <c r="AV293" i="43"/>
  <c r="AV292" i="43"/>
  <c r="AV291" i="43"/>
  <c r="AV290" i="43"/>
  <c r="AV289" i="43"/>
  <c r="AV288" i="43"/>
  <c r="AV287" i="43"/>
  <c r="AV286" i="43"/>
  <c r="AV285" i="43"/>
  <c r="AV284" i="43"/>
  <c r="AV283" i="43"/>
  <c r="AV282" i="43"/>
  <c r="AV281" i="43"/>
  <c r="AV280" i="43"/>
  <c r="AV279" i="43"/>
  <c r="AV278" i="43"/>
  <c r="AV277" i="43"/>
  <c r="AV276" i="43"/>
  <c r="AV275" i="43"/>
  <c r="AV274" i="43"/>
  <c r="AV273" i="43"/>
  <c r="AV272" i="43"/>
  <c r="AV271" i="43"/>
  <c r="AV270" i="43"/>
  <c r="AV269" i="43"/>
  <c r="AV268" i="43"/>
  <c r="AV267" i="43"/>
  <c r="AV266" i="43"/>
  <c r="AV265" i="43"/>
  <c r="AV264" i="43"/>
  <c r="AV263" i="43"/>
  <c r="AV262" i="43"/>
  <c r="AV261" i="43"/>
  <c r="AV260" i="43"/>
  <c r="AV259" i="43"/>
  <c r="AV258" i="43"/>
  <c r="AV257" i="43"/>
  <c r="AV256" i="43"/>
  <c r="AV255" i="43"/>
  <c r="AV254" i="43"/>
  <c r="AV253" i="43"/>
  <c r="AV252" i="43"/>
  <c r="AV251" i="43"/>
  <c r="AV250" i="43"/>
  <c r="AV249" i="43"/>
  <c r="AV248" i="43"/>
  <c r="AV247" i="43"/>
  <c r="AV246" i="43"/>
  <c r="AV245" i="43"/>
  <c r="AV244" i="43"/>
  <c r="AV243" i="43"/>
  <c r="AV242" i="43"/>
  <c r="AV241" i="43"/>
  <c r="AV240" i="43"/>
  <c r="AV239" i="43"/>
  <c r="AV238" i="43"/>
  <c r="AV237" i="43"/>
  <c r="AV236" i="43"/>
  <c r="AV235" i="43"/>
  <c r="AV234" i="43"/>
  <c r="AV233" i="43"/>
  <c r="AV232" i="43"/>
  <c r="AV231" i="43"/>
  <c r="AV230" i="43"/>
  <c r="AV229" i="43"/>
  <c r="AV228" i="43"/>
  <c r="AV227" i="43"/>
  <c r="AV226" i="43"/>
  <c r="AV225" i="43"/>
  <c r="AV224" i="43"/>
  <c r="AV223" i="43"/>
  <c r="AV222" i="43"/>
  <c r="AV221" i="43"/>
  <c r="AV220" i="43"/>
  <c r="AV219" i="43"/>
  <c r="AV218" i="43"/>
  <c r="AV217" i="43"/>
  <c r="AV216" i="43"/>
  <c r="AV215" i="43"/>
  <c r="AV214" i="43"/>
  <c r="AV213" i="43"/>
  <c r="AV212" i="43"/>
  <c r="AV211" i="43"/>
  <c r="AV210" i="43"/>
  <c r="AV209" i="43"/>
  <c r="AV208" i="43"/>
  <c r="AV207" i="43"/>
  <c r="AV206" i="43"/>
  <c r="AV205" i="43"/>
  <c r="AV204" i="43"/>
  <c r="AV203" i="43"/>
  <c r="AV202" i="43"/>
  <c r="AV201" i="43"/>
  <c r="AV200" i="43"/>
  <c r="AV199" i="43"/>
  <c r="AV198" i="43"/>
  <c r="AV197" i="43"/>
  <c r="AV196" i="43"/>
  <c r="AV195" i="43"/>
  <c r="AV194" i="43"/>
  <c r="AV193" i="43"/>
  <c r="AV192" i="43"/>
  <c r="AV191" i="43"/>
  <c r="AV190" i="43"/>
  <c r="AV189" i="43"/>
  <c r="AV188" i="43"/>
  <c r="AV187" i="43"/>
  <c r="AV186" i="43"/>
  <c r="AV185" i="43"/>
  <c r="AV184" i="43"/>
  <c r="AV183" i="43"/>
  <c r="AV182" i="43"/>
  <c r="AV181" i="43"/>
  <c r="AV180" i="43"/>
  <c r="AV179" i="43"/>
  <c r="AV178" i="43"/>
  <c r="AV177" i="43"/>
  <c r="AV176" i="43"/>
  <c r="AV175" i="43"/>
  <c r="AV174" i="43"/>
  <c r="AV173" i="43"/>
  <c r="AV172" i="43"/>
  <c r="AV171" i="43"/>
  <c r="AV170" i="43"/>
  <c r="AV169" i="43"/>
  <c r="AV168" i="43"/>
  <c r="AV167" i="43"/>
  <c r="AV166" i="43"/>
  <c r="AV165" i="43"/>
  <c r="AV164" i="43"/>
  <c r="AV163" i="43"/>
  <c r="AV162" i="43"/>
  <c r="AV161" i="43"/>
  <c r="AV160" i="43"/>
  <c r="AV159" i="43"/>
  <c r="AV158" i="43"/>
  <c r="AV157" i="43"/>
  <c r="AV156" i="43"/>
  <c r="AV155" i="43"/>
  <c r="AV154" i="43"/>
  <c r="AV153" i="43"/>
  <c r="AV152" i="43"/>
  <c r="AV151" i="43"/>
  <c r="AV150" i="43"/>
  <c r="AV149" i="43"/>
  <c r="AV148" i="43"/>
  <c r="AV147" i="43"/>
  <c r="AV146" i="43"/>
  <c r="AV145" i="43"/>
  <c r="AV144" i="43"/>
  <c r="AV143" i="43"/>
  <c r="AV142" i="43"/>
  <c r="AV141" i="43"/>
  <c r="AV140" i="43"/>
  <c r="AV139" i="43"/>
  <c r="AV138" i="43"/>
  <c r="AV137" i="43"/>
  <c r="AV136" i="43"/>
  <c r="AV135" i="43"/>
  <c r="AV134" i="43"/>
  <c r="AV133" i="43"/>
  <c r="AV132" i="43"/>
  <c r="AV131" i="43"/>
  <c r="AV130" i="43"/>
  <c r="AV129" i="43"/>
  <c r="AV128" i="43"/>
  <c r="AV127" i="43"/>
  <c r="AV126" i="43"/>
  <c r="AV125" i="43"/>
  <c r="AV124" i="43"/>
  <c r="AV123" i="43"/>
  <c r="AV122" i="43"/>
  <c r="AV121" i="43"/>
  <c r="AV120" i="43"/>
  <c r="AV119" i="43"/>
  <c r="AV118" i="43"/>
  <c r="AV117" i="43"/>
  <c r="AV116" i="43"/>
  <c r="AV115" i="43"/>
  <c r="AV114" i="43"/>
  <c r="AV113" i="43"/>
  <c r="AV112" i="43"/>
  <c r="AV111" i="43"/>
  <c r="AV110" i="43"/>
  <c r="AV109" i="43"/>
  <c r="AV108" i="43"/>
  <c r="AV107" i="43"/>
  <c r="AV106" i="43"/>
  <c r="AV105" i="43"/>
  <c r="AV104" i="43"/>
  <c r="AV103" i="43"/>
  <c r="AV102" i="43"/>
  <c r="AV101" i="43"/>
  <c r="AV100" i="43"/>
  <c r="AV99" i="43"/>
  <c r="AV98" i="43"/>
  <c r="AV97" i="43"/>
  <c r="AV96" i="43"/>
  <c r="AV95" i="43"/>
  <c r="AV94" i="43"/>
  <c r="AV93" i="43"/>
  <c r="AV92" i="43"/>
  <c r="AV91" i="43"/>
  <c r="AV90" i="43"/>
  <c r="AV89" i="43"/>
  <c r="AV88" i="43"/>
  <c r="AV87" i="43"/>
  <c r="AV86" i="43"/>
  <c r="AV85" i="43"/>
  <c r="AV84" i="43"/>
  <c r="AV83" i="43"/>
  <c r="AV82" i="43"/>
  <c r="AV81" i="43"/>
  <c r="AV80" i="43"/>
  <c r="AV79" i="43"/>
  <c r="AV78" i="43"/>
  <c r="AV77" i="43"/>
  <c r="AV76" i="43"/>
  <c r="AV75" i="43"/>
  <c r="AV74" i="43"/>
  <c r="AV73" i="43"/>
  <c r="AV72" i="43"/>
  <c r="AV71" i="43"/>
  <c r="AV70" i="43"/>
  <c r="AV69" i="43"/>
  <c r="AV68" i="43"/>
  <c r="AV67" i="43"/>
  <c r="AV66" i="43"/>
  <c r="AV65" i="43"/>
  <c r="AV64" i="43"/>
  <c r="AV63" i="43"/>
  <c r="AV62" i="43"/>
  <c r="AV61" i="43"/>
  <c r="AV60" i="43"/>
  <c r="AV59" i="43"/>
  <c r="AV58" i="43"/>
  <c r="AV57" i="43"/>
  <c r="AV56" i="43"/>
  <c r="AV55" i="43"/>
  <c r="AV54" i="43"/>
  <c r="AV53" i="43"/>
  <c r="AV52" i="43"/>
  <c r="AV51" i="43"/>
  <c r="AV50" i="43"/>
  <c r="AV49" i="43"/>
  <c r="AV48" i="43"/>
  <c r="AV47" i="43"/>
  <c r="AV46" i="43"/>
  <c r="AV45" i="43"/>
  <c r="AV44" i="43"/>
  <c r="AV43" i="43"/>
  <c r="AV42" i="43"/>
  <c r="AV41" i="43"/>
  <c r="AV40" i="43"/>
  <c r="AV39" i="43"/>
  <c r="AV38" i="43"/>
  <c r="AV37" i="43"/>
  <c r="AV36" i="43"/>
  <c r="AV35" i="43"/>
  <c r="AV34" i="43"/>
  <c r="AV33" i="43"/>
  <c r="AV32" i="43"/>
  <c r="AV31" i="43"/>
  <c r="AV30" i="43"/>
  <c r="AV29" i="43"/>
  <c r="AV28" i="43"/>
  <c r="AV27" i="43"/>
  <c r="AV26" i="43"/>
  <c r="AV25" i="43"/>
  <c r="AV24" i="43"/>
  <c r="AV23" i="43"/>
  <c r="AV22" i="43"/>
  <c r="AV21" i="43"/>
  <c r="AV20" i="43"/>
  <c r="AV19" i="43"/>
  <c r="AV18" i="43"/>
  <c r="AV17" i="43"/>
  <c r="AV16" i="43"/>
  <c r="AV15" i="43"/>
  <c r="AV13" i="43"/>
  <c r="AV12" i="43"/>
  <c r="AV11" i="43"/>
  <c r="AV10" i="43"/>
  <c r="AV9" i="43"/>
  <c r="AV8" i="43"/>
  <c r="BB8" i="43" s="1"/>
  <c r="AW447" i="43"/>
  <c r="AW437" i="43"/>
  <c r="AW434" i="43"/>
  <c r="AW420" i="43"/>
  <c r="AW412" i="43"/>
  <c r="AW393" i="43"/>
  <c r="AW392" i="43"/>
  <c r="AW391" i="43"/>
  <c r="AW390" i="43"/>
  <c r="AW389" i="43"/>
  <c r="AW388" i="43"/>
  <c r="AW387" i="43"/>
  <c r="AW386" i="43"/>
  <c r="AW385" i="43"/>
  <c r="AW384" i="43"/>
  <c r="AW383" i="43"/>
  <c r="AW382" i="43"/>
  <c r="AW381" i="43"/>
  <c r="AW380" i="43"/>
  <c r="AW379" i="43"/>
  <c r="AW378" i="43"/>
  <c r="AW377" i="43"/>
  <c r="AW376" i="43"/>
  <c r="AW375" i="43"/>
  <c r="AW374" i="43"/>
  <c r="AW373" i="43"/>
  <c r="AW372" i="43"/>
  <c r="AW371" i="43"/>
  <c r="AW370" i="43"/>
  <c r="AW369" i="43"/>
  <c r="AW368" i="43"/>
  <c r="AW367" i="43"/>
  <c r="AW366" i="43"/>
  <c r="AW365" i="43"/>
  <c r="AW364" i="43"/>
  <c r="AW363" i="43"/>
  <c r="AW362" i="43"/>
  <c r="AW361" i="43"/>
  <c r="AW360" i="43"/>
  <c r="AW359" i="43"/>
  <c r="AW358" i="43"/>
  <c r="AW357" i="43"/>
  <c r="AW356" i="43"/>
  <c r="AW355" i="43"/>
  <c r="AW354" i="43"/>
  <c r="AW353" i="43"/>
  <c r="AW352" i="43"/>
  <c r="AW351" i="43"/>
  <c r="AW350" i="43"/>
  <c r="AW349" i="43"/>
  <c r="AW348" i="43"/>
  <c r="AW347" i="43"/>
  <c r="AW346" i="43"/>
  <c r="AW345" i="43"/>
  <c r="AW344" i="43"/>
  <c r="AW343" i="43"/>
  <c r="AW342" i="43"/>
  <c r="AW341" i="43"/>
  <c r="AW340" i="43"/>
  <c r="AW339" i="43"/>
  <c r="AW338" i="43"/>
  <c r="AW337" i="43"/>
  <c r="AW336" i="43"/>
  <c r="AW335" i="43"/>
  <c r="AW334" i="43"/>
  <c r="AW333" i="43"/>
  <c r="AW332" i="43"/>
  <c r="AW331" i="43"/>
  <c r="AW330" i="43"/>
  <c r="AW329" i="43"/>
  <c r="AW328" i="43"/>
  <c r="AW327" i="43"/>
  <c r="AW326" i="43"/>
  <c r="AW325" i="43"/>
  <c r="AW324" i="43"/>
  <c r="AW323" i="43"/>
  <c r="AW322" i="43"/>
  <c r="AW321" i="43"/>
  <c r="AW320" i="43"/>
  <c r="AW319" i="43"/>
  <c r="AW318" i="43"/>
  <c r="AW317" i="43"/>
  <c r="AW316" i="43"/>
  <c r="AW315" i="43"/>
  <c r="AW314" i="43"/>
  <c r="AW313" i="43"/>
  <c r="AW312" i="43"/>
  <c r="AW311" i="43"/>
  <c r="AW310" i="43"/>
  <c r="AW309" i="43"/>
  <c r="AW308" i="43"/>
  <c r="AW307" i="43"/>
  <c r="AW306" i="43"/>
  <c r="AW305" i="43"/>
  <c r="AW304" i="43"/>
  <c r="AW303" i="43"/>
  <c r="AW302" i="43"/>
  <c r="AW301" i="43"/>
  <c r="AW300" i="43"/>
  <c r="AW299" i="43"/>
  <c r="AW298" i="43"/>
  <c r="AW297" i="43"/>
  <c r="AW296" i="43"/>
  <c r="AW295" i="43"/>
  <c r="AW294" i="43"/>
  <c r="AW293" i="43"/>
  <c r="AW292" i="43"/>
  <c r="AW291" i="43"/>
  <c r="AW290" i="43"/>
  <c r="AW289" i="43"/>
  <c r="AW288" i="43"/>
  <c r="AW287" i="43"/>
  <c r="AW286" i="43"/>
  <c r="AW285" i="43"/>
  <c r="AW284" i="43"/>
  <c r="AW283" i="43"/>
  <c r="AW282" i="43"/>
  <c r="AW281" i="43"/>
  <c r="AW280" i="43"/>
  <c r="AW279" i="43"/>
  <c r="AW278" i="43"/>
  <c r="AW277" i="43"/>
  <c r="AW276" i="43"/>
  <c r="AW275" i="43"/>
  <c r="AW274" i="43"/>
  <c r="AW273" i="43"/>
  <c r="AW272" i="43"/>
  <c r="AW271" i="43"/>
  <c r="AW270" i="43"/>
  <c r="AW269" i="43"/>
  <c r="AW268" i="43"/>
  <c r="AW267" i="43"/>
  <c r="AW266" i="43"/>
  <c r="AW265" i="43"/>
  <c r="AW264" i="43"/>
  <c r="AW263" i="43"/>
  <c r="AW262" i="43"/>
  <c r="AW261" i="43"/>
  <c r="AW260" i="43"/>
  <c r="AW259" i="43"/>
  <c r="AW258" i="43"/>
  <c r="AW257" i="43"/>
  <c r="AW256" i="43"/>
  <c r="AW255" i="43"/>
  <c r="AW254" i="43"/>
  <c r="AW253" i="43"/>
  <c r="AW252" i="43"/>
  <c r="AW251" i="43"/>
  <c r="AW250" i="43"/>
  <c r="AW249" i="43"/>
  <c r="AW248" i="43"/>
  <c r="AW247" i="43"/>
  <c r="AW246" i="43"/>
  <c r="AW245" i="43"/>
  <c r="AW244" i="43"/>
  <c r="AW243" i="43"/>
  <c r="AW242" i="43"/>
  <c r="AW241" i="43"/>
  <c r="AW240" i="43"/>
  <c r="AW239" i="43"/>
  <c r="AW238" i="43"/>
  <c r="AW237" i="43"/>
  <c r="AW236" i="43"/>
  <c r="AW235" i="43"/>
  <c r="AW234" i="43"/>
  <c r="AW233" i="43"/>
  <c r="AW232" i="43"/>
  <c r="AW231" i="43"/>
  <c r="AW230" i="43"/>
  <c r="AW229" i="43"/>
  <c r="AW228" i="43"/>
  <c r="AW227" i="43"/>
  <c r="AW226" i="43"/>
  <c r="AW225" i="43"/>
  <c r="AW224" i="43"/>
  <c r="AW223" i="43"/>
  <c r="AW222" i="43"/>
  <c r="AW221" i="43"/>
  <c r="AW220" i="43"/>
  <c r="AW219" i="43"/>
  <c r="AW218" i="43"/>
  <c r="AW217" i="43"/>
  <c r="AW216" i="43"/>
  <c r="AW215" i="43"/>
  <c r="AW214" i="43"/>
  <c r="AW213" i="43"/>
  <c r="AW212" i="43"/>
  <c r="AW211" i="43"/>
  <c r="AW210" i="43"/>
  <c r="AW209" i="43"/>
  <c r="AW208" i="43"/>
  <c r="AW207" i="43"/>
  <c r="AW206" i="43"/>
  <c r="AW205" i="43"/>
  <c r="AW204" i="43"/>
  <c r="AW203" i="43"/>
  <c r="AW202" i="43"/>
  <c r="AW201" i="43"/>
  <c r="AW200" i="43"/>
  <c r="AW199" i="43"/>
  <c r="AW198" i="43"/>
  <c r="AW197" i="43"/>
  <c r="AW196" i="43"/>
  <c r="AW195" i="43"/>
  <c r="AW194" i="43"/>
  <c r="AW193" i="43"/>
  <c r="AW192" i="43"/>
  <c r="AW191" i="43"/>
  <c r="AW190" i="43"/>
  <c r="AW189" i="43"/>
  <c r="AW188" i="43"/>
  <c r="AW187" i="43"/>
  <c r="AW186" i="43"/>
  <c r="AW185" i="43"/>
  <c r="AW184" i="43"/>
  <c r="AW183" i="43"/>
  <c r="AW182" i="43"/>
  <c r="AW181" i="43"/>
  <c r="AW180" i="43"/>
  <c r="AW179" i="43"/>
  <c r="AW178" i="43"/>
  <c r="AW177" i="43"/>
  <c r="AW176" i="43"/>
  <c r="AW175" i="43"/>
  <c r="AW174" i="43"/>
  <c r="AW173" i="43"/>
  <c r="AW172" i="43"/>
  <c r="AW171" i="43"/>
  <c r="AW170" i="43"/>
  <c r="AW169" i="43"/>
  <c r="AW168" i="43"/>
  <c r="AW167" i="43"/>
  <c r="AW166" i="43"/>
  <c r="AW165" i="43"/>
  <c r="AW164" i="43"/>
  <c r="AW163" i="43"/>
  <c r="AW162" i="43"/>
  <c r="AW161" i="43"/>
  <c r="AW160" i="43"/>
  <c r="AW159" i="43"/>
  <c r="AW158" i="43"/>
  <c r="AW157" i="43"/>
  <c r="AW156" i="43"/>
  <c r="AW155" i="43"/>
  <c r="AW154" i="43"/>
  <c r="AW153" i="43"/>
  <c r="AW152" i="43"/>
  <c r="AW151" i="43"/>
  <c r="AW150" i="43"/>
  <c r="AW149" i="43"/>
  <c r="AW148" i="43"/>
  <c r="AW147" i="43"/>
  <c r="AW146" i="43"/>
  <c r="AW145" i="43"/>
  <c r="AW144" i="43"/>
  <c r="AW143" i="43"/>
  <c r="AW142" i="43"/>
  <c r="AW141" i="43"/>
  <c r="AW140" i="43"/>
  <c r="AW139" i="43"/>
  <c r="AW138" i="43"/>
  <c r="AW137" i="43"/>
  <c r="AW136" i="43"/>
  <c r="AW135" i="43"/>
  <c r="AW134" i="43"/>
  <c r="AW133" i="43"/>
  <c r="AW132" i="43"/>
  <c r="AW131" i="43"/>
  <c r="AW130" i="43"/>
  <c r="AW129" i="43"/>
  <c r="AW128" i="43"/>
  <c r="AW127" i="43"/>
  <c r="AW126" i="43"/>
  <c r="AW125" i="43"/>
  <c r="AW124" i="43"/>
  <c r="AW123" i="43"/>
  <c r="AW122" i="43"/>
  <c r="AW121" i="43"/>
  <c r="AW120" i="43"/>
  <c r="AW119" i="43"/>
  <c r="AW118" i="43"/>
  <c r="AW117" i="43"/>
  <c r="AW116" i="43"/>
  <c r="AW115" i="43"/>
  <c r="AW114" i="43"/>
  <c r="AW113" i="43"/>
  <c r="AW112" i="43"/>
  <c r="AW111" i="43"/>
  <c r="AW110" i="43"/>
  <c r="AW109" i="43"/>
  <c r="AW108" i="43"/>
  <c r="AW107" i="43"/>
  <c r="AW106" i="43"/>
  <c r="AW105" i="43"/>
  <c r="AW104" i="43"/>
  <c r="AW103" i="43"/>
  <c r="AW102" i="43"/>
  <c r="AW101" i="43"/>
  <c r="AW100" i="43"/>
  <c r="AW99" i="43"/>
  <c r="AW98" i="43"/>
  <c r="AW97" i="43"/>
  <c r="AW96" i="43"/>
  <c r="AW95" i="43"/>
  <c r="AW94" i="43"/>
  <c r="AW93" i="43"/>
  <c r="AW92" i="43"/>
  <c r="AW91" i="43"/>
  <c r="AW90" i="43"/>
  <c r="AW89" i="43"/>
  <c r="AW88" i="43"/>
  <c r="AW87" i="43"/>
  <c r="AW86" i="43"/>
  <c r="AW85" i="43"/>
  <c r="AW84" i="43"/>
  <c r="AW83" i="43"/>
  <c r="AW82" i="43"/>
  <c r="AW81" i="43"/>
  <c r="AW80" i="43"/>
  <c r="AW79" i="43"/>
  <c r="AW78" i="43"/>
  <c r="AW77" i="43"/>
  <c r="AW76" i="43"/>
  <c r="AW75" i="43"/>
  <c r="AW74" i="43"/>
  <c r="AW73" i="43"/>
  <c r="AW72" i="43"/>
  <c r="AW71" i="43"/>
  <c r="AW70" i="43"/>
  <c r="AW69" i="43"/>
  <c r="AW68" i="43"/>
  <c r="AW67" i="43"/>
  <c r="AW66" i="43"/>
  <c r="AW65" i="43"/>
  <c r="AW64" i="43"/>
  <c r="AW63" i="43"/>
  <c r="AW62" i="43"/>
  <c r="AW61" i="43"/>
  <c r="AW60" i="43"/>
  <c r="AW59" i="43"/>
  <c r="AW58" i="43"/>
  <c r="AW57" i="43"/>
  <c r="AW56" i="43"/>
  <c r="AW55" i="43"/>
  <c r="AW54" i="43"/>
  <c r="AW53" i="43"/>
  <c r="AW52" i="43"/>
  <c r="AW51" i="43"/>
  <c r="AW50" i="43"/>
  <c r="AW49" i="43"/>
  <c r="AW48" i="43"/>
  <c r="AW47" i="43"/>
  <c r="AW46" i="43"/>
  <c r="AW45" i="43"/>
  <c r="AW44" i="43"/>
  <c r="AW43" i="43"/>
  <c r="AW42" i="43"/>
  <c r="AW41" i="43"/>
  <c r="AW40" i="43"/>
  <c r="AW39" i="43"/>
  <c r="AW38" i="43"/>
  <c r="AW37" i="43"/>
  <c r="AW36" i="43"/>
  <c r="AW35" i="43"/>
  <c r="AW34" i="43"/>
  <c r="AW33" i="43"/>
  <c r="AW32" i="43"/>
  <c r="AW31" i="43"/>
  <c r="AW30" i="43"/>
  <c r="AW29" i="43"/>
  <c r="AW28" i="43"/>
  <c r="AW27" i="43"/>
  <c r="AW26" i="43"/>
  <c r="AW25" i="43"/>
  <c r="AW24" i="43"/>
  <c r="AW23" i="43"/>
  <c r="AW22" i="43"/>
  <c r="AW21" i="43"/>
  <c r="AW20" i="43"/>
  <c r="AW19" i="43"/>
  <c r="AW18" i="43"/>
  <c r="AW17" i="43"/>
  <c r="AW16" i="43"/>
  <c r="AW15" i="43"/>
  <c r="AW14" i="43"/>
  <c r="AW13" i="43"/>
  <c r="AW12" i="43"/>
  <c r="AW11" i="43"/>
  <c r="AW10" i="43"/>
  <c r="AW9" i="43"/>
  <c r="AW8" i="43"/>
  <c r="AX447" i="43"/>
  <c r="AX437" i="43"/>
  <c r="AX434" i="43"/>
  <c r="AX420" i="43"/>
  <c r="AX412" i="43"/>
  <c r="AX393" i="43"/>
  <c r="AX392" i="43"/>
  <c r="AX391" i="43"/>
  <c r="AX390" i="43"/>
  <c r="AX389" i="43"/>
  <c r="AX388" i="43"/>
  <c r="AX387" i="43"/>
  <c r="AX386" i="43"/>
  <c r="AX385" i="43"/>
  <c r="AX384" i="43"/>
  <c r="AX383" i="43"/>
  <c r="AX382" i="43"/>
  <c r="AX381" i="43"/>
  <c r="AX380" i="43"/>
  <c r="AX379" i="43"/>
  <c r="AX378" i="43"/>
  <c r="AX377" i="43"/>
  <c r="AX376" i="43"/>
  <c r="AX375" i="43"/>
  <c r="AX374" i="43"/>
  <c r="AX373" i="43"/>
  <c r="AX372" i="43"/>
  <c r="AX371" i="43"/>
  <c r="AX370" i="43"/>
  <c r="AX369" i="43"/>
  <c r="AX368" i="43"/>
  <c r="AX367" i="43"/>
  <c r="AX366" i="43"/>
  <c r="AX365" i="43"/>
  <c r="AX364" i="43"/>
  <c r="AX363" i="43"/>
  <c r="AX362" i="43"/>
  <c r="AX361" i="43"/>
  <c r="AX360" i="43"/>
  <c r="AX359" i="43"/>
  <c r="AX358" i="43"/>
  <c r="AX357" i="43"/>
  <c r="AX356" i="43"/>
  <c r="AX355" i="43"/>
  <c r="AX354" i="43"/>
  <c r="AX353" i="43"/>
  <c r="AX352" i="43"/>
  <c r="AX351" i="43"/>
  <c r="AX350" i="43"/>
  <c r="AX349" i="43"/>
  <c r="AX348" i="43"/>
  <c r="AX347" i="43"/>
  <c r="AX346" i="43"/>
  <c r="AX345" i="43"/>
  <c r="AX344" i="43"/>
  <c r="AX343" i="43"/>
  <c r="AX342" i="43"/>
  <c r="AX341" i="43"/>
  <c r="AX340" i="43"/>
  <c r="AX339" i="43"/>
  <c r="AX338" i="43"/>
  <c r="AX337" i="43"/>
  <c r="AX336" i="43"/>
  <c r="AX335" i="43"/>
  <c r="AX334" i="43"/>
  <c r="AX333" i="43"/>
  <c r="AX332" i="43"/>
  <c r="AX331" i="43"/>
  <c r="AX330" i="43"/>
  <c r="AX329" i="43"/>
  <c r="AX328" i="43"/>
  <c r="AX327" i="43"/>
  <c r="AX326" i="43"/>
  <c r="AX325" i="43"/>
  <c r="AX324" i="43"/>
  <c r="AX323" i="43"/>
  <c r="AX322" i="43"/>
  <c r="AX321" i="43"/>
  <c r="AX320" i="43"/>
  <c r="AX319" i="43"/>
  <c r="AX318" i="43"/>
  <c r="AX317" i="43"/>
  <c r="AX316" i="43"/>
  <c r="AX315" i="43"/>
  <c r="AX314" i="43"/>
  <c r="AX313" i="43"/>
  <c r="AX312" i="43"/>
  <c r="AX311" i="43"/>
  <c r="AX310" i="43"/>
  <c r="AX309" i="43"/>
  <c r="AX308" i="43"/>
  <c r="AX307" i="43"/>
  <c r="AX306" i="43"/>
  <c r="AX305" i="43"/>
  <c r="AX304" i="43"/>
  <c r="AX303" i="43"/>
  <c r="AX302" i="43"/>
  <c r="AX301" i="43"/>
  <c r="AX300" i="43"/>
  <c r="AX299" i="43"/>
  <c r="AX298" i="43"/>
  <c r="AX297" i="43"/>
  <c r="AX296" i="43"/>
  <c r="AX295" i="43"/>
  <c r="AX294" i="43"/>
  <c r="AX293" i="43"/>
  <c r="AX292" i="43"/>
  <c r="AX291" i="43"/>
  <c r="AX290" i="43"/>
  <c r="AX289" i="43"/>
  <c r="AX288" i="43"/>
  <c r="AX287" i="43"/>
  <c r="AX286" i="43"/>
  <c r="AX285" i="43"/>
  <c r="AX284" i="43"/>
  <c r="AX283" i="43"/>
  <c r="AX282" i="43"/>
  <c r="AX281" i="43"/>
  <c r="AX280" i="43"/>
  <c r="AX279" i="43"/>
  <c r="AX278" i="43"/>
  <c r="AX277" i="43"/>
  <c r="AX276" i="43"/>
  <c r="AX275" i="43"/>
  <c r="AX274" i="43"/>
  <c r="AX273" i="43"/>
  <c r="AX272" i="43"/>
  <c r="AX271" i="43"/>
  <c r="AX270" i="43"/>
  <c r="AX269" i="43"/>
  <c r="AX268" i="43"/>
  <c r="AX267" i="43"/>
  <c r="AX266" i="43"/>
  <c r="AX265" i="43"/>
  <c r="AX264" i="43"/>
  <c r="AX263" i="43"/>
  <c r="AX262" i="43"/>
  <c r="AX261" i="43"/>
  <c r="AX260" i="43"/>
  <c r="AX259" i="43"/>
  <c r="AX258" i="43"/>
  <c r="AX257" i="43"/>
  <c r="AX256" i="43"/>
  <c r="AX255" i="43"/>
  <c r="AX254" i="43"/>
  <c r="AX253" i="43"/>
  <c r="AX252" i="43"/>
  <c r="AX251" i="43"/>
  <c r="AX250" i="43"/>
  <c r="AX249" i="43"/>
  <c r="AX248" i="43"/>
  <c r="AX247" i="43"/>
  <c r="AX246" i="43"/>
  <c r="AX245" i="43"/>
  <c r="AX244" i="43"/>
  <c r="AX243" i="43"/>
  <c r="AX242" i="43"/>
  <c r="AX241" i="43"/>
  <c r="AX240" i="43"/>
  <c r="AX239" i="43"/>
  <c r="AX238" i="43"/>
  <c r="AX237" i="43"/>
  <c r="AX236" i="43"/>
  <c r="AX235" i="43"/>
  <c r="AX234" i="43"/>
  <c r="AX233" i="43"/>
  <c r="AX232" i="43"/>
  <c r="AX231" i="43"/>
  <c r="AX230" i="43"/>
  <c r="AX229" i="43"/>
  <c r="AX228" i="43"/>
  <c r="AX227" i="43"/>
  <c r="AX226" i="43"/>
  <c r="AX225" i="43"/>
  <c r="AX224" i="43"/>
  <c r="AX223" i="43"/>
  <c r="AX222" i="43"/>
  <c r="AX221" i="43"/>
  <c r="AX220" i="43"/>
  <c r="AX219" i="43"/>
  <c r="AX218" i="43"/>
  <c r="AX217" i="43"/>
  <c r="AX216" i="43"/>
  <c r="AX215" i="43"/>
  <c r="AX214" i="43"/>
  <c r="AX213" i="43"/>
  <c r="AX212" i="43"/>
  <c r="AX211" i="43"/>
  <c r="AX210" i="43"/>
  <c r="AX209" i="43"/>
  <c r="AX208" i="43"/>
  <c r="AX207" i="43"/>
  <c r="AX206" i="43"/>
  <c r="AX205" i="43"/>
  <c r="AX204" i="43"/>
  <c r="AX203" i="43"/>
  <c r="AX202" i="43"/>
  <c r="AX201" i="43"/>
  <c r="AX200" i="43"/>
  <c r="AX199" i="43"/>
  <c r="AX198" i="43"/>
  <c r="AX197" i="43"/>
  <c r="AX196" i="43"/>
  <c r="AX195" i="43"/>
  <c r="AX194" i="43"/>
  <c r="AX193" i="43"/>
  <c r="AX192" i="43"/>
  <c r="AX191" i="43"/>
  <c r="AX190" i="43"/>
  <c r="AX189" i="43"/>
  <c r="AX188" i="43"/>
  <c r="AX187" i="43"/>
  <c r="AX186" i="43"/>
  <c r="AX185" i="43"/>
  <c r="AX184" i="43"/>
  <c r="AX183" i="43"/>
  <c r="AX182" i="43"/>
  <c r="AX181" i="43"/>
  <c r="AX180" i="43"/>
  <c r="AX179" i="43"/>
  <c r="AX178" i="43"/>
  <c r="AX177" i="43"/>
  <c r="AX176" i="43"/>
  <c r="AX175" i="43"/>
  <c r="AX174" i="43"/>
  <c r="AX173" i="43"/>
  <c r="AX172" i="43"/>
  <c r="AX171" i="43"/>
  <c r="AX170" i="43"/>
  <c r="AX169" i="43"/>
  <c r="AX168" i="43"/>
  <c r="AX167" i="43"/>
  <c r="AX166" i="43"/>
  <c r="AX165" i="43"/>
  <c r="AX164" i="43"/>
  <c r="AX163" i="43"/>
  <c r="AX162" i="43"/>
  <c r="AX161" i="43"/>
  <c r="AX160" i="43"/>
  <c r="AX159" i="43"/>
  <c r="AX158" i="43"/>
  <c r="AX157" i="43"/>
  <c r="AX156" i="43"/>
  <c r="AX155" i="43"/>
  <c r="AX154" i="43"/>
  <c r="AX153" i="43"/>
  <c r="AX152" i="43"/>
  <c r="AX151" i="43"/>
  <c r="AX150" i="43"/>
  <c r="AX149" i="43"/>
  <c r="AX148" i="43"/>
  <c r="AX147" i="43"/>
  <c r="AX146" i="43"/>
  <c r="AX145" i="43"/>
  <c r="AX144" i="43"/>
  <c r="AX143" i="43"/>
  <c r="AX142" i="43"/>
  <c r="AX141" i="43"/>
  <c r="AX140" i="43"/>
  <c r="AX139" i="43"/>
  <c r="AX138" i="43"/>
  <c r="AX137" i="43"/>
  <c r="AX136" i="43"/>
  <c r="AX135" i="43"/>
  <c r="AX134" i="43"/>
  <c r="AX133" i="43"/>
  <c r="AX132" i="43"/>
  <c r="AX131" i="43"/>
  <c r="AX130" i="43"/>
  <c r="AX129" i="43"/>
  <c r="AX128" i="43"/>
  <c r="AX127" i="43"/>
  <c r="AX126" i="43"/>
  <c r="AX125" i="43"/>
  <c r="AX124" i="43"/>
  <c r="AX123" i="43"/>
  <c r="AX122" i="43"/>
  <c r="AX121" i="43"/>
  <c r="AX120" i="43"/>
  <c r="AX119" i="43"/>
  <c r="AX118" i="43"/>
  <c r="AX117" i="43"/>
  <c r="AX116" i="43"/>
  <c r="AX115" i="43"/>
  <c r="AX114" i="43"/>
  <c r="AX113" i="43"/>
  <c r="AX112" i="43"/>
  <c r="AX111" i="43"/>
  <c r="AX110" i="43"/>
  <c r="AX109" i="43"/>
  <c r="AX108" i="43"/>
  <c r="AX107" i="43"/>
  <c r="AX106" i="43"/>
  <c r="AX105" i="43"/>
  <c r="AX104" i="43"/>
  <c r="AX103" i="43"/>
  <c r="AX102" i="43"/>
  <c r="AX101" i="43"/>
  <c r="AX100" i="43"/>
  <c r="AX99" i="43"/>
  <c r="AX98" i="43"/>
  <c r="AX97" i="43"/>
  <c r="AX96" i="43"/>
  <c r="AX95" i="43"/>
  <c r="AX94" i="43"/>
  <c r="AX93" i="43"/>
  <c r="AX92" i="43"/>
  <c r="AX91" i="43"/>
  <c r="AX90" i="43"/>
  <c r="AX89" i="43"/>
  <c r="AX88" i="43"/>
  <c r="AX87" i="43"/>
  <c r="AX86" i="43"/>
  <c r="AX85" i="43"/>
  <c r="AX84" i="43"/>
  <c r="AX83" i="43"/>
  <c r="AX82" i="43"/>
  <c r="AX81" i="43"/>
  <c r="AX80" i="43"/>
  <c r="AX79" i="43"/>
  <c r="AX78" i="43"/>
  <c r="AX77" i="43"/>
  <c r="AX76" i="43"/>
  <c r="AX75" i="43"/>
  <c r="AX74" i="43"/>
  <c r="AX73" i="43"/>
  <c r="AX72" i="43"/>
  <c r="AX71" i="43"/>
  <c r="AX70" i="43"/>
  <c r="AX69" i="43"/>
  <c r="AX68" i="43"/>
  <c r="AX67" i="43"/>
  <c r="AX66" i="43"/>
  <c r="AX65" i="43"/>
  <c r="AX64" i="43"/>
  <c r="AX63" i="43"/>
  <c r="AX62" i="43"/>
  <c r="AX61" i="43"/>
  <c r="AX60" i="43"/>
  <c r="AX59" i="43"/>
  <c r="AX58" i="43"/>
  <c r="AX57" i="43"/>
  <c r="AX56" i="43"/>
  <c r="AX55" i="43"/>
  <c r="AX54" i="43"/>
  <c r="AX53" i="43"/>
  <c r="AX52" i="43"/>
  <c r="AX51" i="43"/>
  <c r="AX50" i="43"/>
  <c r="AX49" i="43"/>
  <c r="AX48" i="43"/>
  <c r="AX47" i="43"/>
  <c r="AX46" i="43"/>
  <c r="AX45" i="43"/>
  <c r="AX44" i="43"/>
  <c r="AX43" i="43"/>
  <c r="AX42" i="43"/>
  <c r="AX41" i="43"/>
  <c r="AX40" i="43"/>
  <c r="AX39" i="43"/>
  <c r="AX38" i="43"/>
  <c r="AX37" i="43"/>
  <c r="AX36" i="43"/>
  <c r="AX35" i="43"/>
  <c r="AX34" i="43"/>
  <c r="AX33" i="43"/>
  <c r="AX32" i="43"/>
  <c r="AX31" i="43"/>
  <c r="AX30" i="43"/>
  <c r="AX29" i="43"/>
  <c r="AX28" i="43"/>
  <c r="AX27" i="43"/>
  <c r="AX26" i="43"/>
  <c r="AX25" i="43"/>
  <c r="AX24" i="43"/>
  <c r="AX23" i="43"/>
  <c r="AX22" i="43"/>
  <c r="AX21" i="43"/>
  <c r="AX20" i="43"/>
  <c r="AX19" i="43"/>
  <c r="AX18" i="43"/>
  <c r="AX17" i="43"/>
  <c r="AX16" i="43"/>
  <c r="AX15" i="43"/>
  <c r="AX14" i="43"/>
  <c r="AX13" i="43"/>
  <c r="AX12" i="43"/>
  <c r="AX11" i="43"/>
  <c r="AX10" i="43"/>
  <c r="AX9" i="43"/>
  <c r="AX8" i="43"/>
  <c r="BK5" i="43" l="1"/>
  <c r="BA9" i="43"/>
  <c r="BX6" i="43" s="1"/>
  <c r="BW6" i="43" s="1"/>
  <c r="BB9" i="43"/>
  <c r="AZ9" i="43"/>
  <c r="BR6" i="43" s="1"/>
  <c r="BQ6" i="43" s="1"/>
  <c r="BA13" i="43"/>
  <c r="BX10" i="43" s="1"/>
  <c r="BW10" i="43" s="1"/>
  <c r="BB13" i="43"/>
  <c r="AZ13" i="43"/>
  <c r="BR10" i="43" s="1"/>
  <c r="BQ10" i="43" s="1"/>
  <c r="AZ18" i="43"/>
  <c r="BR15" i="43" s="1"/>
  <c r="BQ15" i="43" s="1"/>
  <c r="BB18" i="43"/>
  <c r="BA18" i="43"/>
  <c r="BX15" i="43" s="1"/>
  <c r="BW15" i="43" s="1"/>
  <c r="AZ22" i="43"/>
  <c r="BR19" i="43" s="1"/>
  <c r="BQ19" i="43" s="1"/>
  <c r="BB22" i="43"/>
  <c r="BA22" i="43"/>
  <c r="BX19" i="43" s="1"/>
  <c r="BW19" i="43" s="1"/>
  <c r="AZ26" i="43"/>
  <c r="BR23" i="43" s="1"/>
  <c r="BQ23" i="43" s="1"/>
  <c r="BB26" i="43"/>
  <c r="BA26" i="43"/>
  <c r="BX23" i="43" s="1"/>
  <c r="BW23" i="43" s="1"/>
  <c r="AZ30" i="43"/>
  <c r="BR27" i="43" s="1"/>
  <c r="BQ27" i="43" s="1"/>
  <c r="BB30" i="43"/>
  <c r="BA30" i="43"/>
  <c r="BX27" i="43" s="1"/>
  <c r="BW27" i="43" s="1"/>
  <c r="AZ34" i="43"/>
  <c r="BR31" i="43" s="1"/>
  <c r="BQ31" i="43" s="1"/>
  <c r="BB34" i="43"/>
  <c r="BA34" i="43"/>
  <c r="BX31" i="43" s="1"/>
  <c r="BW31" i="43" s="1"/>
  <c r="AZ38" i="43"/>
  <c r="BR35" i="43" s="1"/>
  <c r="BQ35" i="43" s="1"/>
  <c r="BB38" i="43"/>
  <c r="BA38" i="43"/>
  <c r="BX35" i="43" s="1"/>
  <c r="BW35" i="43" s="1"/>
  <c r="AZ42" i="43"/>
  <c r="BR39" i="43" s="1"/>
  <c r="BQ39" i="43" s="1"/>
  <c r="BB42" i="43"/>
  <c r="BA42" i="43"/>
  <c r="BX39" i="43" s="1"/>
  <c r="BW39" i="43" s="1"/>
  <c r="AZ46" i="43"/>
  <c r="BR43" i="43" s="1"/>
  <c r="BQ43" i="43" s="1"/>
  <c r="BB46" i="43"/>
  <c r="BA46" i="43"/>
  <c r="BX43" i="43" s="1"/>
  <c r="BW43" i="43" s="1"/>
  <c r="AZ50" i="43"/>
  <c r="BR47" i="43" s="1"/>
  <c r="BQ47" i="43" s="1"/>
  <c r="BB50" i="43"/>
  <c r="BA50" i="43"/>
  <c r="BX47" i="43" s="1"/>
  <c r="BW47" i="43" s="1"/>
  <c r="AZ54" i="43"/>
  <c r="BR51" i="43" s="1"/>
  <c r="BQ51" i="43" s="1"/>
  <c r="BB54" i="43"/>
  <c r="BA54" i="43"/>
  <c r="BX51" i="43" s="1"/>
  <c r="BW51" i="43" s="1"/>
  <c r="AZ58" i="43"/>
  <c r="BR55" i="43" s="1"/>
  <c r="BQ55" i="43" s="1"/>
  <c r="BB58" i="43"/>
  <c r="BA58" i="43"/>
  <c r="BX55" i="43" s="1"/>
  <c r="BW55" i="43" s="1"/>
  <c r="AZ62" i="43"/>
  <c r="BR59" i="43" s="1"/>
  <c r="BQ59" i="43" s="1"/>
  <c r="BB62" i="43"/>
  <c r="BA62" i="43"/>
  <c r="BX59" i="43" s="1"/>
  <c r="BW59" i="43" s="1"/>
  <c r="AZ66" i="43"/>
  <c r="BR63" i="43" s="1"/>
  <c r="BQ63" i="43" s="1"/>
  <c r="BB66" i="43"/>
  <c r="BA66" i="43"/>
  <c r="BX63" i="43" s="1"/>
  <c r="BW63" i="43" s="1"/>
  <c r="AZ70" i="43"/>
  <c r="BR67" i="43" s="1"/>
  <c r="BQ67" i="43" s="1"/>
  <c r="BB70" i="43"/>
  <c r="BA70" i="43"/>
  <c r="BX67" i="43" s="1"/>
  <c r="BW67" i="43" s="1"/>
  <c r="AZ74" i="43"/>
  <c r="BR71" i="43" s="1"/>
  <c r="BQ71" i="43" s="1"/>
  <c r="BB74" i="43"/>
  <c r="BA74" i="43"/>
  <c r="BX71" i="43" s="1"/>
  <c r="BW71" i="43" s="1"/>
  <c r="AZ78" i="43"/>
  <c r="BR75" i="43" s="1"/>
  <c r="BQ75" i="43" s="1"/>
  <c r="BB78" i="43"/>
  <c r="BA78" i="43"/>
  <c r="BX75" i="43" s="1"/>
  <c r="BW75" i="43" s="1"/>
  <c r="AZ82" i="43"/>
  <c r="BR79" i="43" s="1"/>
  <c r="BQ79" i="43" s="1"/>
  <c r="BB82" i="43"/>
  <c r="BA82" i="43"/>
  <c r="BX79" i="43" s="1"/>
  <c r="BW79" i="43" s="1"/>
  <c r="AZ86" i="43"/>
  <c r="BR83" i="43" s="1"/>
  <c r="BQ83" i="43" s="1"/>
  <c r="BB86" i="43"/>
  <c r="BA86" i="43"/>
  <c r="BX83" i="43" s="1"/>
  <c r="BW83" i="43" s="1"/>
  <c r="AZ90" i="43"/>
  <c r="BR87" i="43" s="1"/>
  <c r="BQ87" i="43" s="1"/>
  <c r="BB90" i="43"/>
  <c r="BA90" i="43"/>
  <c r="BX87" i="43" s="1"/>
  <c r="BW87" i="43" s="1"/>
  <c r="AZ94" i="43"/>
  <c r="BR91" i="43" s="1"/>
  <c r="BQ91" i="43" s="1"/>
  <c r="BB94" i="43"/>
  <c r="BA94" i="43"/>
  <c r="BX91" i="43" s="1"/>
  <c r="BW91" i="43" s="1"/>
  <c r="AZ98" i="43"/>
  <c r="BR95" i="43" s="1"/>
  <c r="BQ95" i="43" s="1"/>
  <c r="BB98" i="43"/>
  <c r="BA98" i="43"/>
  <c r="BX95" i="43" s="1"/>
  <c r="BW95" i="43" s="1"/>
  <c r="AZ102" i="43"/>
  <c r="BR99" i="43" s="1"/>
  <c r="BQ99" i="43" s="1"/>
  <c r="BB102" i="43"/>
  <c r="BA102" i="43"/>
  <c r="BX99" i="43" s="1"/>
  <c r="BW99" i="43" s="1"/>
  <c r="AZ106" i="43"/>
  <c r="BR103" i="43" s="1"/>
  <c r="BQ103" i="43" s="1"/>
  <c r="BB106" i="43"/>
  <c r="BA106" i="43"/>
  <c r="BX103" i="43" s="1"/>
  <c r="BW103" i="43" s="1"/>
  <c r="AZ110" i="43"/>
  <c r="BR107" i="43" s="1"/>
  <c r="BQ107" i="43" s="1"/>
  <c r="BB110" i="43"/>
  <c r="BA110" i="43"/>
  <c r="BX107" i="43" s="1"/>
  <c r="BW107" i="43" s="1"/>
  <c r="AZ114" i="43"/>
  <c r="BR111" i="43" s="1"/>
  <c r="BQ111" i="43" s="1"/>
  <c r="BB114" i="43"/>
  <c r="BA114" i="43"/>
  <c r="BX111" i="43" s="1"/>
  <c r="BW111" i="43" s="1"/>
  <c r="AZ118" i="43"/>
  <c r="BR115" i="43" s="1"/>
  <c r="BQ115" i="43" s="1"/>
  <c r="BB118" i="43"/>
  <c r="BA118" i="43"/>
  <c r="BX115" i="43" s="1"/>
  <c r="BW115" i="43" s="1"/>
  <c r="AZ122" i="43"/>
  <c r="BR119" i="43" s="1"/>
  <c r="BQ119" i="43" s="1"/>
  <c r="BB122" i="43"/>
  <c r="BA122" i="43"/>
  <c r="BX119" i="43" s="1"/>
  <c r="BW119" i="43" s="1"/>
  <c r="AZ126" i="43"/>
  <c r="BR123" i="43" s="1"/>
  <c r="BQ123" i="43" s="1"/>
  <c r="BB126" i="43"/>
  <c r="BA126" i="43"/>
  <c r="BX123" i="43" s="1"/>
  <c r="BW123" i="43" s="1"/>
  <c r="AZ130" i="43"/>
  <c r="BR127" i="43" s="1"/>
  <c r="BQ127" i="43" s="1"/>
  <c r="BB130" i="43"/>
  <c r="BA130" i="43"/>
  <c r="BX127" i="43" s="1"/>
  <c r="BW127" i="43" s="1"/>
  <c r="AZ134" i="43"/>
  <c r="BR131" i="43" s="1"/>
  <c r="BQ131" i="43" s="1"/>
  <c r="BB134" i="43"/>
  <c r="BA134" i="43"/>
  <c r="BX131" i="43" s="1"/>
  <c r="BW131" i="43" s="1"/>
  <c r="AZ138" i="43"/>
  <c r="BR135" i="43" s="1"/>
  <c r="BQ135" i="43" s="1"/>
  <c r="BB138" i="43"/>
  <c r="BA138" i="43"/>
  <c r="BX135" i="43" s="1"/>
  <c r="BW135" i="43" s="1"/>
  <c r="AZ142" i="43"/>
  <c r="BR139" i="43" s="1"/>
  <c r="BQ139" i="43" s="1"/>
  <c r="BB142" i="43"/>
  <c r="BA142" i="43"/>
  <c r="BX139" i="43" s="1"/>
  <c r="BW139" i="43" s="1"/>
  <c r="AZ146" i="43"/>
  <c r="BR143" i="43" s="1"/>
  <c r="BQ143" i="43" s="1"/>
  <c r="BB146" i="43"/>
  <c r="BA146" i="43"/>
  <c r="BX143" i="43" s="1"/>
  <c r="BW143" i="43" s="1"/>
  <c r="AZ150" i="43"/>
  <c r="BR147" i="43" s="1"/>
  <c r="BQ147" i="43" s="1"/>
  <c r="BB150" i="43"/>
  <c r="BA150" i="43"/>
  <c r="BX147" i="43" s="1"/>
  <c r="BW147" i="43" s="1"/>
  <c r="AZ154" i="43"/>
  <c r="BR151" i="43" s="1"/>
  <c r="BQ151" i="43" s="1"/>
  <c r="BB154" i="43"/>
  <c r="BA154" i="43"/>
  <c r="BX151" i="43" s="1"/>
  <c r="BW151" i="43" s="1"/>
  <c r="AZ158" i="43"/>
  <c r="BR155" i="43" s="1"/>
  <c r="BQ155" i="43" s="1"/>
  <c r="BB158" i="43"/>
  <c r="BA158" i="43"/>
  <c r="BX155" i="43" s="1"/>
  <c r="BW155" i="43" s="1"/>
  <c r="AZ162" i="43"/>
  <c r="BR159" i="43" s="1"/>
  <c r="BQ159" i="43" s="1"/>
  <c r="BB162" i="43"/>
  <c r="BA162" i="43"/>
  <c r="BX159" i="43" s="1"/>
  <c r="BW159" i="43" s="1"/>
  <c r="AZ166" i="43"/>
  <c r="BR163" i="43" s="1"/>
  <c r="BQ163" i="43" s="1"/>
  <c r="BB166" i="43"/>
  <c r="BA166" i="43"/>
  <c r="BX163" i="43" s="1"/>
  <c r="BW163" i="43" s="1"/>
  <c r="AZ170" i="43"/>
  <c r="BR167" i="43" s="1"/>
  <c r="BQ167" i="43" s="1"/>
  <c r="BB170" i="43"/>
  <c r="BA170" i="43"/>
  <c r="BX167" i="43" s="1"/>
  <c r="BW167" i="43" s="1"/>
  <c r="AZ174" i="43"/>
  <c r="BR171" i="43" s="1"/>
  <c r="BQ171" i="43" s="1"/>
  <c r="BB174" i="43"/>
  <c r="BA174" i="43"/>
  <c r="BX171" i="43" s="1"/>
  <c r="BW171" i="43" s="1"/>
  <c r="AZ178" i="43"/>
  <c r="BR175" i="43" s="1"/>
  <c r="BQ175" i="43" s="1"/>
  <c r="BB178" i="43"/>
  <c r="BA178" i="43"/>
  <c r="BX175" i="43" s="1"/>
  <c r="BW175" i="43" s="1"/>
  <c r="AZ182" i="43"/>
  <c r="BR179" i="43" s="1"/>
  <c r="BQ179" i="43" s="1"/>
  <c r="BB182" i="43"/>
  <c r="BA182" i="43"/>
  <c r="BX179" i="43" s="1"/>
  <c r="BW179" i="43" s="1"/>
  <c r="AZ186" i="43"/>
  <c r="BR183" i="43" s="1"/>
  <c r="BQ183" i="43" s="1"/>
  <c r="BB186" i="43"/>
  <c r="BA186" i="43"/>
  <c r="BX183" i="43" s="1"/>
  <c r="BW183" i="43" s="1"/>
  <c r="AZ190" i="43"/>
  <c r="BR187" i="43" s="1"/>
  <c r="BQ187" i="43" s="1"/>
  <c r="BB190" i="43"/>
  <c r="BA190" i="43"/>
  <c r="BX187" i="43" s="1"/>
  <c r="BW187" i="43" s="1"/>
  <c r="BA194" i="43"/>
  <c r="BX191" i="43" s="1"/>
  <c r="BW191" i="43" s="1"/>
  <c r="AZ194" i="43"/>
  <c r="BR191" i="43" s="1"/>
  <c r="BQ191" i="43" s="1"/>
  <c r="BB194" i="43"/>
  <c r="BA198" i="43"/>
  <c r="BX195" i="43" s="1"/>
  <c r="BW195" i="43" s="1"/>
  <c r="BB198" i="43"/>
  <c r="AZ198" i="43"/>
  <c r="BR195" i="43" s="1"/>
  <c r="BQ195" i="43" s="1"/>
  <c r="BA202" i="43"/>
  <c r="BX199" i="43" s="1"/>
  <c r="BW199" i="43" s="1"/>
  <c r="AZ202" i="43"/>
  <c r="BR199" i="43" s="1"/>
  <c r="BQ199" i="43" s="1"/>
  <c r="BB202" i="43"/>
  <c r="BA206" i="43"/>
  <c r="BX203" i="43" s="1"/>
  <c r="BW203" i="43" s="1"/>
  <c r="BB206" i="43"/>
  <c r="AZ206" i="43"/>
  <c r="BR203" i="43" s="1"/>
  <c r="BQ203" i="43" s="1"/>
  <c r="BA210" i="43"/>
  <c r="BX207" i="43" s="1"/>
  <c r="BW207" i="43" s="1"/>
  <c r="AZ210" i="43"/>
  <c r="BR207" i="43" s="1"/>
  <c r="BQ207" i="43" s="1"/>
  <c r="BB210" i="43"/>
  <c r="BB214" i="43"/>
  <c r="BA214" i="43"/>
  <c r="BX211" i="43" s="1"/>
  <c r="BW211" i="43" s="1"/>
  <c r="AZ214" i="43"/>
  <c r="BR211" i="43" s="1"/>
  <c r="BQ211" i="43" s="1"/>
  <c r="BB218" i="43"/>
  <c r="BA218" i="43"/>
  <c r="BX215" i="43" s="1"/>
  <c r="BW215" i="43" s="1"/>
  <c r="AZ218" i="43"/>
  <c r="BR215" i="43" s="1"/>
  <c r="BQ215" i="43" s="1"/>
  <c r="BB222" i="43"/>
  <c r="BA222" i="43"/>
  <c r="BX219" i="43" s="1"/>
  <c r="BW219" i="43" s="1"/>
  <c r="AZ222" i="43"/>
  <c r="BR219" i="43" s="1"/>
  <c r="BQ219" i="43" s="1"/>
  <c r="BB226" i="43"/>
  <c r="BA226" i="43"/>
  <c r="BX223" i="43" s="1"/>
  <c r="BW223" i="43" s="1"/>
  <c r="AZ226" i="43"/>
  <c r="BR223" i="43" s="1"/>
  <c r="BQ223" i="43" s="1"/>
  <c r="BB230" i="43"/>
  <c r="BA230" i="43"/>
  <c r="BX227" i="43" s="1"/>
  <c r="BW227" i="43" s="1"/>
  <c r="AZ230" i="43"/>
  <c r="BR227" i="43" s="1"/>
  <c r="BQ227" i="43" s="1"/>
  <c r="BB234" i="43"/>
  <c r="BA234" i="43"/>
  <c r="BX231" i="43" s="1"/>
  <c r="BW231" i="43" s="1"/>
  <c r="AZ234" i="43"/>
  <c r="BR231" i="43" s="1"/>
  <c r="BQ231" i="43" s="1"/>
  <c r="BB238" i="43"/>
  <c r="BA238" i="43"/>
  <c r="BX235" i="43" s="1"/>
  <c r="BW235" i="43" s="1"/>
  <c r="AZ238" i="43"/>
  <c r="BR235" i="43" s="1"/>
  <c r="BQ235" i="43" s="1"/>
  <c r="BB242" i="43"/>
  <c r="BA242" i="43"/>
  <c r="BX239" i="43" s="1"/>
  <c r="BW239" i="43" s="1"/>
  <c r="AZ242" i="43"/>
  <c r="BR239" i="43" s="1"/>
  <c r="BQ239" i="43" s="1"/>
  <c r="BB246" i="43"/>
  <c r="BA246" i="43"/>
  <c r="BX243" i="43" s="1"/>
  <c r="BW243" i="43" s="1"/>
  <c r="AZ246" i="43"/>
  <c r="BR243" i="43" s="1"/>
  <c r="BQ243" i="43" s="1"/>
  <c r="BB250" i="43"/>
  <c r="BA250" i="43"/>
  <c r="BX247" i="43" s="1"/>
  <c r="BW247" i="43" s="1"/>
  <c r="AZ250" i="43"/>
  <c r="BR247" i="43" s="1"/>
  <c r="BQ247" i="43" s="1"/>
  <c r="BB254" i="43"/>
  <c r="BA254" i="43"/>
  <c r="BX251" i="43" s="1"/>
  <c r="BW251" i="43" s="1"/>
  <c r="AZ254" i="43"/>
  <c r="BR251" i="43" s="1"/>
  <c r="BQ251" i="43" s="1"/>
  <c r="BB258" i="43"/>
  <c r="BA258" i="43"/>
  <c r="BX255" i="43" s="1"/>
  <c r="BW255" i="43" s="1"/>
  <c r="AZ258" i="43"/>
  <c r="BR255" i="43" s="1"/>
  <c r="BQ255" i="43" s="1"/>
  <c r="BB262" i="43"/>
  <c r="BA262" i="43"/>
  <c r="BX259" i="43" s="1"/>
  <c r="BW259" i="43" s="1"/>
  <c r="AZ262" i="43"/>
  <c r="BR259" i="43" s="1"/>
  <c r="BQ259" i="43" s="1"/>
  <c r="BB266" i="43"/>
  <c r="BA266" i="43"/>
  <c r="BX263" i="43" s="1"/>
  <c r="BW263" i="43" s="1"/>
  <c r="AZ266" i="43"/>
  <c r="BR263" i="43" s="1"/>
  <c r="BQ263" i="43" s="1"/>
  <c r="BB270" i="43"/>
  <c r="BA270" i="43"/>
  <c r="BX267" i="43" s="1"/>
  <c r="BW267" i="43" s="1"/>
  <c r="AZ270" i="43"/>
  <c r="BR267" i="43" s="1"/>
  <c r="BQ267" i="43" s="1"/>
  <c r="BB274" i="43"/>
  <c r="BA274" i="43"/>
  <c r="BX271" i="43" s="1"/>
  <c r="BW271" i="43" s="1"/>
  <c r="AZ274" i="43"/>
  <c r="BR271" i="43" s="1"/>
  <c r="BQ271" i="43" s="1"/>
  <c r="BB278" i="43"/>
  <c r="BA278" i="43"/>
  <c r="BX275" i="43" s="1"/>
  <c r="BW275" i="43" s="1"/>
  <c r="AZ278" i="43"/>
  <c r="BR275" i="43" s="1"/>
  <c r="BQ275" i="43" s="1"/>
  <c r="BB282" i="43"/>
  <c r="BA282" i="43"/>
  <c r="BX279" i="43" s="1"/>
  <c r="BW279" i="43" s="1"/>
  <c r="AZ282" i="43"/>
  <c r="BR279" i="43" s="1"/>
  <c r="BQ279" i="43" s="1"/>
  <c r="BB286" i="43"/>
  <c r="BA286" i="43"/>
  <c r="BX283" i="43" s="1"/>
  <c r="BW283" i="43" s="1"/>
  <c r="AZ286" i="43"/>
  <c r="BR283" i="43" s="1"/>
  <c r="BQ283" i="43" s="1"/>
  <c r="BB290" i="43"/>
  <c r="BA290" i="43"/>
  <c r="BX287" i="43" s="1"/>
  <c r="BW287" i="43" s="1"/>
  <c r="AZ290" i="43"/>
  <c r="BR287" i="43" s="1"/>
  <c r="BQ287" i="43" s="1"/>
  <c r="BB294" i="43"/>
  <c r="BA294" i="43"/>
  <c r="BX291" i="43" s="1"/>
  <c r="BW291" i="43" s="1"/>
  <c r="AZ294" i="43"/>
  <c r="BR291" i="43" s="1"/>
  <c r="BQ291" i="43" s="1"/>
  <c r="BB298" i="43"/>
  <c r="AZ298" i="43"/>
  <c r="BR295" i="43" s="1"/>
  <c r="BQ295" i="43" s="1"/>
  <c r="BA298" i="43"/>
  <c r="BX295" i="43" s="1"/>
  <c r="BW295" i="43" s="1"/>
  <c r="BB302" i="43"/>
  <c r="AZ302" i="43"/>
  <c r="BR299" i="43" s="1"/>
  <c r="BQ299" i="43" s="1"/>
  <c r="BA302" i="43"/>
  <c r="BX299" i="43" s="1"/>
  <c r="BW299" i="43" s="1"/>
  <c r="BB306" i="43"/>
  <c r="AZ306" i="43"/>
  <c r="BR303" i="43" s="1"/>
  <c r="BQ303" i="43" s="1"/>
  <c r="BA306" i="43"/>
  <c r="BX303" i="43" s="1"/>
  <c r="BW303" i="43" s="1"/>
  <c r="BB310" i="43"/>
  <c r="BA310" i="43"/>
  <c r="BX307" i="43" s="1"/>
  <c r="BW307" i="43" s="1"/>
  <c r="AZ310" i="43"/>
  <c r="BR307" i="43" s="1"/>
  <c r="BQ307" i="43" s="1"/>
  <c r="BB314" i="43"/>
  <c r="BA314" i="43"/>
  <c r="BX311" i="43" s="1"/>
  <c r="BW311" i="43" s="1"/>
  <c r="AZ314" i="43"/>
  <c r="BR311" i="43" s="1"/>
  <c r="BQ311" i="43" s="1"/>
  <c r="BB318" i="43"/>
  <c r="BA318" i="43"/>
  <c r="BX315" i="43" s="1"/>
  <c r="BW315" i="43" s="1"/>
  <c r="AZ318" i="43"/>
  <c r="BR315" i="43" s="1"/>
  <c r="BQ315" i="43" s="1"/>
  <c r="BB322" i="43"/>
  <c r="BA322" i="43"/>
  <c r="BX319" i="43" s="1"/>
  <c r="BW319" i="43" s="1"/>
  <c r="AZ322" i="43"/>
  <c r="BR319" i="43" s="1"/>
  <c r="BQ319" i="43" s="1"/>
  <c r="BB326" i="43"/>
  <c r="BA326" i="43"/>
  <c r="BX323" i="43" s="1"/>
  <c r="BW323" i="43" s="1"/>
  <c r="AZ326" i="43"/>
  <c r="BB330" i="43"/>
  <c r="BA330" i="43"/>
  <c r="BX327" i="43" s="1"/>
  <c r="BW327" i="43" s="1"/>
  <c r="AZ330" i="43"/>
  <c r="BR327" i="43" s="1"/>
  <c r="BQ327" i="43" s="1"/>
  <c r="BB334" i="43"/>
  <c r="BA334" i="43"/>
  <c r="BX331" i="43" s="1"/>
  <c r="BW331" i="43" s="1"/>
  <c r="AZ334" i="43"/>
  <c r="BR331" i="43" s="1"/>
  <c r="BQ331" i="43" s="1"/>
  <c r="BB338" i="43"/>
  <c r="BA338" i="43"/>
  <c r="BX335" i="43" s="1"/>
  <c r="BW335" i="43" s="1"/>
  <c r="AZ338" i="43"/>
  <c r="BR335" i="43" s="1"/>
  <c r="BQ335" i="43" s="1"/>
  <c r="BB342" i="43"/>
  <c r="BA342" i="43"/>
  <c r="BX339" i="43" s="1"/>
  <c r="BW339" i="43" s="1"/>
  <c r="AZ342" i="43"/>
  <c r="BR339" i="43" s="1"/>
  <c r="BQ339" i="43" s="1"/>
  <c r="BB346" i="43"/>
  <c r="BA346" i="43"/>
  <c r="BX343" i="43" s="1"/>
  <c r="BW343" i="43" s="1"/>
  <c r="AZ346" i="43"/>
  <c r="BR343" i="43" s="1"/>
  <c r="BQ343" i="43" s="1"/>
  <c r="BB350" i="43"/>
  <c r="BA350" i="43"/>
  <c r="BX347" i="43" s="1"/>
  <c r="BW347" i="43" s="1"/>
  <c r="AZ350" i="43"/>
  <c r="BR347" i="43" s="1"/>
  <c r="BQ347" i="43" s="1"/>
  <c r="BB354" i="43"/>
  <c r="BA354" i="43"/>
  <c r="BX351" i="43" s="1"/>
  <c r="BW351" i="43" s="1"/>
  <c r="AZ354" i="43"/>
  <c r="BR351" i="43" s="1"/>
  <c r="BQ351" i="43" s="1"/>
  <c r="BB358" i="43"/>
  <c r="BA358" i="43"/>
  <c r="BX355" i="43" s="1"/>
  <c r="BW355" i="43" s="1"/>
  <c r="AZ358" i="43"/>
  <c r="BR355" i="43" s="1"/>
  <c r="BQ355" i="43" s="1"/>
  <c r="BB362" i="43"/>
  <c r="BA362" i="43"/>
  <c r="BX359" i="43" s="1"/>
  <c r="BW359" i="43" s="1"/>
  <c r="AZ362" i="43"/>
  <c r="BR359" i="43" s="1"/>
  <c r="BQ359" i="43" s="1"/>
  <c r="BB366" i="43"/>
  <c r="BA366" i="43"/>
  <c r="BX363" i="43" s="1"/>
  <c r="BW363" i="43" s="1"/>
  <c r="AZ366" i="43"/>
  <c r="BR363" i="43" s="1"/>
  <c r="BQ363" i="43" s="1"/>
  <c r="BB370" i="43"/>
  <c r="BA370" i="43"/>
  <c r="BX367" i="43" s="1"/>
  <c r="BW367" i="43" s="1"/>
  <c r="AZ370" i="43"/>
  <c r="BR367" i="43" s="1"/>
  <c r="BQ367" i="43" s="1"/>
  <c r="BB374" i="43"/>
  <c r="BA374" i="43"/>
  <c r="BX371" i="43" s="1"/>
  <c r="BW371" i="43" s="1"/>
  <c r="AZ374" i="43"/>
  <c r="BR371" i="43" s="1"/>
  <c r="BQ371" i="43" s="1"/>
  <c r="BB378" i="43"/>
  <c r="BA378" i="43"/>
  <c r="BX375" i="43" s="1"/>
  <c r="BW375" i="43" s="1"/>
  <c r="AZ378" i="43"/>
  <c r="BR375" i="43" s="1"/>
  <c r="BQ375" i="43" s="1"/>
  <c r="BA382" i="43"/>
  <c r="BX379" i="43" s="1"/>
  <c r="BW379" i="43" s="1"/>
  <c r="BB382" i="43"/>
  <c r="AZ382" i="43"/>
  <c r="BR379" i="43" s="1"/>
  <c r="BQ379" i="43" s="1"/>
  <c r="BA386" i="43"/>
  <c r="BX383" i="43" s="1"/>
  <c r="BW383" i="43" s="1"/>
  <c r="AZ386" i="43"/>
  <c r="BR383" i="43" s="1"/>
  <c r="BQ383" i="43" s="1"/>
  <c r="BB386" i="43"/>
  <c r="BA390" i="43"/>
  <c r="BX387" i="43" s="1"/>
  <c r="BW387" i="43" s="1"/>
  <c r="AZ390" i="43"/>
  <c r="BR387" i="43" s="1"/>
  <c r="BQ387" i="43" s="1"/>
  <c r="BB390" i="43"/>
  <c r="BB412" i="43"/>
  <c r="BA412" i="43"/>
  <c r="BX409" i="43" s="1"/>
  <c r="BW409" i="43" s="1"/>
  <c r="AZ412" i="43"/>
  <c r="BR409" i="43" s="1"/>
  <c r="BQ409" i="43" s="1"/>
  <c r="AZ10" i="43"/>
  <c r="BR7" i="43" s="1"/>
  <c r="BQ7" i="43" s="1"/>
  <c r="BB10" i="43"/>
  <c r="BA10" i="43"/>
  <c r="BX7" i="43" s="1"/>
  <c r="BW7" i="43" s="1"/>
  <c r="BA15" i="43"/>
  <c r="BX12" i="43" s="1"/>
  <c r="BW12" i="43" s="1"/>
  <c r="AZ15" i="43"/>
  <c r="BR12" i="43" s="1"/>
  <c r="BQ12" i="43" s="1"/>
  <c r="BB15" i="43"/>
  <c r="BA19" i="43"/>
  <c r="BX16" i="43" s="1"/>
  <c r="BW16" i="43" s="1"/>
  <c r="BB19" i="43"/>
  <c r="AZ19" i="43"/>
  <c r="BR16" i="43" s="1"/>
  <c r="BQ16" i="43" s="1"/>
  <c r="BA23" i="43"/>
  <c r="BX20" i="43" s="1"/>
  <c r="BW20" i="43" s="1"/>
  <c r="AZ23" i="43"/>
  <c r="BR20" i="43" s="1"/>
  <c r="BQ20" i="43" s="1"/>
  <c r="BB23" i="43"/>
  <c r="BA27" i="43"/>
  <c r="BX24" i="43" s="1"/>
  <c r="BW24" i="43" s="1"/>
  <c r="AZ27" i="43"/>
  <c r="BR24" i="43" s="1"/>
  <c r="BQ24" i="43" s="1"/>
  <c r="BB27" i="43"/>
  <c r="BA31" i="43"/>
  <c r="BX28" i="43" s="1"/>
  <c r="BW28" i="43" s="1"/>
  <c r="AZ31" i="43"/>
  <c r="BR28" i="43" s="1"/>
  <c r="BQ28" i="43" s="1"/>
  <c r="BB31" i="43"/>
  <c r="BA35" i="43"/>
  <c r="BX32" i="43" s="1"/>
  <c r="BW32" i="43" s="1"/>
  <c r="BB35" i="43"/>
  <c r="AZ35" i="43"/>
  <c r="BR32" i="43" s="1"/>
  <c r="BQ32" i="43" s="1"/>
  <c r="BA39" i="43"/>
  <c r="BX36" i="43" s="1"/>
  <c r="BW36" i="43" s="1"/>
  <c r="AZ39" i="43"/>
  <c r="BR36" i="43" s="1"/>
  <c r="BQ36" i="43" s="1"/>
  <c r="BB39" i="43"/>
  <c r="BA43" i="43"/>
  <c r="BX40" i="43" s="1"/>
  <c r="BW40" i="43" s="1"/>
  <c r="AZ43" i="43"/>
  <c r="BR40" i="43" s="1"/>
  <c r="BQ40" i="43" s="1"/>
  <c r="BB43" i="43"/>
  <c r="BA47" i="43"/>
  <c r="BX44" i="43" s="1"/>
  <c r="BW44" i="43" s="1"/>
  <c r="AZ47" i="43"/>
  <c r="BR44" i="43" s="1"/>
  <c r="BQ44" i="43" s="1"/>
  <c r="BB47" i="43"/>
  <c r="BA51" i="43"/>
  <c r="BX48" i="43" s="1"/>
  <c r="BW48" i="43" s="1"/>
  <c r="AZ51" i="43"/>
  <c r="BR48" i="43" s="1"/>
  <c r="BQ48" i="43" s="1"/>
  <c r="BB51" i="43"/>
  <c r="BA55" i="43"/>
  <c r="BX52" i="43" s="1"/>
  <c r="BW52" i="43" s="1"/>
  <c r="AZ55" i="43"/>
  <c r="BR52" i="43" s="1"/>
  <c r="BQ52" i="43" s="1"/>
  <c r="BB55" i="43"/>
  <c r="BA59" i="43"/>
  <c r="BX56" i="43" s="1"/>
  <c r="BW56" i="43" s="1"/>
  <c r="AZ59" i="43"/>
  <c r="BR56" i="43" s="1"/>
  <c r="BQ56" i="43" s="1"/>
  <c r="BB59" i="43"/>
  <c r="BA63" i="43"/>
  <c r="BX60" i="43" s="1"/>
  <c r="BW60" i="43" s="1"/>
  <c r="AZ63" i="43"/>
  <c r="BR60" i="43" s="1"/>
  <c r="BQ60" i="43" s="1"/>
  <c r="BB63" i="43"/>
  <c r="BA67" i="43"/>
  <c r="BX64" i="43" s="1"/>
  <c r="BW64" i="43" s="1"/>
  <c r="AZ67" i="43"/>
  <c r="BR64" i="43" s="1"/>
  <c r="BQ64" i="43" s="1"/>
  <c r="BB67" i="43"/>
  <c r="BA71" i="43"/>
  <c r="BX68" i="43" s="1"/>
  <c r="BW68" i="43" s="1"/>
  <c r="AZ71" i="43"/>
  <c r="BR68" i="43" s="1"/>
  <c r="BQ68" i="43" s="1"/>
  <c r="BB71" i="43"/>
  <c r="BA75" i="43"/>
  <c r="BX72" i="43" s="1"/>
  <c r="BW72" i="43" s="1"/>
  <c r="AZ75" i="43"/>
  <c r="BR72" i="43" s="1"/>
  <c r="BQ72" i="43" s="1"/>
  <c r="BB75" i="43"/>
  <c r="BA79" i="43"/>
  <c r="BX76" i="43" s="1"/>
  <c r="BW76" i="43" s="1"/>
  <c r="AZ79" i="43"/>
  <c r="BR76" i="43" s="1"/>
  <c r="BQ76" i="43" s="1"/>
  <c r="BB79" i="43"/>
  <c r="BA83" i="43"/>
  <c r="BX80" i="43" s="1"/>
  <c r="BW80" i="43" s="1"/>
  <c r="AZ83" i="43"/>
  <c r="BR80" i="43" s="1"/>
  <c r="BQ80" i="43" s="1"/>
  <c r="BB83" i="43"/>
  <c r="BA87" i="43"/>
  <c r="AZ87" i="43"/>
  <c r="BR84" i="43" s="1"/>
  <c r="BQ84" i="43" s="1"/>
  <c r="BB87" i="43"/>
  <c r="BA91" i="43"/>
  <c r="BX88" i="43" s="1"/>
  <c r="BW88" i="43" s="1"/>
  <c r="AZ91" i="43"/>
  <c r="BR88" i="43" s="1"/>
  <c r="BQ88" i="43" s="1"/>
  <c r="BB91" i="43"/>
  <c r="BA95" i="43"/>
  <c r="BX92" i="43" s="1"/>
  <c r="BW92" i="43" s="1"/>
  <c r="AZ95" i="43"/>
  <c r="BR92" i="43" s="1"/>
  <c r="BQ92" i="43" s="1"/>
  <c r="BB95" i="43"/>
  <c r="BA99" i="43"/>
  <c r="BX96" i="43" s="1"/>
  <c r="BW96" i="43" s="1"/>
  <c r="AZ99" i="43"/>
  <c r="BR96" i="43" s="1"/>
  <c r="BQ96" i="43" s="1"/>
  <c r="BB99" i="43"/>
  <c r="BA103" i="43"/>
  <c r="BX100" i="43" s="1"/>
  <c r="BW100" i="43" s="1"/>
  <c r="AZ103" i="43"/>
  <c r="BR100" i="43" s="1"/>
  <c r="BQ100" i="43" s="1"/>
  <c r="BB103" i="43"/>
  <c r="BA107" i="43"/>
  <c r="BX104" i="43" s="1"/>
  <c r="BW104" i="43" s="1"/>
  <c r="AZ107" i="43"/>
  <c r="BR104" i="43" s="1"/>
  <c r="BQ104" i="43" s="1"/>
  <c r="BB107" i="43"/>
  <c r="BA111" i="43"/>
  <c r="BX108" i="43" s="1"/>
  <c r="BW108" i="43" s="1"/>
  <c r="AZ111" i="43"/>
  <c r="BR108" i="43" s="1"/>
  <c r="BQ108" i="43" s="1"/>
  <c r="BB111" i="43"/>
  <c r="BA115" i="43"/>
  <c r="BX112" i="43" s="1"/>
  <c r="BW112" i="43" s="1"/>
  <c r="AZ115" i="43"/>
  <c r="BR112" i="43" s="1"/>
  <c r="BQ112" i="43" s="1"/>
  <c r="BB115" i="43"/>
  <c r="BA119" i="43"/>
  <c r="BX116" i="43" s="1"/>
  <c r="BW116" i="43" s="1"/>
  <c r="AZ119" i="43"/>
  <c r="BR116" i="43" s="1"/>
  <c r="BQ116" i="43" s="1"/>
  <c r="BB119" i="43"/>
  <c r="BA123" i="43"/>
  <c r="BX120" i="43" s="1"/>
  <c r="BW120" i="43" s="1"/>
  <c r="AZ123" i="43"/>
  <c r="BR120" i="43" s="1"/>
  <c r="BQ120" i="43" s="1"/>
  <c r="BB123" i="43"/>
  <c r="BA127" i="43"/>
  <c r="BX124" i="43" s="1"/>
  <c r="BW124" i="43" s="1"/>
  <c r="AZ127" i="43"/>
  <c r="BR124" i="43" s="1"/>
  <c r="BQ124" i="43" s="1"/>
  <c r="BB127" i="43"/>
  <c r="BA131" i="43"/>
  <c r="BX128" i="43" s="1"/>
  <c r="BW128" i="43" s="1"/>
  <c r="AZ131" i="43"/>
  <c r="BR128" i="43" s="1"/>
  <c r="BQ128" i="43" s="1"/>
  <c r="BB131" i="43"/>
  <c r="BA135" i="43"/>
  <c r="BX132" i="43" s="1"/>
  <c r="BW132" i="43" s="1"/>
  <c r="AZ135" i="43"/>
  <c r="BR132" i="43" s="1"/>
  <c r="BQ132" i="43" s="1"/>
  <c r="BB135" i="43"/>
  <c r="BA139" i="43"/>
  <c r="BX136" i="43" s="1"/>
  <c r="BW136" i="43" s="1"/>
  <c r="AZ139" i="43"/>
  <c r="BR136" i="43" s="1"/>
  <c r="BQ136" i="43" s="1"/>
  <c r="BB139" i="43"/>
  <c r="BA143" i="43"/>
  <c r="BX140" i="43" s="1"/>
  <c r="BW140" i="43" s="1"/>
  <c r="AZ143" i="43"/>
  <c r="BR140" i="43" s="1"/>
  <c r="BQ140" i="43" s="1"/>
  <c r="BB143" i="43"/>
  <c r="BA147" i="43"/>
  <c r="BX144" i="43" s="1"/>
  <c r="BW144" i="43" s="1"/>
  <c r="AZ147" i="43"/>
  <c r="BR144" i="43" s="1"/>
  <c r="BQ144" i="43" s="1"/>
  <c r="BB147" i="43"/>
  <c r="BA151" i="43"/>
  <c r="BX148" i="43" s="1"/>
  <c r="BW148" i="43" s="1"/>
  <c r="AZ151" i="43"/>
  <c r="BR148" i="43" s="1"/>
  <c r="BQ148" i="43" s="1"/>
  <c r="BB151" i="43"/>
  <c r="BA155" i="43"/>
  <c r="BX152" i="43" s="1"/>
  <c r="BW152" i="43" s="1"/>
  <c r="AZ155" i="43"/>
  <c r="BR152" i="43" s="1"/>
  <c r="BQ152" i="43" s="1"/>
  <c r="BB155" i="43"/>
  <c r="BA159" i="43"/>
  <c r="BX156" i="43" s="1"/>
  <c r="BW156" i="43" s="1"/>
  <c r="AZ159" i="43"/>
  <c r="BR156" i="43" s="1"/>
  <c r="BQ156" i="43" s="1"/>
  <c r="BB159" i="43"/>
  <c r="BA163" i="43"/>
  <c r="BX160" i="43" s="1"/>
  <c r="BW160" i="43" s="1"/>
  <c r="AZ163" i="43"/>
  <c r="BR160" i="43" s="1"/>
  <c r="BQ160" i="43" s="1"/>
  <c r="BB163" i="43"/>
  <c r="BA167" i="43"/>
  <c r="BX164" i="43" s="1"/>
  <c r="BW164" i="43" s="1"/>
  <c r="AZ167" i="43"/>
  <c r="BR164" i="43" s="1"/>
  <c r="BQ164" i="43" s="1"/>
  <c r="BB167" i="43"/>
  <c r="BA171" i="43"/>
  <c r="BX168" i="43" s="1"/>
  <c r="BW168" i="43" s="1"/>
  <c r="AZ171" i="43"/>
  <c r="BR168" i="43" s="1"/>
  <c r="BQ168" i="43" s="1"/>
  <c r="BB171" i="43"/>
  <c r="BA175" i="43"/>
  <c r="BX172" i="43" s="1"/>
  <c r="BW172" i="43" s="1"/>
  <c r="AZ175" i="43"/>
  <c r="BR172" i="43" s="1"/>
  <c r="BQ172" i="43" s="1"/>
  <c r="BB175" i="43"/>
  <c r="BA179" i="43"/>
  <c r="BX176" i="43" s="1"/>
  <c r="BW176" i="43" s="1"/>
  <c r="AZ179" i="43"/>
  <c r="BR176" i="43" s="1"/>
  <c r="BQ176" i="43" s="1"/>
  <c r="BB179" i="43"/>
  <c r="BA183" i="43"/>
  <c r="BX180" i="43" s="1"/>
  <c r="BW180" i="43" s="1"/>
  <c r="AZ183" i="43"/>
  <c r="BR180" i="43" s="1"/>
  <c r="BQ180" i="43" s="1"/>
  <c r="BB183" i="43"/>
  <c r="BA187" i="43"/>
  <c r="BX184" i="43" s="1"/>
  <c r="BW184" i="43" s="1"/>
  <c r="AZ187" i="43"/>
  <c r="BR184" i="43" s="1"/>
  <c r="BQ184" i="43" s="1"/>
  <c r="BB187" i="43"/>
  <c r="BB191" i="43"/>
  <c r="BA191" i="43"/>
  <c r="BX188" i="43" s="1"/>
  <c r="BW188" i="43" s="1"/>
  <c r="AZ191" i="43"/>
  <c r="BR188" i="43" s="1"/>
  <c r="BQ188" i="43" s="1"/>
  <c r="AZ195" i="43"/>
  <c r="BR192" i="43" s="1"/>
  <c r="BQ192" i="43" s="1"/>
  <c r="BB195" i="43"/>
  <c r="BA195" i="43"/>
  <c r="BX192" i="43" s="1"/>
  <c r="BW192" i="43" s="1"/>
  <c r="AZ199" i="43"/>
  <c r="BR196" i="43" s="1"/>
  <c r="BQ196" i="43" s="1"/>
  <c r="BB199" i="43"/>
  <c r="BA199" i="43"/>
  <c r="BX196" i="43" s="1"/>
  <c r="BW196" i="43" s="1"/>
  <c r="AZ203" i="43"/>
  <c r="BR200" i="43" s="1"/>
  <c r="BQ200" i="43" s="1"/>
  <c r="BB203" i="43"/>
  <c r="BA203" i="43"/>
  <c r="BX200" i="43" s="1"/>
  <c r="BW200" i="43" s="1"/>
  <c r="AZ207" i="43"/>
  <c r="BR204" i="43" s="1"/>
  <c r="BQ204" i="43" s="1"/>
  <c r="BB207" i="43"/>
  <c r="BA207" i="43"/>
  <c r="BX204" i="43" s="1"/>
  <c r="BW204" i="43" s="1"/>
  <c r="AZ211" i="43"/>
  <c r="BR208" i="43" s="1"/>
  <c r="BQ208" i="43" s="1"/>
  <c r="BB211" i="43"/>
  <c r="BA211" i="43"/>
  <c r="BX208" i="43" s="1"/>
  <c r="BW208" i="43" s="1"/>
  <c r="AZ215" i="43"/>
  <c r="BR212" i="43" s="1"/>
  <c r="BQ212" i="43" s="1"/>
  <c r="BB215" i="43"/>
  <c r="BA215" i="43"/>
  <c r="BX212" i="43" s="1"/>
  <c r="BW212" i="43" s="1"/>
  <c r="AZ219" i="43"/>
  <c r="BR216" i="43" s="1"/>
  <c r="BQ216" i="43" s="1"/>
  <c r="BB219" i="43"/>
  <c r="BA219" i="43"/>
  <c r="BX216" i="43" s="1"/>
  <c r="BW216" i="43" s="1"/>
  <c r="AZ223" i="43"/>
  <c r="BR220" i="43" s="1"/>
  <c r="BQ220" i="43" s="1"/>
  <c r="BB223" i="43"/>
  <c r="BA223" i="43"/>
  <c r="BX220" i="43" s="1"/>
  <c r="BW220" i="43" s="1"/>
  <c r="AZ227" i="43"/>
  <c r="BR224" i="43" s="1"/>
  <c r="BQ224" i="43" s="1"/>
  <c r="BB227" i="43"/>
  <c r="BA227" i="43"/>
  <c r="BX224" i="43" s="1"/>
  <c r="BW224" i="43" s="1"/>
  <c r="AZ231" i="43"/>
  <c r="BR228" i="43" s="1"/>
  <c r="BQ228" i="43" s="1"/>
  <c r="BB231" i="43"/>
  <c r="BA231" i="43"/>
  <c r="BX228" i="43" s="1"/>
  <c r="BW228" i="43" s="1"/>
  <c r="AZ235" i="43"/>
  <c r="BR232" i="43" s="1"/>
  <c r="BQ232" i="43" s="1"/>
  <c r="BB235" i="43"/>
  <c r="BA235" i="43"/>
  <c r="BX232" i="43" s="1"/>
  <c r="BW232" i="43" s="1"/>
  <c r="AZ239" i="43"/>
  <c r="BR236" i="43" s="1"/>
  <c r="BQ236" i="43" s="1"/>
  <c r="BB239" i="43"/>
  <c r="BA239" i="43"/>
  <c r="BX236" i="43" s="1"/>
  <c r="BW236" i="43" s="1"/>
  <c r="AZ243" i="43"/>
  <c r="BR240" i="43" s="1"/>
  <c r="BQ240" i="43" s="1"/>
  <c r="BB243" i="43"/>
  <c r="BA243" i="43"/>
  <c r="BX240" i="43" s="1"/>
  <c r="BW240" i="43" s="1"/>
  <c r="AZ247" i="43"/>
  <c r="BR244" i="43" s="1"/>
  <c r="BQ244" i="43" s="1"/>
  <c r="BB247" i="43"/>
  <c r="BA247" i="43"/>
  <c r="BX244" i="43" s="1"/>
  <c r="BW244" i="43" s="1"/>
  <c r="AZ251" i="43"/>
  <c r="BR248" i="43" s="1"/>
  <c r="BQ248" i="43" s="1"/>
  <c r="BB251" i="43"/>
  <c r="BA251" i="43"/>
  <c r="BX248" i="43" s="1"/>
  <c r="BW248" i="43" s="1"/>
  <c r="AZ255" i="43"/>
  <c r="BR252" i="43" s="1"/>
  <c r="BQ252" i="43" s="1"/>
  <c r="BB255" i="43"/>
  <c r="BA255" i="43"/>
  <c r="BX252" i="43" s="1"/>
  <c r="BW252" i="43" s="1"/>
  <c r="AZ259" i="43"/>
  <c r="BR256" i="43" s="1"/>
  <c r="BQ256" i="43" s="1"/>
  <c r="BB259" i="43"/>
  <c r="BA259" i="43"/>
  <c r="BX256" i="43" s="1"/>
  <c r="BW256" i="43" s="1"/>
  <c r="AZ263" i="43"/>
  <c r="BR260" i="43" s="1"/>
  <c r="BQ260" i="43" s="1"/>
  <c r="BB263" i="43"/>
  <c r="BA263" i="43"/>
  <c r="BX260" i="43" s="1"/>
  <c r="BW260" i="43" s="1"/>
  <c r="AZ267" i="43"/>
  <c r="BR264" i="43" s="1"/>
  <c r="BQ264" i="43" s="1"/>
  <c r="BB267" i="43"/>
  <c r="BA267" i="43"/>
  <c r="BX264" i="43" s="1"/>
  <c r="BW264" i="43" s="1"/>
  <c r="AZ271" i="43"/>
  <c r="BR268" i="43" s="1"/>
  <c r="BQ268" i="43" s="1"/>
  <c r="BB271" i="43"/>
  <c r="BA271" i="43"/>
  <c r="BX268" i="43" s="1"/>
  <c r="BW268" i="43" s="1"/>
  <c r="AZ275" i="43"/>
  <c r="BR272" i="43" s="1"/>
  <c r="BQ272" i="43" s="1"/>
  <c r="BB275" i="43"/>
  <c r="BA275" i="43"/>
  <c r="BX272" i="43" s="1"/>
  <c r="BW272" i="43" s="1"/>
  <c r="AZ279" i="43"/>
  <c r="BR276" i="43" s="1"/>
  <c r="BQ276" i="43" s="1"/>
  <c r="BB279" i="43"/>
  <c r="BA279" i="43"/>
  <c r="BX276" i="43" s="1"/>
  <c r="BW276" i="43" s="1"/>
  <c r="AZ283" i="43"/>
  <c r="BR280" i="43" s="1"/>
  <c r="BQ280" i="43" s="1"/>
  <c r="BB283" i="43"/>
  <c r="BA283" i="43"/>
  <c r="BX280" i="43" s="1"/>
  <c r="BW280" i="43" s="1"/>
  <c r="AZ287" i="43"/>
  <c r="BR284" i="43" s="1"/>
  <c r="BQ284" i="43" s="1"/>
  <c r="BB287" i="43"/>
  <c r="BA287" i="43"/>
  <c r="BX284" i="43" s="1"/>
  <c r="BW284" i="43" s="1"/>
  <c r="AZ291" i="43"/>
  <c r="BR288" i="43" s="1"/>
  <c r="BQ288" i="43" s="1"/>
  <c r="BB291" i="43"/>
  <c r="BA291" i="43"/>
  <c r="BX288" i="43" s="1"/>
  <c r="BW288" i="43" s="1"/>
  <c r="BA295" i="43"/>
  <c r="BX292" i="43" s="1"/>
  <c r="BW292" i="43" s="1"/>
  <c r="BB295" i="43"/>
  <c r="AZ295" i="43"/>
  <c r="BR292" i="43" s="1"/>
  <c r="BQ292" i="43" s="1"/>
  <c r="BA299" i="43"/>
  <c r="BX296" i="43" s="1"/>
  <c r="BW296" i="43" s="1"/>
  <c r="BB299" i="43"/>
  <c r="AZ299" i="43"/>
  <c r="BR296" i="43" s="1"/>
  <c r="BQ296" i="43" s="1"/>
  <c r="BA303" i="43"/>
  <c r="BX300" i="43" s="1"/>
  <c r="BW300" i="43" s="1"/>
  <c r="BB303" i="43"/>
  <c r="AZ303" i="43"/>
  <c r="BR300" i="43" s="1"/>
  <c r="BQ300" i="43" s="1"/>
  <c r="BB307" i="43"/>
  <c r="BA307" i="43"/>
  <c r="BX304" i="43" s="1"/>
  <c r="BW304" i="43" s="1"/>
  <c r="AZ307" i="43"/>
  <c r="BR304" i="43" s="1"/>
  <c r="BQ304" i="43" s="1"/>
  <c r="BB311" i="43"/>
  <c r="BA311" i="43"/>
  <c r="BX308" i="43" s="1"/>
  <c r="BW308" i="43" s="1"/>
  <c r="AZ311" i="43"/>
  <c r="BR308" i="43" s="1"/>
  <c r="BQ308" i="43" s="1"/>
  <c r="BB315" i="43"/>
  <c r="BA315" i="43"/>
  <c r="BX312" i="43" s="1"/>
  <c r="BW312" i="43" s="1"/>
  <c r="AZ315" i="43"/>
  <c r="BR312" i="43" s="1"/>
  <c r="BQ312" i="43" s="1"/>
  <c r="BB319" i="43"/>
  <c r="BA319" i="43"/>
  <c r="BX316" i="43" s="1"/>
  <c r="BW316" i="43" s="1"/>
  <c r="AZ319" i="43"/>
  <c r="BR316" i="43" s="1"/>
  <c r="BQ316" i="43" s="1"/>
  <c r="BB323" i="43"/>
  <c r="BA323" i="43"/>
  <c r="BX320" i="43" s="1"/>
  <c r="BW320" i="43" s="1"/>
  <c r="AZ323" i="43"/>
  <c r="BR320" i="43" s="1"/>
  <c r="BQ320" i="43" s="1"/>
  <c r="BB327" i="43"/>
  <c r="BA327" i="43"/>
  <c r="BX324" i="43" s="1"/>
  <c r="BW324" i="43" s="1"/>
  <c r="AZ327" i="43"/>
  <c r="BR324" i="43" s="1"/>
  <c r="BQ324" i="43" s="1"/>
  <c r="BB331" i="43"/>
  <c r="BA331" i="43"/>
  <c r="BX328" i="43" s="1"/>
  <c r="BW328" i="43" s="1"/>
  <c r="AZ331" i="43"/>
  <c r="BR328" i="43" s="1"/>
  <c r="BQ328" i="43" s="1"/>
  <c r="BB335" i="43"/>
  <c r="BA335" i="43"/>
  <c r="BX332" i="43" s="1"/>
  <c r="BW332" i="43" s="1"/>
  <c r="AZ335" i="43"/>
  <c r="BR332" i="43" s="1"/>
  <c r="BQ332" i="43" s="1"/>
  <c r="BB339" i="43"/>
  <c r="BA339" i="43"/>
  <c r="BX336" i="43" s="1"/>
  <c r="BW336" i="43" s="1"/>
  <c r="AZ339" i="43"/>
  <c r="BR336" i="43" s="1"/>
  <c r="BQ336" i="43" s="1"/>
  <c r="BB343" i="43"/>
  <c r="BA343" i="43"/>
  <c r="BX340" i="43" s="1"/>
  <c r="BW340" i="43" s="1"/>
  <c r="AZ343" i="43"/>
  <c r="BR340" i="43" s="1"/>
  <c r="BQ340" i="43" s="1"/>
  <c r="BB347" i="43"/>
  <c r="BA347" i="43"/>
  <c r="BX344" i="43" s="1"/>
  <c r="BW344" i="43" s="1"/>
  <c r="AZ347" i="43"/>
  <c r="BR344" i="43" s="1"/>
  <c r="BQ344" i="43" s="1"/>
  <c r="BB351" i="43"/>
  <c r="BA351" i="43"/>
  <c r="BX348" i="43" s="1"/>
  <c r="BW348" i="43" s="1"/>
  <c r="AZ351" i="43"/>
  <c r="BR348" i="43" s="1"/>
  <c r="BQ348" i="43" s="1"/>
  <c r="BB355" i="43"/>
  <c r="BA355" i="43"/>
  <c r="BX352" i="43" s="1"/>
  <c r="BW352" i="43" s="1"/>
  <c r="AZ355" i="43"/>
  <c r="BR352" i="43" s="1"/>
  <c r="BQ352" i="43" s="1"/>
  <c r="BB359" i="43"/>
  <c r="BA359" i="43"/>
  <c r="BX356" i="43" s="1"/>
  <c r="BW356" i="43" s="1"/>
  <c r="AZ359" i="43"/>
  <c r="BR356" i="43" s="1"/>
  <c r="BQ356" i="43" s="1"/>
  <c r="BB363" i="43"/>
  <c r="BA363" i="43"/>
  <c r="BX360" i="43" s="1"/>
  <c r="BW360" i="43" s="1"/>
  <c r="AZ363" i="43"/>
  <c r="BR360" i="43" s="1"/>
  <c r="BQ360" i="43" s="1"/>
  <c r="BB367" i="43"/>
  <c r="BA367" i="43"/>
  <c r="BX364" i="43" s="1"/>
  <c r="BW364" i="43" s="1"/>
  <c r="AZ367" i="43"/>
  <c r="BR364" i="43" s="1"/>
  <c r="BQ364" i="43" s="1"/>
  <c r="BB371" i="43"/>
  <c r="BA371" i="43"/>
  <c r="BX368" i="43" s="1"/>
  <c r="BW368" i="43" s="1"/>
  <c r="AZ371" i="43"/>
  <c r="BR368" i="43" s="1"/>
  <c r="BQ368" i="43" s="1"/>
  <c r="BB375" i="43"/>
  <c r="BA375" i="43"/>
  <c r="BX372" i="43" s="1"/>
  <c r="BW372" i="43" s="1"/>
  <c r="AZ375" i="43"/>
  <c r="BR372" i="43" s="1"/>
  <c r="BQ372" i="43" s="1"/>
  <c r="BB379" i="43"/>
  <c r="AZ379" i="43"/>
  <c r="BR376" i="43" s="1"/>
  <c r="BQ376" i="43" s="1"/>
  <c r="BA379" i="43"/>
  <c r="BX376" i="43" s="1"/>
  <c r="BW376" i="43" s="1"/>
  <c r="BB383" i="43"/>
  <c r="AZ383" i="43"/>
  <c r="BR380" i="43" s="1"/>
  <c r="BQ380" i="43" s="1"/>
  <c r="BA383" i="43"/>
  <c r="BX380" i="43" s="1"/>
  <c r="BW380" i="43" s="1"/>
  <c r="BB387" i="43"/>
  <c r="BA387" i="43"/>
  <c r="BX384" i="43" s="1"/>
  <c r="BW384" i="43" s="1"/>
  <c r="AZ387" i="43"/>
  <c r="BR384" i="43" s="1"/>
  <c r="BQ384" i="43" s="1"/>
  <c r="BB391" i="43"/>
  <c r="BA391" i="43"/>
  <c r="BX388" i="43" s="1"/>
  <c r="BW388" i="43" s="1"/>
  <c r="AZ391" i="43"/>
  <c r="BR388" i="43" s="1"/>
  <c r="BQ388" i="43" s="1"/>
  <c r="BA434" i="43"/>
  <c r="BX431" i="43" s="1"/>
  <c r="BW431" i="43" s="1"/>
  <c r="AZ434" i="43"/>
  <c r="BR431" i="43" s="1"/>
  <c r="BQ431" i="43" s="1"/>
  <c r="BB434" i="43"/>
  <c r="BB420" i="43"/>
  <c r="BA420" i="43"/>
  <c r="BX417" i="43" s="1"/>
  <c r="BW417" i="43" s="1"/>
  <c r="AZ420" i="43"/>
  <c r="BR417" i="43" s="1"/>
  <c r="BQ417" i="43" s="1"/>
  <c r="BA11" i="43"/>
  <c r="BX8" i="43" s="1"/>
  <c r="BW8" i="43" s="1"/>
  <c r="AZ11" i="43"/>
  <c r="BR8" i="43" s="1"/>
  <c r="BQ8" i="43" s="1"/>
  <c r="BB11" i="43"/>
  <c r="BB16" i="43"/>
  <c r="AZ16" i="43"/>
  <c r="BR13" i="43" s="1"/>
  <c r="BQ13" i="43" s="1"/>
  <c r="BA16" i="43"/>
  <c r="BX13" i="43" s="1"/>
  <c r="BW13" i="43" s="1"/>
  <c r="BB20" i="43"/>
  <c r="AZ20" i="43"/>
  <c r="BR17" i="43" s="1"/>
  <c r="BQ17" i="43" s="1"/>
  <c r="BA20" i="43"/>
  <c r="BX17" i="43" s="1"/>
  <c r="BW17" i="43" s="1"/>
  <c r="BB24" i="43"/>
  <c r="AZ24" i="43"/>
  <c r="BR21" i="43" s="1"/>
  <c r="BQ21" i="43" s="1"/>
  <c r="BA24" i="43"/>
  <c r="BX21" i="43" s="1"/>
  <c r="BW21" i="43" s="1"/>
  <c r="BB28" i="43"/>
  <c r="AZ28" i="43"/>
  <c r="BR25" i="43" s="1"/>
  <c r="BQ25" i="43" s="1"/>
  <c r="BA28" i="43"/>
  <c r="BX25" i="43" s="1"/>
  <c r="BW25" i="43" s="1"/>
  <c r="BB32" i="43"/>
  <c r="AZ32" i="43"/>
  <c r="BA32" i="43"/>
  <c r="BX29" i="43" s="1"/>
  <c r="BW29" i="43" s="1"/>
  <c r="BB36" i="43"/>
  <c r="AZ36" i="43"/>
  <c r="BR33" i="43" s="1"/>
  <c r="BQ33" i="43" s="1"/>
  <c r="BA36" i="43"/>
  <c r="BX33" i="43" s="1"/>
  <c r="BW33" i="43" s="1"/>
  <c r="BB40" i="43"/>
  <c r="AZ40" i="43"/>
  <c r="BR37" i="43" s="1"/>
  <c r="BQ37" i="43" s="1"/>
  <c r="BA40" i="43"/>
  <c r="BX37" i="43" s="1"/>
  <c r="BW37" i="43" s="1"/>
  <c r="BB44" i="43"/>
  <c r="BA44" i="43"/>
  <c r="BX41" i="43" s="1"/>
  <c r="BW41" i="43" s="1"/>
  <c r="AZ44" i="43"/>
  <c r="BR41" i="43" s="1"/>
  <c r="BQ41" i="43" s="1"/>
  <c r="BB48" i="43"/>
  <c r="BA48" i="43"/>
  <c r="BX45" i="43" s="1"/>
  <c r="BW45" i="43" s="1"/>
  <c r="AZ48" i="43"/>
  <c r="BR45" i="43" s="1"/>
  <c r="BQ45" i="43" s="1"/>
  <c r="BB52" i="43"/>
  <c r="BA52" i="43"/>
  <c r="BX49" i="43" s="1"/>
  <c r="BW49" i="43" s="1"/>
  <c r="AZ52" i="43"/>
  <c r="BR49" i="43" s="1"/>
  <c r="BQ49" i="43" s="1"/>
  <c r="BB56" i="43"/>
  <c r="BA56" i="43"/>
  <c r="BX53" i="43" s="1"/>
  <c r="BW53" i="43" s="1"/>
  <c r="AZ56" i="43"/>
  <c r="BR53" i="43" s="1"/>
  <c r="BQ53" i="43" s="1"/>
  <c r="BB60" i="43"/>
  <c r="BA60" i="43"/>
  <c r="BX57" i="43" s="1"/>
  <c r="BW57" i="43" s="1"/>
  <c r="AZ60" i="43"/>
  <c r="BR57" i="43" s="1"/>
  <c r="BQ57" i="43" s="1"/>
  <c r="BB64" i="43"/>
  <c r="BA64" i="43"/>
  <c r="BX61" i="43" s="1"/>
  <c r="BW61" i="43" s="1"/>
  <c r="AZ64" i="43"/>
  <c r="BR61" i="43" s="1"/>
  <c r="BQ61" i="43" s="1"/>
  <c r="BB68" i="43"/>
  <c r="BA68" i="43"/>
  <c r="BX65" i="43" s="1"/>
  <c r="BW65" i="43" s="1"/>
  <c r="AZ68" i="43"/>
  <c r="BR65" i="43" s="1"/>
  <c r="BQ65" i="43" s="1"/>
  <c r="BB72" i="43"/>
  <c r="BA72" i="43"/>
  <c r="BX69" i="43" s="1"/>
  <c r="BW69" i="43" s="1"/>
  <c r="AZ72" i="43"/>
  <c r="BR69" i="43" s="1"/>
  <c r="BQ69" i="43" s="1"/>
  <c r="BB76" i="43"/>
  <c r="BA76" i="43"/>
  <c r="BX73" i="43" s="1"/>
  <c r="BW73" i="43" s="1"/>
  <c r="AZ76" i="43"/>
  <c r="BR73" i="43" s="1"/>
  <c r="BQ73" i="43" s="1"/>
  <c r="BB80" i="43"/>
  <c r="BA80" i="43"/>
  <c r="BX77" i="43" s="1"/>
  <c r="BW77" i="43" s="1"/>
  <c r="AZ80" i="43"/>
  <c r="BR77" i="43" s="1"/>
  <c r="BQ77" i="43" s="1"/>
  <c r="BB84" i="43"/>
  <c r="BA84" i="43"/>
  <c r="BX81" i="43" s="1"/>
  <c r="BW81" i="43" s="1"/>
  <c r="AZ84" i="43"/>
  <c r="BR81" i="43" s="1"/>
  <c r="BQ81" i="43" s="1"/>
  <c r="BB88" i="43"/>
  <c r="BA88" i="43"/>
  <c r="BX85" i="43" s="1"/>
  <c r="BW85" i="43" s="1"/>
  <c r="AZ88" i="43"/>
  <c r="BR85" i="43" s="1"/>
  <c r="BQ85" i="43" s="1"/>
  <c r="BB92" i="43"/>
  <c r="BA92" i="43"/>
  <c r="BX89" i="43" s="1"/>
  <c r="BW89" i="43" s="1"/>
  <c r="AZ92" i="43"/>
  <c r="BR89" i="43" s="1"/>
  <c r="BQ89" i="43" s="1"/>
  <c r="BB96" i="43"/>
  <c r="BA96" i="43"/>
  <c r="BX93" i="43" s="1"/>
  <c r="BW93" i="43" s="1"/>
  <c r="AZ96" i="43"/>
  <c r="BR93" i="43" s="1"/>
  <c r="BQ93" i="43" s="1"/>
  <c r="BB100" i="43"/>
  <c r="BA100" i="43"/>
  <c r="BX97" i="43" s="1"/>
  <c r="BW97" i="43" s="1"/>
  <c r="AZ100" i="43"/>
  <c r="BR97" i="43" s="1"/>
  <c r="BQ97" i="43" s="1"/>
  <c r="BB104" i="43"/>
  <c r="BA104" i="43"/>
  <c r="BX101" i="43" s="1"/>
  <c r="BW101" i="43" s="1"/>
  <c r="AZ104" i="43"/>
  <c r="BR101" i="43" s="1"/>
  <c r="BQ101" i="43" s="1"/>
  <c r="BB108" i="43"/>
  <c r="BA108" i="43"/>
  <c r="BX105" i="43" s="1"/>
  <c r="BW105" i="43" s="1"/>
  <c r="AZ108" i="43"/>
  <c r="BR105" i="43" s="1"/>
  <c r="BQ105" i="43" s="1"/>
  <c r="BB112" i="43"/>
  <c r="BA112" i="43"/>
  <c r="BX109" i="43" s="1"/>
  <c r="BW109" i="43" s="1"/>
  <c r="AZ112" i="43"/>
  <c r="BR109" i="43" s="1"/>
  <c r="BQ109" i="43" s="1"/>
  <c r="BB116" i="43"/>
  <c r="BA116" i="43"/>
  <c r="BX113" i="43" s="1"/>
  <c r="BW113" i="43" s="1"/>
  <c r="AZ116" i="43"/>
  <c r="BR113" i="43" s="1"/>
  <c r="BQ113" i="43" s="1"/>
  <c r="BB120" i="43"/>
  <c r="BA120" i="43"/>
  <c r="BX117" i="43" s="1"/>
  <c r="BW117" i="43" s="1"/>
  <c r="AZ120" i="43"/>
  <c r="BR117" i="43" s="1"/>
  <c r="BQ117" i="43" s="1"/>
  <c r="BB124" i="43"/>
  <c r="BA124" i="43"/>
  <c r="BX121" i="43" s="1"/>
  <c r="BW121" i="43" s="1"/>
  <c r="AZ124" i="43"/>
  <c r="BR121" i="43" s="1"/>
  <c r="BQ121" i="43" s="1"/>
  <c r="BB128" i="43"/>
  <c r="BA128" i="43"/>
  <c r="BX125" i="43" s="1"/>
  <c r="BW125" i="43" s="1"/>
  <c r="AZ128" i="43"/>
  <c r="BR125" i="43" s="1"/>
  <c r="BQ125" i="43" s="1"/>
  <c r="BB132" i="43"/>
  <c r="BA132" i="43"/>
  <c r="BX129" i="43" s="1"/>
  <c r="BW129" i="43" s="1"/>
  <c r="AZ132" i="43"/>
  <c r="BR129" i="43" s="1"/>
  <c r="BQ129" i="43" s="1"/>
  <c r="BB136" i="43"/>
  <c r="BA136" i="43"/>
  <c r="BX133" i="43" s="1"/>
  <c r="BW133" i="43" s="1"/>
  <c r="AZ136" i="43"/>
  <c r="BR133" i="43" s="1"/>
  <c r="BQ133" i="43" s="1"/>
  <c r="BB140" i="43"/>
  <c r="BA140" i="43"/>
  <c r="BX137" i="43" s="1"/>
  <c r="BW137" i="43" s="1"/>
  <c r="AZ140" i="43"/>
  <c r="BR137" i="43" s="1"/>
  <c r="BQ137" i="43" s="1"/>
  <c r="BB144" i="43"/>
  <c r="BA144" i="43"/>
  <c r="BX141" i="43" s="1"/>
  <c r="BW141" i="43" s="1"/>
  <c r="AZ144" i="43"/>
  <c r="BR141" i="43" s="1"/>
  <c r="BQ141" i="43" s="1"/>
  <c r="BB148" i="43"/>
  <c r="BA148" i="43"/>
  <c r="BX145" i="43" s="1"/>
  <c r="BW145" i="43" s="1"/>
  <c r="AZ148" i="43"/>
  <c r="BR145" i="43" s="1"/>
  <c r="BQ145" i="43" s="1"/>
  <c r="BB152" i="43"/>
  <c r="BA152" i="43"/>
  <c r="BX149" i="43" s="1"/>
  <c r="BW149" i="43" s="1"/>
  <c r="AZ152" i="43"/>
  <c r="BR149" i="43" s="1"/>
  <c r="BQ149" i="43" s="1"/>
  <c r="BB156" i="43"/>
  <c r="BA156" i="43"/>
  <c r="BX153" i="43" s="1"/>
  <c r="BW153" i="43" s="1"/>
  <c r="AZ156" i="43"/>
  <c r="BR153" i="43" s="1"/>
  <c r="BQ153" i="43" s="1"/>
  <c r="BB160" i="43"/>
  <c r="BA160" i="43"/>
  <c r="BX157" i="43" s="1"/>
  <c r="BW157" i="43" s="1"/>
  <c r="AZ160" i="43"/>
  <c r="BR157" i="43" s="1"/>
  <c r="BQ157" i="43" s="1"/>
  <c r="BB164" i="43"/>
  <c r="BA164" i="43"/>
  <c r="BX161" i="43" s="1"/>
  <c r="BW161" i="43" s="1"/>
  <c r="AZ164" i="43"/>
  <c r="BR161" i="43" s="1"/>
  <c r="BQ161" i="43" s="1"/>
  <c r="BB168" i="43"/>
  <c r="BA168" i="43"/>
  <c r="BX165" i="43" s="1"/>
  <c r="BW165" i="43" s="1"/>
  <c r="AZ168" i="43"/>
  <c r="BR165" i="43" s="1"/>
  <c r="BQ165" i="43" s="1"/>
  <c r="BB172" i="43"/>
  <c r="BA172" i="43"/>
  <c r="BX169" i="43" s="1"/>
  <c r="BW169" i="43" s="1"/>
  <c r="AZ172" i="43"/>
  <c r="BR169" i="43" s="1"/>
  <c r="BQ169" i="43" s="1"/>
  <c r="BB176" i="43"/>
  <c r="BA176" i="43"/>
  <c r="BX173" i="43" s="1"/>
  <c r="BW173" i="43" s="1"/>
  <c r="AZ176" i="43"/>
  <c r="BR173" i="43" s="1"/>
  <c r="BQ173" i="43" s="1"/>
  <c r="BB180" i="43"/>
  <c r="BA180" i="43"/>
  <c r="BX177" i="43" s="1"/>
  <c r="BW177" i="43" s="1"/>
  <c r="AZ180" i="43"/>
  <c r="BR177" i="43" s="1"/>
  <c r="BQ177" i="43" s="1"/>
  <c r="BB184" i="43"/>
  <c r="BA184" i="43"/>
  <c r="BX181" i="43" s="1"/>
  <c r="BW181" i="43" s="1"/>
  <c r="AZ184" i="43"/>
  <c r="BR181" i="43" s="1"/>
  <c r="BQ181" i="43" s="1"/>
  <c r="BB188" i="43"/>
  <c r="BA188" i="43"/>
  <c r="BX185" i="43" s="1"/>
  <c r="BW185" i="43" s="1"/>
  <c r="AZ188" i="43"/>
  <c r="BR185" i="43" s="1"/>
  <c r="BQ185" i="43" s="1"/>
  <c r="BA192" i="43"/>
  <c r="BX189" i="43" s="1"/>
  <c r="BW189" i="43" s="1"/>
  <c r="BB192" i="43"/>
  <c r="AZ192" i="43"/>
  <c r="BR189" i="43" s="1"/>
  <c r="BQ189" i="43" s="1"/>
  <c r="BA196" i="43"/>
  <c r="BX193" i="43" s="1"/>
  <c r="BW193" i="43" s="1"/>
  <c r="BB196" i="43"/>
  <c r="AZ196" i="43"/>
  <c r="BR193" i="43" s="1"/>
  <c r="BQ193" i="43" s="1"/>
  <c r="BA200" i="43"/>
  <c r="BX197" i="43" s="1"/>
  <c r="BW197" i="43" s="1"/>
  <c r="BB200" i="43"/>
  <c r="AZ200" i="43"/>
  <c r="BR197" i="43" s="1"/>
  <c r="BQ197" i="43" s="1"/>
  <c r="BA204" i="43"/>
  <c r="BX201" i="43" s="1"/>
  <c r="BW201" i="43" s="1"/>
  <c r="BB204" i="43"/>
  <c r="AZ204" i="43"/>
  <c r="BR201" i="43" s="1"/>
  <c r="BQ201" i="43" s="1"/>
  <c r="BA208" i="43"/>
  <c r="BX205" i="43" s="1"/>
  <c r="BW205" i="43" s="1"/>
  <c r="BB208" i="43"/>
  <c r="AZ208" i="43"/>
  <c r="BR205" i="43" s="1"/>
  <c r="BQ205" i="43" s="1"/>
  <c r="BA212" i="43"/>
  <c r="BX209" i="43" s="1"/>
  <c r="BW209" i="43" s="1"/>
  <c r="BB212" i="43"/>
  <c r="AZ212" i="43"/>
  <c r="BR209" i="43" s="1"/>
  <c r="BQ209" i="43" s="1"/>
  <c r="BA216" i="43"/>
  <c r="BX213" i="43" s="1"/>
  <c r="BW213" i="43" s="1"/>
  <c r="AZ216" i="43"/>
  <c r="BR213" i="43" s="1"/>
  <c r="BQ213" i="43" s="1"/>
  <c r="BB216" i="43"/>
  <c r="BA220" i="43"/>
  <c r="BX217" i="43" s="1"/>
  <c r="BW217" i="43" s="1"/>
  <c r="AZ220" i="43"/>
  <c r="BR217" i="43" s="1"/>
  <c r="BQ217" i="43" s="1"/>
  <c r="BB220" i="43"/>
  <c r="BA224" i="43"/>
  <c r="BX221" i="43" s="1"/>
  <c r="BW221" i="43" s="1"/>
  <c r="AZ224" i="43"/>
  <c r="BR221" i="43" s="1"/>
  <c r="BQ221" i="43" s="1"/>
  <c r="BB224" i="43"/>
  <c r="BA228" i="43"/>
  <c r="BX225" i="43" s="1"/>
  <c r="BW225" i="43" s="1"/>
  <c r="AZ228" i="43"/>
  <c r="BR225" i="43" s="1"/>
  <c r="BQ225" i="43" s="1"/>
  <c r="BB228" i="43"/>
  <c r="BA232" i="43"/>
  <c r="BX229" i="43" s="1"/>
  <c r="BW229" i="43" s="1"/>
  <c r="AZ232" i="43"/>
  <c r="BR229" i="43" s="1"/>
  <c r="BQ229" i="43" s="1"/>
  <c r="BB232" i="43"/>
  <c r="BA236" i="43"/>
  <c r="BX233" i="43" s="1"/>
  <c r="BW233" i="43" s="1"/>
  <c r="AZ236" i="43"/>
  <c r="BR233" i="43" s="1"/>
  <c r="BQ233" i="43" s="1"/>
  <c r="BB236" i="43"/>
  <c r="BA240" i="43"/>
  <c r="BX237" i="43" s="1"/>
  <c r="BW237" i="43" s="1"/>
  <c r="AZ240" i="43"/>
  <c r="BR237" i="43" s="1"/>
  <c r="BQ237" i="43" s="1"/>
  <c r="BB240" i="43"/>
  <c r="BA244" i="43"/>
  <c r="BX241" i="43" s="1"/>
  <c r="BW241" i="43" s="1"/>
  <c r="AZ244" i="43"/>
  <c r="BR241" i="43" s="1"/>
  <c r="BQ241" i="43" s="1"/>
  <c r="BB244" i="43"/>
  <c r="BA248" i="43"/>
  <c r="BX245" i="43" s="1"/>
  <c r="BW245" i="43" s="1"/>
  <c r="AZ248" i="43"/>
  <c r="BR245" i="43" s="1"/>
  <c r="BQ245" i="43" s="1"/>
  <c r="BB248" i="43"/>
  <c r="BA252" i="43"/>
  <c r="BX249" i="43" s="1"/>
  <c r="BW249" i="43" s="1"/>
  <c r="AZ252" i="43"/>
  <c r="BR249" i="43" s="1"/>
  <c r="BQ249" i="43" s="1"/>
  <c r="BB252" i="43"/>
  <c r="BA256" i="43"/>
  <c r="BX253" i="43" s="1"/>
  <c r="BW253" i="43" s="1"/>
  <c r="AZ256" i="43"/>
  <c r="BR253" i="43" s="1"/>
  <c r="BQ253" i="43" s="1"/>
  <c r="BB256" i="43"/>
  <c r="BA260" i="43"/>
  <c r="BX257" i="43" s="1"/>
  <c r="BW257" i="43" s="1"/>
  <c r="AZ260" i="43"/>
  <c r="BR257" i="43" s="1"/>
  <c r="BQ257" i="43" s="1"/>
  <c r="BB260" i="43"/>
  <c r="BA264" i="43"/>
  <c r="BX261" i="43" s="1"/>
  <c r="BW261" i="43" s="1"/>
  <c r="AZ264" i="43"/>
  <c r="BR261" i="43" s="1"/>
  <c r="BQ261" i="43" s="1"/>
  <c r="BB264" i="43"/>
  <c r="BA268" i="43"/>
  <c r="BX265" i="43" s="1"/>
  <c r="BW265" i="43" s="1"/>
  <c r="AZ268" i="43"/>
  <c r="BR265" i="43" s="1"/>
  <c r="BQ265" i="43" s="1"/>
  <c r="BB268" i="43"/>
  <c r="BA272" i="43"/>
  <c r="BX269" i="43" s="1"/>
  <c r="BW269" i="43" s="1"/>
  <c r="AZ272" i="43"/>
  <c r="BR269" i="43" s="1"/>
  <c r="BQ269" i="43" s="1"/>
  <c r="BB272" i="43"/>
  <c r="BA276" i="43"/>
  <c r="BX273" i="43" s="1"/>
  <c r="BW273" i="43" s="1"/>
  <c r="AZ276" i="43"/>
  <c r="BR273" i="43" s="1"/>
  <c r="BQ273" i="43" s="1"/>
  <c r="BB276" i="43"/>
  <c r="BA280" i="43"/>
  <c r="BX277" i="43" s="1"/>
  <c r="BW277" i="43" s="1"/>
  <c r="AZ280" i="43"/>
  <c r="BR277" i="43" s="1"/>
  <c r="BQ277" i="43" s="1"/>
  <c r="BB280" i="43"/>
  <c r="BA284" i="43"/>
  <c r="BX281" i="43" s="1"/>
  <c r="BW281" i="43" s="1"/>
  <c r="AZ284" i="43"/>
  <c r="BR281" i="43" s="1"/>
  <c r="BQ281" i="43" s="1"/>
  <c r="BB284" i="43"/>
  <c r="BA288" i="43"/>
  <c r="BX285" i="43" s="1"/>
  <c r="BW285" i="43" s="1"/>
  <c r="AZ288" i="43"/>
  <c r="BR285" i="43" s="1"/>
  <c r="BQ285" i="43" s="1"/>
  <c r="BB288" i="43"/>
  <c r="BA292" i="43"/>
  <c r="BX289" i="43" s="1"/>
  <c r="BW289" i="43" s="1"/>
  <c r="AZ292" i="43"/>
  <c r="BR289" i="43" s="1"/>
  <c r="BQ289" i="43" s="1"/>
  <c r="BB292" i="43"/>
  <c r="AZ296" i="43"/>
  <c r="BR293" i="43" s="1"/>
  <c r="BQ293" i="43" s="1"/>
  <c r="BB296" i="43"/>
  <c r="BA296" i="43"/>
  <c r="BX293" i="43" s="1"/>
  <c r="BW293" i="43" s="1"/>
  <c r="AZ300" i="43"/>
  <c r="BR297" i="43" s="1"/>
  <c r="BQ297" i="43" s="1"/>
  <c r="BB300" i="43"/>
  <c r="BA300" i="43"/>
  <c r="BX297" i="43" s="1"/>
  <c r="BW297" i="43" s="1"/>
  <c r="AZ304" i="43"/>
  <c r="BR301" i="43" s="1"/>
  <c r="BQ301" i="43" s="1"/>
  <c r="BB304" i="43"/>
  <c r="BA304" i="43"/>
  <c r="BX301" i="43" s="1"/>
  <c r="BW301" i="43" s="1"/>
  <c r="AZ308" i="43"/>
  <c r="BR305" i="43" s="1"/>
  <c r="BQ305" i="43" s="1"/>
  <c r="BB308" i="43"/>
  <c r="BA308" i="43"/>
  <c r="BX305" i="43" s="1"/>
  <c r="BW305" i="43" s="1"/>
  <c r="AZ312" i="43"/>
  <c r="BR309" i="43" s="1"/>
  <c r="BQ309" i="43" s="1"/>
  <c r="BB312" i="43"/>
  <c r="BA312" i="43"/>
  <c r="BX309" i="43" s="1"/>
  <c r="BW309" i="43" s="1"/>
  <c r="AZ316" i="43"/>
  <c r="BR313" i="43" s="1"/>
  <c r="BQ313" i="43" s="1"/>
  <c r="BB316" i="43"/>
  <c r="BA316" i="43"/>
  <c r="BX313" i="43" s="1"/>
  <c r="BW313" i="43" s="1"/>
  <c r="AZ320" i="43"/>
  <c r="BR317" i="43" s="1"/>
  <c r="BQ317" i="43" s="1"/>
  <c r="BB320" i="43"/>
  <c r="BA320" i="43"/>
  <c r="BX317" i="43" s="1"/>
  <c r="BW317" i="43" s="1"/>
  <c r="AZ324" i="43"/>
  <c r="BR321" i="43" s="1"/>
  <c r="BQ321" i="43" s="1"/>
  <c r="BB324" i="43"/>
  <c r="BA324" i="43"/>
  <c r="BX321" i="43" s="1"/>
  <c r="BW321" i="43" s="1"/>
  <c r="AZ328" i="43"/>
  <c r="BR325" i="43" s="1"/>
  <c r="BQ325" i="43" s="1"/>
  <c r="BB328" i="43"/>
  <c r="BA328" i="43"/>
  <c r="BX325" i="43" s="1"/>
  <c r="BW325" i="43" s="1"/>
  <c r="AZ332" i="43"/>
  <c r="BR329" i="43" s="1"/>
  <c r="BQ329" i="43" s="1"/>
  <c r="BB332" i="43"/>
  <c r="BA332" i="43"/>
  <c r="BX329" i="43" s="1"/>
  <c r="BW329" i="43" s="1"/>
  <c r="AZ336" i="43"/>
  <c r="BR333" i="43" s="1"/>
  <c r="BQ333" i="43" s="1"/>
  <c r="BB336" i="43"/>
  <c r="BA336" i="43"/>
  <c r="BX333" i="43" s="1"/>
  <c r="BW333" i="43" s="1"/>
  <c r="AZ340" i="43"/>
  <c r="BR337" i="43" s="1"/>
  <c r="BQ337" i="43" s="1"/>
  <c r="BB340" i="43"/>
  <c r="BA340" i="43"/>
  <c r="BX337" i="43" s="1"/>
  <c r="BW337" i="43" s="1"/>
  <c r="AZ344" i="43"/>
  <c r="BR341" i="43" s="1"/>
  <c r="BQ341" i="43" s="1"/>
  <c r="BB344" i="43"/>
  <c r="BA344" i="43"/>
  <c r="BX341" i="43" s="1"/>
  <c r="BW341" i="43" s="1"/>
  <c r="AZ348" i="43"/>
  <c r="BR345" i="43" s="1"/>
  <c r="BQ345" i="43" s="1"/>
  <c r="BB348" i="43"/>
  <c r="BA348" i="43"/>
  <c r="BX345" i="43" s="1"/>
  <c r="BW345" i="43" s="1"/>
  <c r="AZ352" i="43"/>
  <c r="BR349" i="43" s="1"/>
  <c r="BQ349" i="43" s="1"/>
  <c r="BB352" i="43"/>
  <c r="BA352" i="43"/>
  <c r="BX349" i="43" s="1"/>
  <c r="BW349" i="43" s="1"/>
  <c r="AZ356" i="43"/>
  <c r="BR353" i="43" s="1"/>
  <c r="BQ353" i="43" s="1"/>
  <c r="BB356" i="43"/>
  <c r="BA356" i="43"/>
  <c r="BX353" i="43" s="1"/>
  <c r="BW353" i="43" s="1"/>
  <c r="AZ360" i="43"/>
  <c r="BR357" i="43" s="1"/>
  <c r="BQ357" i="43" s="1"/>
  <c r="BB360" i="43"/>
  <c r="BA360" i="43"/>
  <c r="BX357" i="43" s="1"/>
  <c r="BW357" i="43" s="1"/>
  <c r="AZ364" i="43"/>
  <c r="BR361" i="43" s="1"/>
  <c r="BQ361" i="43" s="1"/>
  <c r="BB364" i="43"/>
  <c r="BA364" i="43"/>
  <c r="BX361" i="43" s="1"/>
  <c r="BW361" i="43" s="1"/>
  <c r="AZ368" i="43"/>
  <c r="BR365" i="43" s="1"/>
  <c r="BQ365" i="43" s="1"/>
  <c r="BB368" i="43"/>
  <c r="BA368" i="43"/>
  <c r="BX365" i="43" s="1"/>
  <c r="BW365" i="43" s="1"/>
  <c r="AZ372" i="43"/>
  <c r="BR369" i="43" s="1"/>
  <c r="BQ369" i="43" s="1"/>
  <c r="BB372" i="43"/>
  <c r="BA372" i="43"/>
  <c r="BX369" i="43" s="1"/>
  <c r="BW369" i="43" s="1"/>
  <c r="AZ376" i="43"/>
  <c r="BR373" i="43" s="1"/>
  <c r="BQ373" i="43" s="1"/>
  <c r="BB376" i="43"/>
  <c r="BA376" i="43"/>
  <c r="BX373" i="43" s="1"/>
  <c r="BW373" i="43" s="1"/>
  <c r="BA380" i="43"/>
  <c r="BX377" i="43" s="1"/>
  <c r="BW377" i="43" s="1"/>
  <c r="BB380" i="43"/>
  <c r="AZ380" i="43"/>
  <c r="BR377" i="43" s="1"/>
  <c r="BQ377" i="43" s="1"/>
  <c r="BB384" i="43"/>
  <c r="BA384" i="43"/>
  <c r="BX381" i="43" s="1"/>
  <c r="BW381" i="43" s="1"/>
  <c r="AZ384" i="43"/>
  <c r="BR381" i="43" s="1"/>
  <c r="BQ381" i="43" s="1"/>
  <c r="BB388" i="43"/>
  <c r="BA388" i="43"/>
  <c r="BX385" i="43" s="1"/>
  <c r="BW385" i="43" s="1"/>
  <c r="AZ388" i="43"/>
  <c r="BR385" i="43" s="1"/>
  <c r="BQ385" i="43" s="1"/>
  <c r="BB392" i="43"/>
  <c r="BA392" i="43"/>
  <c r="BX389" i="43" s="1"/>
  <c r="BW389" i="43" s="1"/>
  <c r="AZ392" i="43"/>
  <c r="BR389" i="43" s="1"/>
  <c r="BQ389" i="43" s="1"/>
  <c r="AZ437" i="43"/>
  <c r="BR434" i="43" s="1"/>
  <c r="BQ434" i="43" s="1"/>
  <c r="BB437" i="43"/>
  <c r="BA437" i="43"/>
  <c r="BX434" i="43" s="1"/>
  <c r="BW434" i="43" s="1"/>
  <c r="BB447" i="43"/>
  <c r="BA447" i="43"/>
  <c r="BX444" i="43" s="1"/>
  <c r="BW444" i="43" s="1"/>
  <c r="AZ447" i="43"/>
  <c r="BR444" i="43" s="1"/>
  <c r="BQ444" i="43" s="1"/>
  <c r="BB12" i="43"/>
  <c r="AZ12" i="43"/>
  <c r="BR9" i="43" s="1"/>
  <c r="BQ9" i="43" s="1"/>
  <c r="BA12" i="43"/>
  <c r="BX9" i="43" s="1"/>
  <c r="BW9" i="43" s="1"/>
  <c r="BA17" i="43"/>
  <c r="BX14" i="43" s="1"/>
  <c r="BW14" i="43" s="1"/>
  <c r="BB17" i="43"/>
  <c r="AZ17" i="43"/>
  <c r="BR14" i="43" s="1"/>
  <c r="BQ14" i="43" s="1"/>
  <c r="BA21" i="43"/>
  <c r="BX18" i="43" s="1"/>
  <c r="BW18" i="43" s="1"/>
  <c r="BB21" i="43"/>
  <c r="AZ21" i="43"/>
  <c r="BR18" i="43" s="1"/>
  <c r="BQ18" i="43" s="1"/>
  <c r="BA25" i="43"/>
  <c r="BX22" i="43" s="1"/>
  <c r="BW22" i="43" s="1"/>
  <c r="BB25" i="43"/>
  <c r="AZ25" i="43"/>
  <c r="BR22" i="43" s="1"/>
  <c r="BQ22" i="43" s="1"/>
  <c r="BA29" i="43"/>
  <c r="BX26" i="43" s="1"/>
  <c r="BW26" i="43" s="1"/>
  <c r="AZ29" i="43"/>
  <c r="BR26" i="43" s="1"/>
  <c r="BQ26" i="43" s="1"/>
  <c r="BB29" i="43"/>
  <c r="BA33" i="43"/>
  <c r="BX30" i="43" s="1"/>
  <c r="BW30" i="43" s="1"/>
  <c r="BB33" i="43"/>
  <c r="AZ33" i="43"/>
  <c r="BR30" i="43" s="1"/>
  <c r="BQ30" i="43" s="1"/>
  <c r="BA37" i="43"/>
  <c r="BX34" i="43" s="1"/>
  <c r="BW34" i="43" s="1"/>
  <c r="AZ37" i="43"/>
  <c r="BR34" i="43" s="1"/>
  <c r="BQ34" i="43" s="1"/>
  <c r="BB37" i="43"/>
  <c r="BB41" i="43"/>
  <c r="BA41" i="43"/>
  <c r="BX38" i="43" s="1"/>
  <c r="BW38" i="43" s="1"/>
  <c r="AZ41" i="43"/>
  <c r="BR38" i="43" s="1"/>
  <c r="BQ38" i="43" s="1"/>
  <c r="BB45" i="43"/>
  <c r="BA45" i="43"/>
  <c r="BX42" i="43" s="1"/>
  <c r="BW42" i="43" s="1"/>
  <c r="AZ45" i="43"/>
  <c r="BR42" i="43" s="1"/>
  <c r="BQ42" i="43" s="1"/>
  <c r="BB49" i="43"/>
  <c r="BA49" i="43"/>
  <c r="BX46" i="43" s="1"/>
  <c r="BW46" i="43" s="1"/>
  <c r="AZ49" i="43"/>
  <c r="BR46" i="43" s="1"/>
  <c r="BQ46" i="43" s="1"/>
  <c r="BB53" i="43"/>
  <c r="BA53" i="43"/>
  <c r="BX50" i="43" s="1"/>
  <c r="BW50" i="43" s="1"/>
  <c r="AZ53" i="43"/>
  <c r="BR50" i="43" s="1"/>
  <c r="BQ50" i="43" s="1"/>
  <c r="BB57" i="43"/>
  <c r="BA57" i="43"/>
  <c r="BX54" i="43" s="1"/>
  <c r="BW54" i="43" s="1"/>
  <c r="AZ57" i="43"/>
  <c r="BR54" i="43" s="1"/>
  <c r="BQ54" i="43" s="1"/>
  <c r="BB61" i="43"/>
  <c r="BA61" i="43"/>
  <c r="BX58" i="43" s="1"/>
  <c r="BW58" i="43" s="1"/>
  <c r="AZ61" i="43"/>
  <c r="BR58" i="43" s="1"/>
  <c r="BQ58" i="43" s="1"/>
  <c r="BB65" i="43"/>
  <c r="BA65" i="43"/>
  <c r="BX62" i="43" s="1"/>
  <c r="BW62" i="43" s="1"/>
  <c r="AZ65" i="43"/>
  <c r="BR62" i="43" s="1"/>
  <c r="BQ62" i="43" s="1"/>
  <c r="BB69" i="43"/>
  <c r="BA69" i="43"/>
  <c r="BX66" i="43" s="1"/>
  <c r="BW66" i="43" s="1"/>
  <c r="AZ69" i="43"/>
  <c r="BR66" i="43" s="1"/>
  <c r="BQ66" i="43" s="1"/>
  <c r="BB73" i="43"/>
  <c r="BA73" i="43"/>
  <c r="BX70" i="43" s="1"/>
  <c r="BW70" i="43" s="1"/>
  <c r="AZ73" i="43"/>
  <c r="BR70" i="43" s="1"/>
  <c r="BQ70" i="43" s="1"/>
  <c r="BB77" i="43"/>
  <c r="BA77" i="43"/>
  <c r="BX74" i="43" s="1"/>
  <c r="BW74" i="43" s="1"/>
  <c r="AZ77" i="43"/>
  <c r="BR74" i="43" s="1"/>
  <c r="BQ74" i="43" s="1"/>
  <c r="BB81" i="43"/>
  <c r="BA81" i="43"/>
  <c r="BX78" i="43" s="1"/>
  <c r="BW78" i="43" s="1"/>
  <c r="AZ81" i="43"/>
  <c r="BR78" i="43" s="1"/>
  <c r="BQ78" i="43" s="1"/>
  <c r="BB85" i="43"/>
  <c r="BA85" i="43"/>
  <c r="BX82" i="43" s="1"/>
  <c r="BW82" i="43" s="1"/>
  <c r="AZ85" i="43"/>
  <c r="BR82" i="43" s="1"/>
  <c r="BQ82" i="43" s="1"/>
  <c r="BB89" i="43"/>
  <c r="BA89" i="43"/>
  <c r="BX86" i="43" s="1"/>
  <c r="BW86" i="43" s="1"/>
  <c r="AZ89" i="43"/>
  <c r="BR86" i="43" s="1"/>
  <c r="BQ86" i="43" s="1"/>
  <c r="BB93" i="43"/>
  <c r="BA93" i="43"/>
  <c r="BX90" i="43" s="1"/>
  <c r="BW90" i="43" s="1"/>
  <c r="AZ93" i="43"/>
  <c r="BR90" i="43" s="1"/>
  <c r="BQ90" i="43" s="1"/>
  <c r="BB97" i="43"/>
  <c r="BA97" i="43"/>
  <c r="BX94" i="43" s="1"/>
  <c r="BW94" i="43" s="1"/>
  <c r="AZ97" i="43"/>
  <c r="BR94" i="43" s="1"/>
  <c r="BQ94" i="43" s="1"/>
  <c r="BB101" i="43"/>
  <c r="BA101" i="43"/>
  <c r="BX98" i="43" s="1"/>
  <c r="BW98" i="43" s="1"/>
  <c r="AZ101" i="43"/>
  <c r="BR98" i="43" s="1"/>
  <c r="BQ98" i="43" s="1"/>
  <c r="BB105" i="43"/>
  <c r="BA105" i="43"/>
  <c r="BX102" i="43" s="1"/>
  <c r="BW102" i="43" s="1"/>
  <c r="AZ105" i="43"/>
  <c r="BR102" i="43" s="1"/>
  <c r="BQ102" i="43" s="1"/>
  <c r="BB109" i="43"/>
  <c r="BA109" i="43"/>
  <c r="BX106" i="43" s="1"/>
  <c r="BW106" i="43" s="1"/>
  <c r="AZ109" i="43"/>
  <c r="BR106" i="43" s="1"/>
  <c r="BQ106" i="43" s="1"/>
  <c r="BB113" i="43"/>
  <c r="BA113" i="43"/>
  <c r="BX110" i="43" s="1"/>
  <c r="BW110" i="43" s="1"/>
  <c r="AZ113" i="43"/>
  <c r="BR110" i="43" s="1"/>
  <c r="BQ110" i="43" s="1"/>
  <c r="BB117" i="43"/>
  <c r="BA117" i="43"/>
  <c r="BX114" i="43" s="1"/>
  <c r="BW114" i="43" s="1"/>
  <c r="AZ117" i="43"/>
  <c r="BR114" i="43" s="1"/>
  <c r="BQ114" i="43" s="1"/>
  <c r="BB121" i="43"/>
  <c r="BA121" i="43"/>
  <c r="BX118" i="43" s="1"/>
  <c r="BW118" i="43" s="1"/>
  <c r="AZ121" i="43"/>
  <c r="BR118" i="43" s="1"/>
  <c r="BQ118" i="43" s="1"/>
  <c r="BB125" i="43"/>
  <c r="BA125" i="43"/>
  <c r="BX122" i="43" s="1"/>
  <c r="BW122" i="43" s="1"/>
  <c r="AZ125" i="43"/>
  <c r="BR122" i="43" s="1"/>
  <c r="BQ122" i="43" s="1"/>
  <c r="BB129" i="43"/>
  <c r="BA129" i="43"/>
  <c r="BX126" i="43" s="1"/>
  <c r="BW126" i="43" s="1"/>
  <c r="AZ129" i="43"/>
  <c r="BR126" i="43" s="1"/>
  <c r="BQ126" i="43" s="1"/>
  <c r="BB133" i="43"/>
  <c r="BA133" i="43"/>
  <c r="BX130" i="43" s="1"/>
  <c r="BW130" i="43" s="1"/>
  <c r="AZ133" i="43"/>
  <c r="BR130" i="43" s="1"/>
  <c r="BQ130" i="43" s="1"/>
  <c r="BB137" i="43"/>
  <c r="BA137" i="43"/>
  <c r="BX134" i="43" s="1"/>
  <c r="BW134" i="43" s="1"/>
  <c r="AZ137" i="43"/>
  <c r="BR134" i="43" s="1"/>
  <c r="BQ134" i="43" s="1"/>
  <c r="BB141" i="43"/>
  <c r="BA141" i="43"/>
  <c r="BX138" i="43" s="1"/>
  <c r="BW138" i="43" s="1"/>
  <c r="AZ141" i="43"/>
  <c r="BR138" i="43" s="1"/>
  <c r="BQ138" i="43" s="1"/>
  <c r="BB145" i="43"/>
  <c r="BA145" i="43"/>
  <c r="BX142" i="43" s="1"/>
  <c r="BW142" i="43" s="1"/>
  <c r="AZ145" i="43"/>
  <c r="BR142" i="43" s="1"/>
  <c r="BQ142" i="43" s="1"/>
  <c r="BB149" i="43"/>
  <c r="BA149" i="43"/>
  <c r="BX146" i="43" s="1"/>
  <c r="BW146" i="43" s="1"/>
  <c r="AZ149" i="43"/>
  <c r="BR146" i="43" s="1"/>
  <c r="BQ146" i="43" s="1"/>
  <c r="BB153" i="43"/>
  <c r="BA153" i="43"/>
  <c r="BX150" i="43" s="1"/>
  <c r="BW150" i="43" s="1"/>
  <c r="AZ153" i="43"/>
  <c r="BR150" i="43" s="1"/>
  <c r="BQ150" i="43" s="1"/>
  <c r="BB157" i="43"/>
  <c r="BA157" i="43"/>
  <c r="BX154" i="43" s="1"/>
  <c r="BW154" i="43" s="1"/>
  <c r="AZ157" i="43"/>
  <c r="BR154" i="43" s="1"/>
  <c r="BQ154" i="43" s="1"/>
  <c r="BB161" i="43"/>
  <c r="BA161" i="43"/>
  <c r="BX158" i="43" s="1"/>
  <c r="BW158" i="43" s="1"/>
  <c r="AZ161" i="43"/>
  <c r="BR158" i="43" s="1"/>
  <c r="BQ158" i="43" s="1"/>
  <c r="BB165" i="43"/>
  <c r="BA165" i="43"/>
  <c r="BX162" i="43" s="1"/>
  <c r="BW162" i="43" s="1"/>
  <c r="AZ165" i="43"/>
  <c r="BR162" i="43" s="1"/>
  <c r="BQ162" i="43" s="1"/>
  <c r="BB169" i="43"/>
  <c r="BA169" i="43"/>
  <c r="AZ169" i="43"/>
  <c r="BR166" i="43" s="1"/>
  <c r="BQ166" i="43" s="1"/>
  <c r="BB173" i="43"/>
  <c r="BA173" i="43"/>
  <c r="BX170" i="43" s="1"/>
  <c r="BW170" i="43" s="1"/>
  <c r="AZ173" i="43"/>
  <c r="BR170" i="43" s="1"/>
  <c r="BQ170" i="43" s="1"/>
  <c r="BB177" i="43"/>
  <c r="BA177" i="43"/>
  <c r="BX174" i="43" s="1"/>
  <c r="BW174" i="43" s="1"/>
  <c r="AZ177" i="43"/>
  <c r="BR174" i="43" s="1"/>
  <c r="BQ174" i="43" s="1"/>
  <c r="BB181" i="43"/>
  <c r="BA181" i="43"/>
  <c r="BX178" i="43" s="1"/>
  <c r="BW178" i="43" s="1"/>
  <c r="AZ181" i="43"/>
  <c r="BR178" i="43" s="1"/>
  <c r="BQ178" i="43" s="1"/>
  <c r="BB185" i="43"/>
  <c r="BA185" i="43"/>
  <c r="BX182" i="43" s="1"/>
  <c r="BW182" i="43" s="1"/>
  <c r="AZ185" i="43"/>
  <c r="BR182" i="43" s="1"/>
  <c r="BQ182" i="43" s="1"/>
  <c r="BB189" i="43"/>
  <c r="BA189" i="43"/>
  <c r="BX186" i="43" s="1"/>
  <c r="BW186" i="43" s="1"/>
  <c r="AZ189" i="43"/>
  <c r="BR186" i="43" s="1"/>
  <c r="BQ186" i="43" s="1"/>
  <c r="BB193" i="43"/>
  <c r="AZ193" i="43"/>
  <c r="BR190" i="43" s="1"/>
  <c r="BQ190" i="43" s="1"/>
  <c r="BA193" i="43"/>
  <c r="BX190" i="43" s="1"/>
  <c r="BW190" i="43" s="1"/>
  <c r="BB197" i="43"/>
  <c r="AZ197" i="43"/>
  <c r="BR194" i="43" s="1"/>
  <c r="BQ194" i="43" s="1"/>
  <c r="BA197" i="43"/>
  <c r="BX194" i="43" s="1"/>
  <c r="BW194" i="43" s="1"/>
  <c r="BB201" i="43"/>
  <c r="AZ201" i="43"/>
  <c r="BR198" i="43" s="1"/>
  <c r="BQ198" i="43" s="1"/>
  <c r="BA201" i="43"/>
  <c r="BX198" i="43" s="1"/>
  <c r="BW198" i="43" s="1"/>
  <c r="BB205" i="43"/>
  <c r="AZ205" i="43"/>
  <c r="BR202" i="43" s="1"/>
  <c r="BQ202" i="43" s="1"/>
  <c r="BA205" i="43"/>
  <c r="BX202" i="43" s="1"/>
  <c r="BW202" i="43" s="1"/>
  <c r="BB209" i="43"/>
  <c r="AZ209" i="43"/>
  <c r="BR206" i="43" s="1"/>
  <c r="BQ206" i="43" s="1"/>
  <c r="BA209" i="43"/>
  <c r="BX206" i="43" s="1"/>
  <c r="BW206" i="43" s="1"/>
  <c r="BB213" i="43"/>
  <c r="BA213" i="43"/>
  <c r="BX210" i="43" s="1"/>
  <c r="BW210" i="43" s="1"/>
  <c r="AZ213" i="43"/>
  <c r="BR210" i="43" s="1"/>
  <c r="BQ210" i="43" s="1"/>
  <c r="BB217" i="43"/>
  <c r="BA217" i="43"/>
  <c r="BX214" i="43" s="1"/>
  <c r="BW214" i="43" s="1"/>
  <c r="AZ217" i="43"/>
  <c r="BR214" i="43" s="1"/>
  <c r="BQ214" i="43" s="1"/>
  <c r="BB221" i="43"/>
  <c r="BA221" i="43"/>
  <c r="BX218" i="43" s="1"/>
  <c r="BW218" i="43" s="1"/>
  <c r="AZ221" i="43"/>
  <c r="BR218" i="43" s="1"/>
  <c r="BQ218" i="43" s="1"/>
  <c r="BB225" i="43"/>
  <c r="BA225" i="43"/>
  <c r="BX222" i="43" s="1"/>
  <c r="BW222" i="43" s="1"/>
  <c r="AZ225" i="43"/>
  <c r="BR222" i="43" s="1"/>
  <c r="BQ222" i="43" s="1"/>
  <c r="BB229" i="43"/>
  <c r="BA229" i="43"/>
  <c r="BX226" i="43" s="1"/>
  <c r="BW226" i="43" s="1"/>
  <c r="AZ229" i="43"/>
  <c r="BR226" i="43" s="1"/>
  <c r="BQ226" i="43" s="1"/>
  <c r="BB233" i="43"/>
  <c r="BA233" i="43"/>
  <c r="BX230" i="43" s="1"/>
  <c r="BW230" i="43" s="1"/>
  <c r="AZ233" i="43"/>
  <c r="BR230" i="43" s="1"/>
  <c r="BQ230" i="43" s="1"/>
  <c r="BB237" i="43"/>
  <c r="BA237" i="43"/>
  <c r="BX234" i="43" s="1"/>
  <c r="BW234" i="43" s="1"/>
  <c r="AZ237" i="43"/>
  <c r="BR234" i="43" s="1"/>
  <c r="BQ234" i="43" s="1"/>
  <c r="BB241" i="43"/>
  <c r="BA241" i="43"/>
  <c r="BX238" i="43" s="1"/>
  <c r="BW238" i="43" s="1"/>
  <c r="AZ241" i="43"/>
  <c r="BR238" i="43" s="1"/>
  <c r="BQ238" i="43" s="1"/>
  <c r="BB245" i="43"/>
  <c r="BA245" i="43"/>
  <c r="BX242" i="43" s="1"/>
  <c r="BW242" i="43" s="1"/>
  <c r="AZ245" i="43"/>
  <c r="BR242" i="43" s="1"/>
  <c r="BQ242" i="43" s="1"/>
  <c r="BB249" i="43"/>
  <c r="BA249" i="43"/>
  <c r="BX246" i="43" s="1"/>
  <c r="BW246" i="43" s="1"/>
  <c r="AZ249" i="43"/>
  <c r="BR246" i="43" s="1"/>
  <c r="BQ246" i="43" s="1"/>
  <c r="BB253" i="43"/>
  <c r="BA253" i="43"/>
  <c r="BX250" i="43" s="1"/>
  <c r="BW250" i="43" s="1"/>
  <c r="AZ253" i="43"/>
  <c r="BR250" i="43" s="1"/>
  <c r="BQ250" i="43" s="1"/>
  <c r="BB257" i="43"/>
  <c r="BA257" i="43"/>
  <c r="BX254" i="43" s="1"/>
  <c r="BW254" i="43" s="1"/>
  <c r="AZ257" i="43"/>
  <c r="BR254" i="43" s="1"/>
  <c r="BQ254" i="43" s="1"/>
  <c r="BB261" i="43"/>
  <c r="BA261" i="43"/>
  <c r="BX258" i="43" s="1"/>
  <c r="BW258" i="43" s="1"/>
  <c r="AZ261" i="43"/>
  <c r="BR258" i="43" s="1"/>
  <c r="BQ258" i="43" s="1"/>
  <c r="BB265" i="43"/>
  <c r="BA265" i="43"/>
  <c r="BX262" i="43" s="1"/>
  <c r="BW262" i="43" s="1"/>
  <c r="AZ265" i="43"/>
  <c r="BR262" i="43" s="1"/>
  <c r="BQ262" i="43" s="1"/>
  <c r="BB269" i="43"/>
  <c r="BA269" i="43"/>
  <c r="BX266" i="43" s="1"/>
  <c r="BW266" i="43" s="1"/>
  <c r="AZ269" i="43"/>
  <c r="BR266" i="43" s="1"/>
  <c r="BQ266" i="43" s="1"/>
  <c r="BB273" i="43"/>
  <c r="BA273" i="43"/>
  <c r="BX270" i="43" s="1"/>
  <c r="BW270" i="43" s="1"/>
  <c r="AZ273" i="43"/>
  <c r="BR270" i="43" s="1"/>
  <c r="BQ270" i="43" s="1"/>
  <c r="BB277" i="43"/>
  <c r="BA277" i="43"/>
  <c r="BX274" i="43" s="1"/>
  <c r="BW274" i="43" s="1"/>
  <c r="AZ277" i="43"/>
  <c r="BR274" i="43" s="1"/>
  <c r="BQ274" i="43" s="1"/>
  <c r="BB281" i="43"/>
  <c r="BA281" i="43"/>
  <c r="BX278" i="43" s="1"/>
  <c r="BW278" i="43" s="1"/>
  <c r="AZ281" i="43"/>
  <c r="BR278" i="43" s="1"/>
  <c r="BQ278" i="43" s="1"/>
  <c r="BB285" i="43"/>
  <c r="BA285" i="43"/>
  <c r="BX282" i="43" s="1"/>
  <c r="BW282" i="43" s="1"/>
  <c r="AZ285" i="43"/>
  <c r="BR282" i="43" s="1"/>
  <c r="BQ282" i="43" s="1"/>
  <c r="BB289" i="43"/>
  <c r="BA289" i="43"/>
  <c r="BX286" i="43" s="1"/>
  <c r="BW286" i="43" s="1"/>
  <c r="AZ289" i="43"/>
  <c r="BR286" i="43" s="1"/>
  <c r="BQ286" i="43" s="1"/>
  <c r="BB293" i="43"/>
  <c r="BA293" i="43"/>
  <c r="BX290" i="43" s="1"/>
  <c r="BW290" i="43" s="1"/>
  <c r="AZ293" i="43"/>
  <c r="BR290" i="43" s="1"/>
  <c r="BQ290" i="43" s="1"/>
  <c r="BA297" i="43"/>
  <c r="BX294" i="43" s="1"/>
  <c r="BW294" i="43" s="1"/>
  <c r="BB297" i="43"/>
  <c r="AZ297" i="43"/>
  <c r="BR294" i="43" s="1"/>
  <c r="BQ294" i="43" s="1"/>
  <c r="BA301" i="43"/>
  <c r="BX298" i="43" s="1"/>
  <c r="BW298" i="43" s="1"/>
  <c r="AZ301" i="43"/>
  <c r="BR298" i="43" s="1"/>
  <c r="BQ298" i="43" s="1"/>
  <c r="BB301" i="43"/>
  <c r="BA305" i="43"/>
  <c r="BX302" i="43" s="1"/>
  <c r="BW302" i="43" s="1"/>
  <c r="BB305" i="43"/>
  <c r="AZ305" i="43"/>
  <c r="BR302" i="43" s="1"/>
  <c r="BQ302" i="43" s="1"/>
  <c r="BA309" i="43"/>
  <c r="BX306" i="43" s="1"/>
  <c r="BW306" i="43" s="1"/>
  <c r="AZ309" i="43"/>
  <c r="BR306" i="43" s="1"/>
  <c r="BQ306" i="43" s="1"/>
  <c r="BB309" i="43"/>
  <c r="BA313" i="43"/>
  <c r="BX310" i="43" s="1"/>
  <c r="BW310" i="43" s="1"/>
  <c r="AZ313" i="43"/>
  <c r="BR310" i="43" s="1"/>
  <c r="BQ310" i="43" s="1"/>
  <c r="BB313" i="43"/>
  <c r="BA317" i="43"/>
  <c r="BX314" i="43" s="1"/>
  <c r="BW314" i="43" s="1"/>
  <c r="AZ317" i="43"/>
  <c r="BR314" i="43" s="1"/>
  <c r="BQ314" i="43" s="1"/>
  <c r="BB317" i="43"/>
  <c r="BA321" i="43"/>
  <c r="BX318" i="43" s="1"/>
  <c r="BW318" i="43" s="1"/>
  <c r="AZ321" i="43"/>
  <c r="BR318" i="43" s="1"/>
  <c r="BQ318" i="43" s="1"/>
  <c r="BB321" i="43"/>
  <c r="BA325" i="43"/>
  <c r="BX322" i="43" s="1"/>
  <c r="BW322" i="43" s="1"/>
  <c r="AZ325" i="43"/>
  <c r="BR322" i="43" s="1"/>
  <c r="BQ322" i="43" s="1"/>
  <c r="BB325" i="43"/>
  <c r="BA329" i="43"/>
  <c r="BX326" i="43" s="1"/>
  <c r="BW326" i="43" s="1"/>
  <c r="AZ329" i="43"/>
  <c r="BR326" i="43" s="1"/>
  <c r="BQ326" i="43" s="1"/>
  <c r="BB329" i="43"/>
  <c r="BA333" i="43"/>
  <c r="BX330" i="43" s="1"/>
  <c r="BW330" i="43" s="1"/>
  <c r="AZ333" i="43"/>
  <c r="BR330" i="43" s="1"/>
  <c r="BQ330" i="43" s="1"/>
  <c r="BB333" i="43"/>
  <c r="BA337" i="43"/>
  <c r="BX334" i="43" s="1"/>
  <c r="BW334" i="43" s="1"/>
  <c r="AZ337" i="43"/>
  <c r="BR334" i="43" s="1"/>
  <c r="BQ334" i="43" s="1"/>
  <c r="BB337" i="43"/>
  <c r="BA341" i="43"/>
  <c r="BX338" i="43" s="1"/>
  <c r="BW338" i="43" s="1"/>
  <c r="AZ341" i="43"/>
  <c r="BR338" i="43" s="1"/>
  <c r="BQ338" i="43" s="1"/>
  <c r="BB341" i="43"/>
  <c r="BA345" i="43"/>
  <c r="BX342" i="43" s="1"/>
  <c r="BW342" i="43" s="1"/>
  <c r="AZ345" i="43"/>
  <c r="BR342" i="43" s="1"/>
  <c r="BQ342" i="43" s="1"/>
  <c r="BB345" i="43"/>
  <c r="BA349" i="43"/>
  <c r="BX346" i="43" s="1"/>
  <c r="BW346" i="43" s="1"/>
  <c r="AZ349" i="43"/>
  <c r="BR346" i="43" s="1"/>
  <c r="BQ346" i="43" s="1"/>
  <c r="BB349" i="43"/>
  <c r="BA353" i="43"/>
  <c r="BX350" i="43" s="1"/>
  <c r="BW350" i="43" s="1"/>
  <c r="AZ353" i="43"/>
  <c r="BR350" i="43" s="1"/>
  <c r="BQ350" i="43" s="1"/>
  <c r="BB353" i="43"/>
  <c r="BA357" i="43"/>
  <c r="BX354" i="43" s="1"/>
  <c r="BW354" i="43" s="1"/>
  <c r="AZ357" i="43"/>
  <c r="BR354" i="43" s="1"/>
  <c r="BQ354" i="43" s="1"/>
  <c r="BB357" i="43"/>
  <c r="BA361" i="43"/>
  <c r="BX358" i="43" s="1"/>
  <c r="BW358" i="43" s="1"/>
  <c r="AZ361" i="43"/>
  <c r="BR358" i="43" s="1"/>
  <c r="BQ358" i="43" s="1"/>
  <c r="BB361" i="43"/>
  <c r="BA365" i="43"/>
  <c r="BX362" i="43" s="1"/>
  <c r="BW362" i="43" s="1"/>
  <c r="AZ365" i="43"/>
  <c r="BR362" i="43" s="1"/>
  <c r="BQ362" i="43" s="1"/>
  <c r="BB365" i="43"/>
  <c r="BA369" i="43"/>
  <c r="BX366" i="43" s="1"/>
  <c r="BW366" i="43" s="1"/>
  <c r="AZ369" i="43"/>
  <c r="BR366" i="43" s="1"/>
  <c r="BQ366" i="43" s="1"/>
  <c r="BB369" i="43"/>
  <c r="BA373" i="43"/>
  <c r="BX370" i="43" s="1"/>
  <c r="BW370" i="43" s="1"/>
  <c r="AZ373" i="43"/>
  <c r="BR370" i="43" s="1"/>
  <c r="BQ370" i="43" s="1"/>
  <c r="BB373" i="43"/>
  <c r="BA377" i="43"/>
  <c r="BX374" i="43" s="1"/>
  <c r="BW374" i="43" s="1"/>
  <c r="AZ377" i="43"/>
  <c r="BR374" i="43" s="1"/>
  <c r="BQ374" i="43" s="1"/>
  <c r="BB377" i="43"/>
  <c r="AZ381" i="43"/>
  <c r="BR378" i="43" s="1"/>
  <c r="BQ378" i="43" s="1"/>
  <c r="BB381" i="43"/>
  <c r="BA381" i="43"/>
  <c r="BX378" i="43" s="1"/>
  <c r="BW378" i="43" s="1"/>
  <c r="AZ385" i="43"/>
  <c r="BR382" i="43" s="1"/>
  <c r="BQ382" i="43" s="1"/>
  <c r="BB385" i="43"/>
  <c r="BA385" i="43"/>
  <c r="BX382" i="43" s="1"/>
  <c r="BW382" i="43" s="1"/>
  <c r="AZ389" i="43"/>
  <c r="BR386" i="43" s="1"/>
  <c r="BQ386" i="43" s="1"/>
  <c r="BB389" i="43"/>
  <c r="BA389" i="43"/>
  <c r="BX386" i="43" s="1"/>
  <c r="BW386" i="43" s="1"/>
  <c r="AZ393" i="43"/>
  <c r="BR390" i="43" s="1"/>
  <c r="BQ390" i="43" s="1"/>
  <c r="BB393" i="43"/>
  <c r="BA393" i="43"/>
  <c r="BX390" i="43" s="1"/>
  <c r="BW390" i="43" s="1"/>
  <c r="AZ14" i="43"/>
  <c r="BB14" i="43"/>
  <c r="BA14" i="43"/>
  <c r="BX11" i="43" s="1"/>
  <c r="BW11" i="43" s="1"/>
  <c r="BA8" i="43"/>
  <c r="BX5" i="43" s="1"/>
  <c r="BW5" i="43" s="1"/>
  <c r="AZ8" i="43"/>
  <c r="BR5" i="43" s="1"/>
  <c r="BQ5" i="43" s="1"/>
  <c r="BY12" i="43"/>
  <c r="BY44" i="43"/>
  <c r="BY76" i="43"/>
  <c r="BU210" i="43"/>
  <c r="BV19" i="43"/>
  <c r="BV51" i="43"/>
  <c r="BY100" i="43"/>
  <c r="BY222" i="43"/>
  <c r="BY28" i="43"/>
  <c r="BY60" i="43"/>
  <c r="BV139" i="43"/>
  <c r="BV229" i="43"/>
  <c r="BV35" i="43"/>
  <c r="BV67" i="43"/>
  <c r="BV197" i="43"/>
  <c r="BU242" i="43"/>
  <c r="BO6" i="43"/>
  <c r="BU6" i="43"/>
  <c r="BO7" i="43"/>
  <c r="BU7" i="43"/>
  <c r="BO9" i="43"/>
  <c r="BU9" i="43"/>
  <c r="BO10" i="43"/>
  <c r="BU10" i="43"/>
  <c r="BO11" i="43"/>
  <c r="BU11" i="43"/>
  <c r="BO13" i="43"/>
  <c r="BU13" i="43"/>
  <c r="BO14" i="43"/>
  <c r="BU14" i="43"/>
  <c r="BO15" i="43"/>
  <c r="BU15" i="43"/>
  <c r="BO17" i="43"/>
  <c r="BU17" i="43"/>
  <c r="BO18" i="43"/>
  <c r="BU18" i="43"/>
  <c r="BO19" i="43"/>
  <c r="BU19" i="43"/>
  <c r="BO21" i="43"/>
  <c r="BU21" i="43"/>
  <c r="BO22" i="43"/>
  <c r="BU22" i="43"/>
  <c r="BO23" i="43"/>
  <c r="BU23" i="43"/>
  <c r="BO25" i="43"/>
  <c r="BU25" i="43"/>
  <c r="BO26" i="43"/>
  <c r="BU26" i="43"/>
  <c r="BO27" i="43"/>
  <c r="BU27" i="43"/>
  <c r="BO29" i="43"/>
  <c r="BU29" i="43"/>
  <c r="BO30" i="43"/>
  <c r="BU30" i="43"/>
  <c r="BO31" i="43"/>
  <c r="BU31" i="43"/>
  <c r="BO33" i="43"/>
  <c r="BU33" i="43"/>
  <c r="BO34" i="43"/>
  <c r="BU34" i="43"/>
  <c r="BO35" i="43"/>
  <c r="BU35" i="43"/>
  <c r="BO37" i="43"/>
  <c r="BU37" i="43"/>
  <c r="BO38" i="43"/>
  <c r="BU38" i="43"/>
  <c r="BO39" i="43"/>
  <c r="BU39" i="43"/>
  <c r="BO41" i="43"/>
  <c r="BU41" i="43"/>
  <c r="BO42" i="43"/>
  <c r="BU42" i="43"/>
  <c r="BO43" i="43"/>
  <c r="BU43" i="43"/>
  <c r="BO45" i="43"/>
  <c r="BU45" i="43"/>
  <c r="BO46" i="43"/>
  <c r="BU46" i="43"/>
  <c r="BO47" i="43"/>
  <c r="BU47" i="43"/>
  <c r="BO49" i="43"/>
  <c r="BU49" i="43"/>
  <c r="BO50" i="43"/>
  <c r="BU50" i="43"/>
  <c r="BO51" i="43"/>
  <c r="BU51" i="43"/>
  <c r="BO53" i="43"/>
  <c r="BU53" i="43"/>
  <c r="BO54" i="43"/>
  <c r="BU54" i="43"/>
  <c r="BO55" i="43"/>
  <c r="BU55" i="43"/>
  <c r="BO57" i="43"/>
  <c r="BU57" i="43"/>
  <c r="BO58" i="43"/>
  <c r="BU58" i="43"/>
  <c r="BO59" i="43"/>
  <c r="BU59" i="43"/>
  <c r="BO61" i="43"/>
  <c r="BU61" i="43"/>
  <c r="BO62" i="43"/>
  <c r="BU62" i="43"/>
  <c r="BO63" i="43"/>
  <c r="BU63" i="43"/>
  <c r="BO65" i="43"/>
  <c r="BU65" i="43"/>
  <c r="BO66" i="43"/>
  <c r="BU66" i="43"/>
  <c r="BO67" i="43"/>
  <c r="BU67" i="43"/>
  <c r="BO69" i="43"/>
  <c r="BU69" i="43"/>
  <c r="BO70" i="43"/>
  <c r="BU70" i="43"/>
  <c r="BO71" i="43"/>
  <c r="BU71" i="43"/>
  <c r="BO73" i="43"/>
  <c r="BU73" i="43"/>
  <c r="BO74" i="43"/>
  <c r="BU74" i="43"/>
  <c r="BO75" i="43"/>
  <c r="BU75" i="43"/>
  <c r="BO77" i="43"/>
  <c r="BU77" i="43"/>
  <c r="BO78" i="43"/>
  <c r="BU78" i="43"/>
  <c r="BO79" i="43"/>
  <c r="BU79" i="43"/>
  <c r="BO80" i="43"/>
  <c r="BU80" i="43"/>
  <c r="BO81" i="43"/>
  <c r="BU81" i="43"/>
  <c r="BO82" i="43"/>
  <c r="BU82" i="43"/>
  <c r="BO83" i="43"/>
  <c r="BU83" i="43"/>
  <c r="BO84" i="43"/>
  <c r="BU84" i="43"/>
  <c r="BO85" i="43"/>
  <c r="BU85" i="43"/>
  <c r="BO86" i="43"/>
  <c r="BU86" i="43"/>
  <c r="BO87" i="43"/>
  <c r="BU87" i="43"/>
  <c r="BO89" i="43"/>
  <c r="BU89" i="43"/>
  <c r="BO90" i="43"/>
  <c r="BU90" i="43"/>
  <c r="BO91" i="43"/>
  <c r="BU91" i="43"/>
  <c r="BO92" i="43"/>
  <c r="BU92" i="43"/>
  <c r="BO93" i="43"/>
  <c r="BU93" i="43"/>
  <c r="BO94" i="43"/>
  <c r="BU94" i="43"/>
  <c r="BO95" i="43"/>
  <c r="BU95" i="43"/>
  <c r="BO96" i="43"/>
  <c r="BU96" i="43"/>
  <c r="BO97" i="43"/>
  <c r="BU97" i="43"/>
  <c r="BO98" i="43"/>
  <c r="BU98" i="43"/>
  <c r="BO99" i="43"/>
  <c r="BU99" i="43"/>
  <c r="BO100" i="43"/>
  <c r="BU100" i="43"/>
  <c r="BO101" i="43"/>
  <c r="BU101" i="43"/>
  <c r="BO102" i="43"/>
  <c r="BU102" i="43"/>
  <c r="BO103" i="43"/>
  <c r="BU103" i="43"/>
  <c r="BO105" i="43"/>
  <c r="BU105" i="43"/>
  <c r="BO106" i="43"/>
  <c r="BU106" i="43"/>
  <c r="BO107" i="43"/>
  <c r="BU107" i="43"/>
  <c r="BO108" i="43"/>
  <c r="BU108" i="43"/>
  <c r="BO109" i="43"/>
  <c r="BU109" i="43"/>
  <c r="BO110" i="43"/>
  <c r="BU110" i="43"/>
  <c r="BO111" i="43"/>
  <c r="BU111" i="43"/>
  <c r="BO112" i="43"/>
  <c r="BU112" i="43"/>
  <c r="BO113" i="43"/>
  <c r="BU113" i="43"/>
  <c r="BO114" i="43"/>
  <c r="BU114" i="43"/>
  <c r="BO115" i="43"/>
  <c r="BU115" i="43"/>
  <c r="BO116" i="43"/>
  <c r="BU116" i="43"/>
  <c r="BO117" i="43"/>
  <c r="BU117" i="43"/>
  <c r="BO118" i="43"/>
  <c r="BU118" i="43"/>
  <c r="BO119" i="43"/>
  <c r="BU119" i="43"/>
  <c r="BO121" i="43"/>
  <c r="BU121" i="43"/>
  <c r="BO122" i="43"/>
  <c r="BU122" i="43"/>
  <c r="BO123" i="43"/>
  <c r="BU123" i="43"/>
  <c r="BO124" i="43"/>
  <c r="BU124" i="43"/>
  <c r="BO125" i="43"/>
  <c r="BU125" i="43"/>
  <c r="BO126" i="43"/>
  <c r="BU126" i="43"/>
  <c r="BO127" i="43"/>
  <c r="BU127" i="43"/>
  <c r="BO128" i="43"/>
  <c r="BU128" i="43"/>
  <c r="BO129" i="43"/>
  <c r="BU129" i="43"/>
  <c r="BO130" i="43"/>
  <c r="BU130" i="43"/>
  <c r="BO131" i="43"/>
  <c r="BU131" i="43"/>
  <c r="BO132" i="43"/>
  <c r="BU132" i="43"/>
  <c r="BO133" i="43"/>
  <c r="BU133" i="43"/>
  <c r="BO134" i="43"/>
  <c r="BU134" i="43"/>
  <c r="BO135" i="43"/>
  <c r="BU135" i="43"/>
  <c r="BO137" i="43"/>
  <c r="BU137" i="43"/>
  <c r="BO138" i="43"/>
  <c r="BU138" i="43"/>
  <c r="BO139" i="43"/>
  <c r="BU139" i="43"/>
  <c r="BO140" i="43"/>
  <c r="BU140" i="43"/>
  <c r="BO141" i="43"/>
  <c r="BU141" i="43"/>
  <c r="BO142" i="43"/>
  <c r="BU142" i="43"/>
  <c r="BO143" i="43"/>
  <c r="BU143" i="43"/>
  <c r="BO144" i="43"/>
  <c r="BU144" i="43"/>
  <c r="BO145" i="43"/>
  <c r="BU145" i="43"/>
  <c r="BO146" i="43"/>
  <c r="BU146" i="43"/>
  <c r="BO147" i="43"/>
  <c r="BU147" i="43"/>
  <c r="BO148" i="43"/>
  <c r="BU148" i="43"/>
  <c r="BO149" i="43"/>
  <c r="BU149" i="43"/>
  <c r="BO150" i="43"/>
  <c r="BU150" i="43"/>
  <c r="BO151" i="43"/>
  <c r="BU151" i="43"/>
  <c r="BO153" i="43"/>
  <c r="BU153" i="43"/>
  <c r="BO154" i="43"/>
  <c r="BU154" i="43"/>
  <c r="BO155" i="43"/>
  <c r="BU155" i="43"/>
  <c r="BO156" i="43"/>
  <c r="BU156" i="43"/>
  <c r="BO157" i="43"/>
  <c r="BU157" i="43"/>
  <c r="BO158" i="43"/>
  <c r="BU158" i="43"/>
  <c r="BO159" i="43"/>
  <c r="BU159" i="43"/>
  <c r="BO160" i="43"/>
  <c r="BU160" i="43"/>
  <c r="BO161" i="43"/>
  <c r="BU161" i="43"/>
  <c r="BO162" i="43"/>
  <c r="BU162" i="43"/>
  <c r="BO163" i="43"/>
  <c r="BU163" i="43"/>
  <c r="BO164" i="43"/>
  <c r="BU164" i="43"/>
  <c r="BO165" i="43"/>
  <c r="BU165" i="43"/>
  <c r="BO166" i="43"/>
  <c r="BU166" i="43"/>
  <c r="BO167" i="43"/>
  <c r="BU167" i="43"/>
  <c r="BO168" i="43"/>
  <c r="BU168" i="43"/>
  <c r="BO169" i="43"/>
  <c r="BU169" i="43"/>
  <c r="BO170" i="43"/>
  <c r="BU170" i="43"/>
  <c r="BO171" i="43"/>
  <c r="BU171" i="43"/>
  <c r="BO172" i="43"/>
  <c r="BU172" i="43"/>
  <c r="BO173" i="43"/>
  <c r="BU173" i="43"/>
  <c r="BO174" i="43"/>
  <c r="BU174" i="43"/>
  <c r="BO175" i="43"/>
  <c r="BU175" i="43"/>
  <c r="BO176" i="43"/>
  <c r="BU176" i="43"/>
  <c r="BO177" i="43"/>
  <c r="BU177" i="43"/>
  <c r="BO179" i="43"/>
  <c r="BU179" i="43"/>
  <c r="BO180" i="43"/>
  <c r="BU180" i="43"/>
  <c r="BO181" i="43"/>
  <c r="BU181" i="43"/>
  <c r="BO182" i="43"/>
  <c r="BU182" i="43"/>
  <c r="BO183" i="43"/>
  <c r="BU183" i="43"/>
  <c r="BO184" i="43"/>
  <c r="BU184" i="43"/>
  <c r="BO185" i="43"/>
  <c r="BU185" i="43"/>
  <c r="BO186" i="43"/>
  <c r="BU186" i="43"/>
  <c r="BO187" i="43"/>
  <c r="BU187" i="43"/>
  <c r="BO188" i="43"/>
  <c r="BU188" i="43"/>
  <c r="BO189" i="43"/>
  <c r="BU189" i="43"/>
  <c r="BO190" i="43"/>
  <c r="BU190" i="43"/>
  <c r="BO191" i="43"/>
  <c r="BU191" i="43"/>
  <c r="BO192" i="43"/>
  <c r="BU192" i="43"/>
  <c r="BO193" i="43"/>
  <c r="BU193" i="43"/>
  <c r="BO194" i="43"/>
  <c r="BU194" i="43"/>
  <c r="BO195" i="43"/>
  <c r="BU195" i="43"/>
  <c r="BO196" i="43"/>
  <c r="BU196" i="43"/>
  <c r="BO197" i="43"/>
  <c r="BU197" i="43"/>
  <c r="BO198" i="43"/>
  <c r="BU198" i="43"/>
  <c r="BO199" i="43"/>
  <c r="BU199" i="43"/>
  <c r="BU16" i="43"/>
  <c r="BU32" i="43"/>
  <c r="BU48" i="43"/>
  <c r="BU64" i="43"/>
  <c r="BU88" i="43"/>
  <c r="BU152" i="43"/>
  <c r="BP6" i="43"/>
  <c r="BV6" i="43"/>
  <c r="BP8" i="43"/>
  <c r="BV8" i="43"/>
  <c r="BP9" i="43"/>
  <c r="BV9" i="43"/>
  <c r="BP10" i="43"/>
  <c r="BV10" i="43"/>
  <c r="BP12" i="43"/>
  <c r="BV12" i="43"/>
  <c r="BP13" i="43"/>
  <c r="BV13" i="43"/>
  <c r="BP14" i="43"/>
  <c r="BV14" i="43"/>
  <c r="BP16" i="43"/>
  <c r="BV16" i="43"/>
  <c r="BP17" i="43"/>
  <c r="BV17" i="43"/>
  <c r="BP18" i="43"/>
  <c r="BV18" i="43"/>
  <c r="BP20" i="43"/>
  <c r="BV20" i="43"/>
  <c r="BP21" i="43"/>
  <c r="BV21" i="43"/>
  <c r="BP22" i="43"/>
  <c r="BV22" i="43"/>
  <c r="BP24" i="43"/>
  <c r="BV24" i="43"/>
  <c r="BP25" i="43"/>
  <c r="BV25" i="43"/>
  <c r="BP26" i="43"/>
  <c r="BV26" i="43"/>
  <c r="BP28" i="43"/>
  <c r="BV28" i="43"/>
  <c r="BP29" i="43"/>
  <c r="BV29" i="43"/>
  <c r="BP30" i="43"/>
  <c r="BV30" i="43"/>
  <c r="BP32" i="43"/>
  <c r="BV32" i="43"/>
  <c r="BP33" i="43"/>
  <c r="BV33" i="43"/>
  <c r="BP34" i="43"/>
  <c r="BV34" i="43"/>
  <c r="BP36" i="43"/>
  <c r="BV36" i="43"/>
  <c r="BP37" i="43"/>
  <c r="BV37" i="43"/>
  <c r="BP38" i="43"/>
  <c r="BV38" i="43"/>
  <c r="BP40" i="43"/>
  <c r="BV40" i="43"/>
  <c r="BP41" i="43"/>
  <c r="BV41" i="43"/>
  <c r="BP42" i="43"/>
  <c r="BV42" i="43"/>
  <c r="BP44" i="43"/>
  <c r="BV44" i="43"/>
  <c r="BP45" i="43"/>
  <c r="BV45" i="43"/>
  <c r="BP46" i="43"/>
  <c r="BV46" i="43"/>
  <c r="BP48" i="43"/>
  <c r="BV48" i="43"/>
  <c r="BP49" i="43"/>
  <c r="BV49" i="43"/>
  <c r="BP50" i="43"/>
  <c r="BV50" i="43"/>
  <c r="BP52" i="43"/>
  <c r="BV52" i="43"/>
  <c r="BP53" i="43"/>
  <c r="BV53" i="43"/>
  <c r="BP54" i="43"/>
  <c r="BV54" i="43"/>
  <c r="BP56" i="43"/>
  <c r="BV56" i="43"/>
  <c r="BP57" i="43"/>
  <c r="BV57" i="43"/>
  <c r="BP58" i="43"/>
  <c r="BV58" i="43"/>
  <c r="BP60" i="43"/>
  <c r="BV60" i="43"/>
  <c r="BP61" i="43"/>
  <c r="BV61" i="43"/>
  <c r="BP62" i="43"/>
  <c r="BV62" i="43"/>
  <c r="BP64" i="43"/>
  <c r="BV64" i="43"/>
  <c r="BP65" i="43"/>
  <c r="BV65" i="43"/>
  <c r="BP66" i="43"/>
  <c r="BV66" i="43"/>
  <c r="BP68" i="43"/>
  <c r="BV68" i="43"/>
  <c r="BP69" i="43"/>
  <c r="BV69" i="43"/>
  <c r="BP70" i="43"/>
  <c r="BV70" i="43"/>
  <c r="BP72" i="43"/>
  <c r="BV72" i="43"/>
  <c r="BP73" i="43"/>
  <c r="BV73" i="43"/>
  <c r="BP74" i="43"/>
  <c r="BV74" i="43"/>
  <c r="BP76" i="43"/>
  <c r="BV76" i="43"/>
  <c r="BP77" i="43"/>
  <c r="BV77" i="43"/>
  <c r="BP78" i="43"/>
  <c r="BV78" i="43"/>
  <c r="BP80" i="43"/>
  <c r="BV80" i="43"/>
  <c r="BP81" i="43"/>
  <c r="BV81" i="43"/>
  <c r="BP83" i="43"/>
  <c r="BV83" i="43"/>
  <c r="BP84" i="43"/>
  <c r="BV84" i="43"/>
  <c r="BP85" i="43"/>
  <c r="BV85" i="43"/>
  <c r="BP86" i="43"/>
  <c r="BV86" i="43"/>
  <c r="BP87" i="43"/>
  <c r="BV87" i="43"/>
  <c r="BP88" i="43"/>
  <c r="BV88" i="43"/>
  <c r="BP89" i="43"/>
  <c r="BV89" i="43"/>
  <c r="BP90" i="43"/>
  <c r="BV90" i="43"/>
  <c r="BP92" i="43"/>
  <c r="BV92" i="43"/>
  <c r="BP93" i="43"/>
  <c r="BV93" i="43"/>
  <c r="BP94" i="43"/>
  <c r="BV94" i="43"/>
  <c r="BP95" i="43"/>
  <c r="BV95" i="43"/>
  <c r="BP96" i="43"/>
  <c r="BV96" i="43"/>
  <c r="BP97" i="43"/>
  <c r="BV97" i="43"/>
  <c r="BP98" i="43"/>
  <c r="BV98" i="43"/>
  <c r="BP99" i="43"/>
  <c r="BV99" i="43"/>
  <c r="BP100" i="43"/>
  <c r="BV100" i="43"/>
  <c r="BP101" i="43"/>
  <c r="BV101" i="43"/>
  <c r="BP102" i="43"/>
  <c r="BV102" i="43"/>
  <c r="BP103" i="43"/>
  <c r="BV103" i="43"/>
  <c r="BP104" i="43"/>
  <c r="BV104" i="43"/>
  <c r="BP105" i="43"/>
  <c r="BV105" i="43"/>
  <c r="BP106" i="43"/>
  <c r="BV106" i="43"/>
  <c r="BP108" i="43"/>
  <c r="BV108" i="43"/>
  <c r="BP109" i="43"/>
  <c r="BV109" i="43"/>
  <c r="BP110" i="43"/>
  <c r="BV110" i="43"/>
  <c r="BP111" i="43"/>
  <c r="BV111" i="43"/>
  <c r="BP112" i="43"/>
  <c r="BV112" i="43"/>
  <c r="BP113" i="43"/>
  <c r="BV113" i="43"/>
  <c r="BP114" i="43"/>
  <c r="BV114" i="43"/>
  <c r="BP115" i="43"/>
  <c r="BV115" i="43"/>
  <c r="BP116" i="43"/>
  <c r="BV116" i="43"/>
  <c r="BP117" i="43"/>
  <c r="BV117" i="43"/>
  <c r="BP118" i="43"/>
  <c r="BV118" i="43"/>
  <c r="BP119" i="43"/>
  <c r="BV119" i="43"/>
  <c r="BP120" i="43"/>
  <c r="BV120" i="43"/>
  <c r="BP121" i="43"/>
  <c r="BV121" i="43"/>
  <c r="BP122" i="43"/>
  <c r="BV122" i="43"/>
  <c r="BP124" i="43"/>
  <c r="BV124" i="43"/>
  <c r="BP125" i="43"/>
  <c r="BV125" i="43"/>
  <c r="BP126" i="43"/>
  <c r="BV126" i="43"/>
  <c r="BP127" i="43"/>
  <c r="BV127" i="43"/>
  <c r="BP128" i="43"/>
  <c r="BV128" i="43"/>
  <c r="BP129" i="43"/>
  <c r="BV129" i="43"/>
  <c r="BP130" i="43"/>
  <c r="BV130" i="43"/>
  <c r="BP131" i="43"/>
  <c r="BV131" i="43"/>
  <c r="BP132" i="43"/>
  <c r="BV132" i="43"/>
  <c r="BP133" i="43"/>
  <c r="BV133" i="43"/>
  <c r="BP134" i="43"/>
  <c r="BV134" i="43"/>
  <c r="BP135" i="43"/>
  <c r="BV135" i="43"/>
  <c r="BP136" i="43"/>
  <c r="BV136" i="43"/>
  <c r="BP137" i="43"/>
  <c r="BV137" i="43"/>
  <c r="BP138" i="43"/>
  <c r="BV138" i="43"/>
  <c r="BP140" i="43"/>
  <c r="BV140" i="43"/>
  <c r="BP141" i="43"/>
  <c r="BV141" i="43"/>
  <c r="BP142" i="43"/>
  <c r="BV142" i="43"/>
  <c r="BP143" i="43"/>
  <c r="BV143" i="43"/>
  <c r="BP144" i="43"/>
  <c r="BV144" i="43"/>
  <c r="BP145" i="43"/>
  <c r="BV145" i="43"/>
  <c r="BP146" i="43"/>
  <c r="BV146" i="43"/>
  <c r="BP147" i="43"/>
  <c r="BV147" i="43"/>
  <c r="BP148" i="43"/>
  <c r="BV148" i="43"/>
  <c r="BP149" i="43"/>
  <c r="BV149" i="43"/>
  <c r="BP150" i="43"/>
  <c r="BV150" i="43"/>
  <c r="BP151" i="43"/>
  <c r="BV151" i="43"/>
  <c r="BP152" i="43"/>
  <c r="BV152" i="43"/>
  <c r="BP153" i="43"/>
  <c r="BV153" i="43"/>
  <c r="BP154" i="43"/>
  <c r="BV154" i="43"/>
  <c r="BP156" i="43"/>
  <c r="BV156" i="43"/>
  <c r="BP157" i="43"/>
  <c r="BV157" i="43"/>
  <c r="BP158" i="43"/>
  <c r="BV158" i="43"/>
  <c r="BP159" i="43"/>
  <c r="BV159" i="43"/>
  <c r="BP160" i="43"/>
  <c r="BV160" i="43"/>
  <c r="BP161" i="43"/>
  <c r="BV161" i="43"/>
  <c r="BP162" i="43"/>
  <c r="BV162" i="43"/>
  <c r="BP163" i="43"/>
  <c r="BV163" i="43"/>
  <c r="BP164" i="43"/>
  <c r="BV164" i="43"/>
  <c r="BP166" i="43"/>
  <c r="BV166" i="43"/>
  <c r="BP167" i="43"/>
  <c r="BV167" i="43"/>
  <c r="BP168" i="43"/>
  <c r="BV168" i="43"/>
  <c r="BP169" i="43"/>
  <c r="BV169" i="43"/>
  <c r="BP170" i="43"/>
  <c r="BV170" i="43"/>
  <c r="BP171" i="43"/>
  <c r="BV171" i="43"/>
  <c r="BP172" i="43"/>
  <c r="BV172" i="43"/>
  <c r="BP173" i="43"/>
  <c r="BV173" i="43"/>
  <c r="BP174" i="43"/>
  <c r="BV174" i="43"/>
  <c r="BP175" i="43"/>
  <c r="BV175" i="43"/>
  <c r="BP176" i="43"/>
  <c r="BV176" i="43"/>
  <c r="BP177" i="43"/>
  <c r="BV177" i="43"/>
  <c r="BP178" i="43"/>
  <c r="BV178" i="43"/>
  <c r="BP179" i="43"/>
  <c r="BV179" i="43"/>
  <c r="BP180" i="43"/>
  <c r="BV180" i="43"/>
  <c r="BP181" i="43"/>
  <c r="BV181" i="43"/>
  <c r="BP182" i="43"/>
  <c r="BV182" i="43"/>
  <c r="BP183" i="43"/>
  <c r="BV183" i="43"/>
  <c r="BP184" i="43"/>
  <c r="BV184" i="43"/>
  <c r="BP185" i="43"/>
  <c r="BV185" i="43"/>
  <c r="BP186" i="43"/>
  <c r="BV186" i="43"/>
  <c r="BP187" i="43"/>
  <c r="BV187" i="43"/>
  <c r="BP188" i="43"/>
  <c r="BV188" i="43"/>
  <c r="BP189" i="43"/>
  <c r="BV189" i="43"/>
  <c r="BP190" i="43"/>
  <c r="BV190" i="43"/>
  <c r="BP191" i="43"/>
  <c r="BV191" i="43"/>
  <c r="BP192" i="43"/>
  <c r="BV192" i="43"/>
  <c r="BP193" i="43"/>
  <c r="BV193" i="43"/>
  <c r="BP194" i="43"/>
  <c r="BV194" i="43"/>
  <c r="BP195" i="43"/>
  <c r="BV195" i="43"/>
  <c r="BP196" i="43"/>
  <c r="BV196" i="43"/>
  <c r="BP198" i="43"/>
  <c r="BV198" i="43"/>
  <c r="BP199" i="43"/>
  <c r="BV199" i="43"/>
  <c r="BP200" i="43"/>
  <c r="BV200" i="43"/>
  <c r="BP201" i="43"/>
  <c r="BV201" i="43"/>
  <c r="BP202" i="43"/>
  <c r="BV202" i="43"/>
  <c r="BP203" i="43"/>
  <c r="BV203" i="43"/>
  <c r="BP204" i="43"/>
  <c r="BV204" i="43"/>
  <c r="BP205" i="43"/>
  <c r="BV205" i="43"/>
  <c r="BP206" i="43"/>
  <c r="BV206" i="43"/>
  <c r="BP207" i="43"/>
  <c r="BV207" i="43"/>
  <c r="BP208" i="43"/>
  <c r="BV208" i="43"/>
  <c r="BP209" i="43"/>
  <c r="BV209" i="43"/>
  <c r="BP210" i="43"/>
  <c r="BV210" i="43"/>
  <c r="BP211" i="43"/>
  <c r="BV211" i="43"/>
  <c r="BP212" i="43"/>
  <c r="BV212" i="43"/>
  <c r="BP213" i="43"/>
  <c r="BV213" i="43"/>
  <c r="BP214" i="43"/>
  <c r="BV214" i="43"/>
  <c r="BP215" i="43"/>
  <c r="BV215" i="43"/>
  <c r="BP216" i="43"/>
  <c r="BV216" i="43"/>
  <c r="BP217" i="43"/>
  <c r="BV217" i="43"/>
  <c r="BP218" i="43"/>
  <c r="BV218" i="43"/>
  <c r="BP219" i="43"/>
  <c r="BV219" i="43"/>
  <c r="BP220" i="43"/>
  <c r="BV220" i="43"/>
  <c r="BP221" i="43"/>
  <c r="BV221" i="43"/>
  <c r="BP222" i="43"/>
  <c r="BV222" i="43"/>
  <c r="BV7" i="43"/>
  <c r="BY16" i="43"/>
  <c r="BU20" i="43"/>
  <c r="BV23" i="43"/>
  <c r="BY32" i="43"/>
  <c r="BU36" i="43"/>
  <c r="BV39" i="43"/>
  <c r="BY48" i="43"/>
  <c r="BU52" i="43"/>
  <c r="BV55" i="43"/>
  <c r="BY64" i="43"/>
  <c r="BU68" i="43"/>
  <c r="BV71" i="43"/>
  <c r="BV82" i="43"/>
  <c r="BV91" i="43"/>
  <c r="BU104" i="43"/>
  <c r="BY116" i="43"/>
  <c r="BV155" i="43"/>
  <c r="BU178" i="43"/>
  <c r="BY254" i="43"/>
  <c r="BU8" i="43"/>
  <c r="BV11" i="43"/>
  <c r="BY20" i="43"/>
  <c r="BU24" i="43"/>
  <c r="BV27" i="43"/>
  <c r="BY36" i="43"/>
  <c r="BU40" i="43"/>
  <c r="BV43" i="43"/>
  <c r="BY52" i="43"/>
  <c r="BU56" i="43"/>
  <c r="BV59" i="43"/>
  <c r="BY68" i="43"/>
  <c r="BU72" i="43"/>
  <c r="BV75" i="43"/>
  <c r="BY83" i="43"/>
  <c r="BV107" i="43"/>
  <c r="BU120" i="43"/>
  <c r="BY132" i="43"/>
  <c r="BS6" i="43"/>
  <c r="BY6" i="43"/>
  <c r="BS7" i="43"/>
  <c r="BY7" i="43"/>
  <c r="BS9" i="43"/>
  <c r="BY9" i="43"/>
  <c r="BS10" i="43"/>
  <c r="BY10" i="43"/>
  <c r="BS11" i="43"/>
  <c r="BY11" i="43"/>
  <c r="BS13" i="43"/>
  <c r="BY13" i="43"/>
  <c r="BS14" i="43"/>
  <c r="BY14" i="43"/>
  <c r="BS15" i="43"/>
  <c r="BY15" i="43"/>
  <c r="BS17" i="43"/>
  <c r="BY17" i="43"/>
  <c r="BS18" i="43"/>
  <c r="BY18" i="43"/>
  <c r="BS19" i="43"/>
  <c r="BY19" i="43"/>
  <c r="BS21" i="43"/>
  <c r="BY21" i="43"/>
  <c r="BS22" i="43"/>
  <c r="BY22" i="43"/>
  <c r="BS23" i="43"/>
  <c r="BY23" i="43"/>
  <c r="BS25" i="43"/>
  <c r="BY25" i="43"/>
  <c r="BS26" i="43"/>
  <c r="BY26" i="43"/>
  <c r="BS27" i="43"/>
  <c r="BY27" i="43"/>
  <c r="BS29" i="43"/>
  <c r="BY29" i="43"/>
  <c r="BS30" i="43"/>
  <c r="BY30" i="43"/>
  <c r="BS31" i="43"/>
  <c r="BY31" i="43"/>
  <c r="BS33" i="43"/>
  <c r="BY33" i="43"/>
  <c r="BS34" i="43"/>
  <c r="BY34" i="43"/>
  <c r="BS35" i="43"/>
  <c r="BY35" i="43"/>
  <c r="BS37" i="43"/>
  <c r="BY37" i="43"/>
  <c r="BS38" i="43"/>
  <c r="BY38" i="43"/>
  <c r="BS39" i="43"/>
  <c r="BY39" i="43"/>
  <c r="BS41" i="43"/>
  <c r="BY41" i="43"/>
  <c r="BS42" i="43"/>
  <c r="BY42" i="43"/>
  <c r="BS43" i="43"/>
  <c r="BY43" i="43"/>
  <c r="BS45" i="43"/>
  <c r="BY45" i="43"/>
  <c r="BS46" i="43"/>
  <c r="BY46" i="43"/>
  <c r="BS47" i="43"/>
  <c r="BY47" i="43"/>
  <c r="BS49" i="43"/>
  <c r="BY49" i="43"/>
  <c r="BS50" i="43"/>
  <c r="BY50" i="43"/>
  <c r="BS51" i="43"/>
  <c r="BY51" i="43"/>
  <c r="BS53" i="43"/>
  <c r="BY53" i="43"/>
  <c r="BS54" i="43"/>
  <c r="BY54" i="43"/>
  <c r="BS55" i="43"/>
  <c r="BY55" i="43"/>
  <c r="BS57" i="43"/>
  <c r="BY57" i="43"/>
  <c r="BS58" i="43"/>
  <c r="BY58" i="43"/>
  <c r="BS59" i="43"/>
  <c r="BY59" i="43"/>
  <c r="BS61" i="43"/>
  <c r="BY61" i="43"/>
  <c r="BS62" i="43"/>
  <c r="BY62" i="43"/>
  <c r="BS63" i="43"/>
  <c r="BY63" i="43"/>
  <c r="BS65" i="43"/>
  <c r="BY65" i="43"/>
  <c r="BS66" i="43"/>
  <c r="BY66" i="43"/>
  <c r="BS67" i="43"/>
  <c r="BY67" i="43"/>
  <c r="BS69" i="43"/>
  <c r="BY69" i="43"/>
  <c r="BS70" i="43"/>
  <c r="BY70" i="43"/>
  <c r="BS71" i="43"/>
  <c r="BY71" i="43"/>
  <c r="BS73" i="43"/>
  <c r="BY73" i="43"/>
  <c r="BS74" i="43"/>
  <c r="BY74" i="43"/>
  <c r="BS75" i="43"/>
  <c r="BY75" i="43"/>
  <c r="BS77" i="43"/>
  <c r="BY77" i="43"/>
  <c r="BS78" i="43"/>
  <c r="BY78" i="43"/>
  <c r="BS79" i="43"/>
  <c r="BY79" i="43"/>
  <c r="BS80" i="43"/>
  <c r="BY80" i="43"/>
  <c r="BS81" i="43"/>
  <c r="BY81" i="43"/>
  <c r="BS82" i="43"/>
  <c r="BY82" i="43"/>
  <c r="BS84" i="43"/>
  <c r="BY84" i="43"/>
  <c r="BS85" i="43"/>
  <c r="BY85" i="43"/>
  <c r="BS86" i="43"/>
  <c r="BY86" i="43"/>
  <c r="BS87" i="43"/>
  <c r="BY87" i="43"/>
  <c r="BS88" i="43"/>
  <c r="BY88" i="43"/>
  <c r="BS89" i="43"/>
  <c r="BY89" i="43"/>
  <c r="BS90" i="43"/>
  <c r="BY90" i="43"/>
  <c r="BS91" i="43"/>
  <c r="BY91" i="43"/>
  <c r="BS92" i="43"/>
  <c r="BY92" i="43"/>
  <c r="BS93" i="43"/>
  <c r="BY93" i="43"/>
  <c r="BS94" i="43"/>
  <c r="BY94" i="43"/>
  <c r="BS95" i="43"/>
  <c r="BY95" i="43"/>
  <c r="BS96" i="43"/>
  <c r="BY96" i="43"/>
  <c r="BS97" i="43"/>
  <c r="BY97" i="43"/>
  <c r="BS98" i="43"/>
  <c r="BY98" i="43"/>
  <c r="BS99" i="43"/>
  <c r="BY99" i="43"/>
  <c r="BS101" i="43"/>
  <c r="BY101" i="43"/>
  <c r="BS102" i="43"/>
  <c r="BY102" i="43"/>
  <c r="BS103" i="43"/>
  <c r="BY103" i="43"/>
  <c r="BS104" i="43"/>
  <c r="BY104" i="43"/>
  <c r="BS105" i="43"/>
  <c r="BY105" i="43"/>
  <c r="BS106" i="43"/>
  <c r="BY106" i="43"/>
  <c r="BS107" i="43"/>
  <c r="BY107" i="43"/>
  <c r="BS108" i="43"/>
  <c r="BY108" i="43"/>
  <c r="BS109" i="43"/>
  <c r="BY109" i="43"/>
  <c r="BS110" i="43"/>
  <c r="BY110" i="43"/>
  <c r="BS111" i="43"/>
  <c r="BY111" i="43"/>
  <c r="BS112" i="43"/>
  <c r="BY112" i="43"/>
  <c r="BS113" i="43"/>
  <c r="BY113" i="43"/>
  <c r="BS114" i="43"/>
  <c r="BY114" i="43"/>
  <c r="BS115" i="43"/>
  <c r="BY115" i="43"/>
  <c r="BS117" i="43"/>
  <c r="BY117" i="43"/>
  <c r="BS118" i="43"/>
  <c r="BY118" i="43"/>
  <c r="BS119" i="43"/>
  <c r="BY119" i="43"/>
  <c r="BS120" i="43"/>
  <c r="BY120" i="43"/>
  <c r="BS121" i="43"/>
  <c r="BY121" i="43"/>
  <c r="BS122" i="43"/>
  <c r="BY122" i="43"/>
  <c r="BS123" i="43"/>
  <c r="BY123" i="43"/>
  <c r="BS124" i="43"/>
  <c r="BY124" i="43"/>
  <c r="BS125" i="43"/>
  <c r="BY125" i="43"/>
  <c r="BS126" i="43"/>
  <c r="BY126" i="43"/>
  <c r="BS127" i="43"/>
  <c r="BY127" i="43"/>
  <c r="BS128" i="43"/>
  <c r="BY128" i="43"/>
  <c r="BS129" i="43"/>
  <c r="BY129" i="43"/>
  <c r="BS130" i="43"/>
  <c r="BY130" i="43"/>
  <c r="BS131" i="43"/>
  <c r="BY131" i="43"/>
  <c r="BS133" i="43"/>
  <c r="BY133" i="43"/>
  <c r="BS134" i="43"/>
  <c r="BY134" i="43"/>
  <c r="BS135" i="43"/>
  <c r="BY135" i="43"/>
  <c r="BS136" i="43"/>
  <c r="BY136" i="43"/>
  <c r="BS137" i="43"/>
  <c r="BY137" i="43"/>
  <c r="BS138" i="43"/>
  <c r="BY138" i="43"/>
  <c r="BS139" i="43"/>
  <c r="BY139" i="43"/>
  <c r="BS140" i="43"/>
  <c r="BY140" i="43"/>
  <c r="BS141" i="43"/>
  <c r="BY141" i="43"/>
  <c r="BS142" i="43"/>
  <c r="BY142" i="43"/>
  <c r="BS143" i="43"/>
  <c r="BY143" i="43"/>
  <c r="BS144" i="43"/>
  <c r="BY144" i="43"/>
  <c r="BS145" i="43"/>
  <c r="BY145" i="43"/>
  <c r="BS146" i="43"/>
  <c r="BY146" i="43"/>
  <c r="BS147" i="43"/>
  <c r="BY147" i="43"/>
  <c r="BS149" i="43"/>
  <c r="BY149" i="43"/>
  <c r="BS150" i="43"/>
  <c r="BY150" i="43"/>
  <c r="BS151" i="43"/>
  <c r="BY151" i="43"/>
  <c r="BS152" i="43"/>
  <c r="BY152" i="43"/>
  <c r="BS153" i="43"/>
  <c r="BY153" i="43"/>
  <c r="BS154" i="43"/>
  <c r="BY154" i="43"/>
  <c r="BS155" i="43"/>
  <c r="BY155" i="43"/>
  <c r="BS156" i="43"/>
  <c r="BY156" i="43"/>
  <c r="BS157" i="43"/>
  <c r="BY157" i="43"/>
  <c r="BS158" i="43"/>
  <c r="BY158" i="43"/>
  <c r="BS159" i="43"/>
  <c r="BY159" i="43"/>
  <c r="BS160" i="43"/>
  <c r="BY160" i="43"/>
  <c r="BS161" i="43"/>
  <c r="BY161" i="43"/>
  <c r="BS162" i="43"/>
  <c r="BY162" i="43"/>
  <c r="BS163" i="43"/>
  <c r="BY163" i="43"/>
  <c r="BS164" i="43"/>
  <c r="BY164" i="43"/>
  <c r="BS165" i="43"/>
  <c r="BY165" i="43"/>
  <c r="BS166" i="43"/>
  <c r="BY166" i="43"/>
  <c r="BS167" i="43"/>
  <c r="BY167" i="43"/>
  <c r="BS168" i="43"/>
  <c r="BY168" i="43"/>
  <c r="BS169" i="43"/>
  <c r="BY169" i="43"/>
  <c r="BS170" i="43"/>
  <c r="BY170" i="43"/>
  <c r="BS171" i="43"/>
  <c r="BY171" i="43"/>
  <c r="BS172" i="43"/>
  <c r="BY172" i="43"/>
  <c r="BS173" i="43"/>
  <c r="BY173" i="43"/>
  <c r="BS174" i="43"/>
  <c r="BY174" i="43"/>
  <c r="BS175" i="43"/>
  <c r="BY175" i="43"/>
  <c r="BS176" i="43"/>
  <c r="BY176" i="43"/>
  <c r="BS177" i="43"/>
  <c r="BY177" i="43"/>
  <c r="BS178" i="43"/>
  <c r="BY178" i="43"/>
  <c r="BS179" i="43"/>
  <c r="BY179" i="43"/>
  <c r="BS180" i="43"/>
  <c r="BY180" i="43"/>
  <c r="BS181" i="43"/>
  <c r="BY181" i="43"/>
  <c r="BS182" i="43"/>
  <c r="BY182" i="43"/>
  <c r="BS183" i="43"/>
  <c r="BY183" i="43"/>
  <c r="BS184" i="43"/>
  <c r="BY184" i="43"/>
  <c r="BS185" i="43"/>
  <c r="BY185" i="43"/>
  <c r="BS186" i="43"/>
  <c r="BY186" i="43"/>
  <c r="BS187" i="43"/>
  <c r="BY187" i="43"/>
  <c r="BS188" i="43"/>
  <c r="BY188" i="43"/>
  <c r="BS189" i="43"/>
  <c r="BY189" i="43"/>
  <c r="BS191" i="43"/>
  <c r="BY191" i="43"/>
  <c r="BS192" i="43"/>
  <c r="BY192" i="43"/>
  <c r="BS193" i="43"/>
  <c r="BY193" i="43"/>
  <c r="BS194" i="43"/>
  <c r="BY194" i="43"/>
  <c r="BS195" i="43"/>
  <c r="BY195" i="43"/>
  <c r="BS196" i="43"/>
  <c r="BY196" i="43"/>
  <c r="BS197" i="43"/>
  <c r="BY197" i="43"/>
  <c r="BS198" i="43"/>
  <c r="BY198" i="43"/>
  <c r="BS199" i="43"/>
  <c r="BY199" i="43"/>
  <c r="BS200" i="43"/>
  <c r="BY200" i="43"/>
  <c r="BS201" i="43"/>
  <c r="BY201" i="43"/>
  <c r="BS202" i="43"/>
  <c r="BY202" i="43"/>
  <c r="BS203" i="43"/>
  <c r="BY203" i="43"/>
  <c r="BS204" i="43"/>
  <c r="BY204" i="43"/>
  <c r="BS205" i="43"/>
  <c r="BY205" i="43"/>
  <c r="BS206" i="43"/>
  <c r="BY206" i="43"/>
  <c r="BS207" i="43"/>
  <c r="BY207" i="43"/>
  <c r="BS208" i="43"/>
  <c r="BY208" i="43"/>
  <c r="BS209" i="43"/>
  <c r="BY209" i="43"/>
  <c r="BS210" i="43"/>
  <c r="BY210" i="43"/>
  <c r="BS211" i="43"/>
  <c r="BY211" i="43"/>
  <c r="BS212" i="43"/>
  <c r="BY212" i="43"/>
  <c r="BS213" i="43"/>
  <c r="BY213" i="43"/>
  <c r="BS214" i="43"/>
  <c r="BY214" i="43"/>
  <c r="BS215" i="43"/>
  <c r="BY215" i="43"/>
  <c r="BS216" i="43"/>
  <c r="BY216" i="43"/>
  <c r="BS217" i="43"/>
  <c r="BY217" i="43"/>
  <c r="BS218" i="43"/>
  <c r="BY218" i="43"/>
  <c r="BS219" i="43"/>
  <c r="BY219" i="43"/>
  <c r="BS220" i="43"/>
  <c r="BY220" i="43"/>
  <c r="BS221" i="43"/>
  <c r="BY221" i="43"/>
  <c r="BS223" i="43"/>
  <c r="BY223" i="43"/>
  <c r="BS224" i="43"/>
  <c r="BY224" i="43"/>
  <c r="BS225" i="43"/>
  <c r="BY225" i="43"/>
  <c r="BS226" i="43"/>
  <c r="BY226" i="43"/>
  <c r="BS227" i="43"/>
  <c r="BY227" i="43"/>
  <c r="BS228" i="43"/>
  <c r="BY228" i="43"/>
  <c r="BS229" i="43"/>
  <c r="BY229" i="43"/>
  <c r="BS230" i="43"/>
  <c r="BY230" i="43"/>
  <c r="BS231" i="43"/>
  <c r="BY231" i="43"/>
  <c r="BS232" i="43"/>
  <c r="BY232" i="43"/>
  <c r="BS233" i="43"/>
  <c r="BY233" i="43"/>
  <c r="BS234" i="43"/>
  <c r="BY234" i="43"/>
  <c r="BS235" i="43"/>
  <c r="BY235" i="43"/>
  <c r="BS236" i="43"/>
  <c r="BY236" i="43"/>
  <c r="BS237" i="43"/>
  <c r="BY237" i="43"/>
  <c r="BS238" i="43"/>
  <c r="BY238" i="43"/>
  <c r="BS239" i="43"/>
  <c r="BY239" i="43"/>
  <c r="BS240" i="43"/>
  <c r="BY240" i="43"/>
  <c r="BS241" i="43"/>
  <c r="BY241" i="43"/>
  <c r="BS242" i="43"/>
  <c r="BY242" i="43"/>
  <c r="BS243" i="43"/>
  <c r="BY243" i="43"/>
  <c r="BS244" i="43"/>
  <c r="BY244" i="43"/>
  <c r="BS245" i="43"/>
  <c r="BY245" i="43"/>
  <c r="BS246" i="43"/>
  <c r="BY246" i="43"/>
  <c r="BS247" i="43"/>
  <c r="BY247" i="43"/>
  <c r="BS248" i="43"/>
  <c r="BY248" i="43"/>
  <c r="BS249" i="43"/>
  <c r="BY249" i="43"/>
  <c r="BS250" i="43"/>
  <c r="BY250" i="43"/>
  <c r="BS251" i="43"/>
  <c r="BY251" i="43"/>
  <c r="BS252" i="43"/>
  <c r="BY252" i="43"/>
  <c r="BS253" i="43"/>
  <c r="BY253" i="43"/>
  <c r="BS255" i="43"/>
  <c r="BY255" i="43"/>
  <c r="BS256" i="43"/>
  <c r="BY256" i="43"/>
  <c r="BS257" i="43"/>
  <c r="BY257" i="43"/>
  <c r="BS258" i="43"/>
  <c r="BY258" i="43"/>
  <c r="BS259" i="43"/>
  <c r="BY259" i="43"/>
  <c r="BS260" i="43"/>
  <c r="BY260" i="43"/>
  <c r="BS261" i="43"/>
  <c r="BY261" i="43"/>
  <c r="BS262" i="43"/>
  <c r="BY262" i="43"/>
  <c r="BS263" i="43"/>
  <c r="BY263" i="43"/>
  <c r="BS264" i="43"/>
  <c r="BY264" i="43"/>
  <c r="BS265" i="43"/>
  <c r="BY265" i="43"/>
  <c r="BS266" i="43"/>
  <c r="BY266" i="43"/>
  <c r="BS267" i="43"/>
  <c r="BY267" i="43"/>
  <c r="BS268" i="43"/>
  <c r="BY268" i="43"/>
  <c r="BS269" i="43"/>
  <c r="BY269" i="43"/>
  <c r="BS270" i="43"/>
  <c r="BY270" i="43"/>
  <c r="BS271" i="43"/>
  <c r="BY271" i="43"/>
  <c r="BS272" i="43"/>
  <c r="BY272" i="43"/>
  <c r="BS273" i="43"/>
  <c r="BY273" i="43"/>
  <c r="BS274" i="43"/>
  <c r="BY274" i="43"/>
  <c r="BS275" i="43"/>
  <c r="BY275" i="43"/>
  <c r="BS276" i="43"/>
  <c r="BY276" i="43"/>
  <c r="BS277" i="43"/>
  <c r="BY277" i="43"/>
  <c r="BS278" i="43"/>
  <c r="BY278" i="43"/>
  <c r="BS279" i="43"/>
  <c r="BY279" i="43"/>
  <c r="BS280" i="43"/>
  <c r="BY280" i="43"/>
  <c r="BS281" i="43"/>
  <c r="BY281" i="43"/>
  <c r="BS282" i="43"/>
  <c r="BY282" i="43"/>
  <c r="BS283" i="43"/>
  <c r="BY283" i="43"/>
  <c r="BS284" i="43"/>
  <c r="BY284" i="43"/>
  <c r="BS285" i="43"/>
  <c r="BY285" i="43"/>
  <c r="BS286" i="43"/>
  <c r="BY286" i="43"/>
  <c r="BS287" i="43"/>
  <c r="BY287" i="43"/>
  <c r="BS288" i="43"/>
  <c r="BY288" i="43"/>
  <c r="BS289" i="43"/>
  <c r="BY289" i="43"/>
  <c r="BS290" i="43"/>
  <c r="BY290" i="43"/>
  <c r="BS291" i="43"/>
  <c r="BY291" i="43"/>
  <c r="BS292" i="43"/>
  <c r="BY292" i="43"/>
  <c r="BS293" i="43"/>
  <c r="BY293" i="43"/>
  <c r="BS294" i="43"/>
  <c r="BY294" i="43"/>
  <c r="BS295" i="43"/>
  <c r="BY295" i="43"/>
  <c r="BS296" i="43"/>
  <c r="BY296" i="43"/>
  <c r="BS297" i="43"/>
  <c r="BY297" i="43"/>
  <c r="BS298" i="43"/>
  <c r="BY298" i="43"/>
  <c r="BS299" i="43"/>
  <c r="BY299" i="43"/>
  <c r="BS300" i="43"/>
  <c r="BY300" i="43"/>
  <c r="BS301" i="43"/>
  <c r="BY301" i="43"/>
  <c r="BS302" i="43"/>
  <c r="BY302" i="43"/>
  <c r="BS303" i="43"/>
  <c r="BY303" i="43"/>
  <c r="BS304" i="43"/>
  <c r="BY304" i="43"/>
  <c r="BS305" i="43"/>
  <c r="BY305" i="43"/>
  <c r="BS306" i="43"/>
  <c r="BY306" i="43"/>
  <c r="BS307" i="43"/>
  <c r="BY307" i="43"/>
  <c r="BS308" i="43"/>
  <c r="BY308" i="43"/>
  <c r="BS309" i="43"/>
  <c r="BY309" i="43"/>
  <c r="BS310" i="43"/>
  <c r="BY310" i="43"/>
  <c r="BS311" i="43"/>
  <c r="BY311" i="43"/>
  <c r="BS312" i="43"/>
  <c r="BY312" i="43"/>
  <c r="BS313" i="43"/>
  <c r="BY313" i="43"/>
  <c r="BS314" i="43"/>
  <c r="BY314" i="43"/>
  <c r="BS315" i="43"/>
  <c r="BY315" i="43"/>
  <c r="BS316" i="43"/>
  <c r="BY316" i="43"/>
  <c r="BS317" i="43"/>
  <c r="BY317" i="43"/>
  <c r="BS318" i="43"/>
  <c r="BY318" i="43"/>
  <c r="BS319" i="43"/>
  <c r="BY319" i="43"/>
  <c r="BS320" i="43"/>
  <c r="BY320" i="43"/>
  <c r="BS321" i="43"/>
  <c r="BY321" i="43"/>
  <c r="BS322" i="43"/>
  <c r="BY322" i="43"/>
  <c r="BS323" i="43"/>
  <c r="BY323" i="43"/>
  <c r="BS324" i="43"/>
  <c r="BY324" i="43"/>
  <c r="BS325" i="43"/>
  <c r="BY325" i="43"/>
  <c r="BS326" i="43"/>
  <c r="BY326" i="43"/>
  <c r="BS327" i="43"/>
  <c r="BY327" i="43"/>
  <c r="BS328" i="43"/>
  <c r="BY328" i="43"/>
  <c r="BS329" i="43"/>
  <c r="BY329" i="43"/>
  <c r="BS330" i="43"/>
  <c r="BY330" i="43"/>
  <c r="BS331" i="43"/>
  <c r="BY331" i="43"/>
  <c r="BS332" i="43"/>
  <c r="BY332" i="43"/>
  <c r="BS333" i="43"/>
  <c r="BY333" i="43"/>
  <c r="BS334" i="43"/>
  <c r="BY334" i="43"/>
  <c r="BS335" i="43"/>
  <c r="BY335" i="43"/>
  <c r="BS336" i="43"/>
  <c r="BY336" i="43"/>
  <c r="BS337" i="43"/>
  <c r="BY337" i="43"/>
  <c r="BS338" i="43"/>
  <c r="BY338" i="43"/>
  <c r="BS339" i="43"/>
  <c r="BY339" i="43"/>
  <c r="BS340" i="43"/>
  <c r="BY340" i="43"/>
  <c r="BS341" i="43"/>
  <c r="BY341" i="43"/>
  <c r="BS342" i="43"/>
  <c r="BY342" i="43"/>
  <c r="BS343" i="43"/>
  <c r="BY343" i="43"/>
  <c r="BS344" i="43"/>
  <c r="BY344" i="43"/>
  <c r="BS345" i="43"/>
  <c r="BY345" i="43"/>
  <c r="BS346" i="43"/>
  <c r="BY346" i="43"/>
  <c r="BS347" i="43"/>
  <c r="BY347" i="43"/>
  <c r="BS348" i="43"/>
  <c r="BY348" i="43"/>
  <c r="BS349" i="43"/>
  <c r="BY349" i="43"/>
  <c r="BS350" i="43"/>
  <c r="BY350" i="43"/>
  <c r="BS351" i="43"/>
  <c r="BY351" i="43"/>
  <c r="BS352" i="43"/>
  <c r="BY352" i="43"/>
  <c r="BS353" i="43"/>
  <c r="BY353" i="43"/>
  <c r="BS354" i="43"/>
  <c r="BY354" i="43"/>
  <c r="BS355" i="43"/>
  <c r="BY355" i="43"/>
  <c r="BS356" i="43"/>
  <c r="BY356" i="43"/>
  <c r="BS357" i="43"/>
  <c r="BY357" i="43"/>
  <c r="BS358" i="43"/>
  <c r="BY358" i="43"/>
  <c r="BS359" i="43"/>
  <c r="BY359" i="43"/>
  <c r="BS360" i="43"/>
  <c r="BY360" i="43"/>
  <c r="BS361" i="43"/>
  <c r="BY361" i="43"/>
  <c r="BS362" i="43"/>
  <c r="BY362" i="43"/>
  <c r="BS363" i="43"/>
  <c r="BY363" i="43"/>
  <c r="BS364" i="43"/>
  <c r="BY364" i="43"/>
  <c r="BS365" i="43"/>
  <c r="BY365" i="43"/>
  <c r="BS366" i="43"/>
  <c r="BY366" i="43"/>
  <c r="BS367" i="43"/>
  <c r="BY367" i="43"/>
  <c r="BS368" i="43"/>
  <c r="BY368" i="43"/>
  <c r="BS369" i="43"/>
  <c r="BY369" i="43"/>
  <c r="BS370" i="43"/>
  <c r="BY370" i="43"/>
  <c r="BS371" i="43"/>
  <c r="BY371" i="43"/>
  <c r="BS372" i="43"/>
  <c r="BY372" i="43"/>
  <c r="BS373" i="43"/>
  <c r="BY373" i="43"/>
  <c r="BS374" i="43"/>
  <c r="BY374" i="43"/>
  <c r="BS375" i="43"/>
  <c r="BY375" i="43"/>
  <c r="BS376" i="43"/>
  <c r="BY376" i="43"/>
  <c r="BS377" i="43"/>
  <c r="BY377" i="43"/>
  <c r="BS378" i="43"/>
  <c r="BY378" i="43"/>
  <c r="BS379" i="43"/>
  <c r="BY379" i="43"/>
  <c r="BS380" i="43"/>
  <c r="BY380" i="43"/>
  <c r="BS381" i="43"/>
  <c r="BY381" i="43"/>
  <c r="BS382" i="43"/>
  <c r="BY382" i="43"/>
  <c r="BS383" i="43"/>
  <c r="BY383" i="43"/>
  <c r="BS384" i="43"/>
  <c r="BY384" i="43"/>
  <c r="BS385" i="43"/>
  <c r="BY385" i="43"/>
  <c r="BS386" i="43"/>
  <c r="BY386" i="43"/>
  <c r="BS387" i="43"/>
  <c r="BY387" i="43"/>
  <c r="BS388" i="43"/>
  <c r="BY388" i="43"/>
  <c r="BS389" i="43"/>
  <c r="BY389" i="43"/>
  <c r="BS390" i="43"/>
  <c r="BY390" i="43"/>
  <c r="BS391" i="43"/>
  <c r="BY391" i="43"/>
  <c r="BS392" i="43"/>
  <c r="BY392" i="43"/>
  <c r="BS393" i="43"/>
  <c r="BY393" i="43"/>
  <c r="BS394" i="43"/>
  <c r="BY394" i="43"/>
  <c r="BS395" i="43"/>
  <c r="BY395" i="43"/>
  <c r="BS396" i="43"/>
  <c r="BY396" i="43"/>
  <c r="BS397" i="43"/>
  <c r="BY397" i="43"/>
  <c r="BS398" i="43"/>
  <c r="BY398" i="43"/>
  <c r="BS399" i="43"/>
  <c r="BY399" i="43"/>
  <c r="BS400" i="43"/>
  <c r="BY400" i="43"/>
  <c r="BS401" i="43"/>
  <c r="BY401" i="43"/>
  <c r="BS402" i="43"/>
  <c r="BY402" i="43"/>
  <c r="BS403" i="43"/>
  <c r="BY403" i="43"/>
  <c r="BS404" i="43"/>
  <c r="BY404" i="43"/>
  <c r="BS405" i="43"/>
  <c r="BY405" i="43"/>
  <c r="BS406" i="43"/>
  <c r="BY406" i="43"/>
  <c r="BS407" i="43"/>
  <c r="BY407" i="43"/>
  <c r="BS408" i="43"/>
  <c r="BY408" i="43"/>
  <c r="BS409" i="43"/>
  <c r="BY409" i="43"/>
  <c r="BS410" i="43"/>
  <c r="BY410" i="43"/>
  <c r="BS411" i="43"/>
  <c r="BY411" i="43"/>
  <c r="BS412" i="43"/>
  <c r="BY412" i="43"/>
  <c r="BS413" i="43"/>
  <c r="BY413" i="43"/>
  <c r="BS414" i="43"/>
  <c r="BY414" i="43"/>
  <c r="BS415" i="43"/>
  <c r="BY415" i="43"/>
  <c r="BS416" i="43"/>
  <c r="BY416" i="43"/>
  <c r="BS417" i="43"/>
  <c r="BY417" i="43"/>
  <c r="BS418" i="43"/>
  <c r="BY418" i="43"/>
  <c r="BS419" i="43"/>
  <c r="BY419" i="43"/>
  <c r="BS420" i="43"/>
  <c r="BY420" i="43"/>
  <c r="BS421" i="43"/>
  <c r="BY421" i="43"/>
  <c r="BS422" i="43"/>
  <c r="BY422" i="43"/>
  <c r="BS423" i="43"/>
  <c r="BY423" i="43"/>
  <c r="BS424" i="43"/>
  <c r="BY424" i="43"/>
  <c r="BS425" i="43"/>
  <c r="BY425" i="43"/>
  <c r="BS426" i="43"/>
  <c r="BY426" i="43"/>
  <c r="BS427" i="43"/>
  <c r="BY427" i="43"/>
  <c r="BS428" i="43"/>
  <c r="BY428" i="43"/>
  <c r="BS429" i="43"/>
  <c r="BY429" i="43"/>
  <c r="BS430" i="43"/>
  <c r="BY430" i="43"/>
  <c r="BS431" i="43"/>
  <c r="BY431" i="43"/>
  <c r="BS432" i="43"/>
  <c r="BY432" i="43"/>
  <c r="BS433" i="43"/>
  <c r="BY433" i="43"/>
  <c r="BS434" i="43"/>
  <c r="BY434" i="43"/>
  <c r="BS435" i="43"/>
  <c r="BY435" i="43"/>
  <c r="BS436" i="43"/>
  <c r="BY436" i="43"/>
  <c r="BS437" i="43"/>
  <c r="BY437" i="43"/>
  <c r="BS438" i="43"/>
  <c r="BY438" i="43"/>
  <c r="BS439" i="43"/>
  <c r="BY439" i="43"/>
  <c r="BS440" i="43"/>
  <c r="BY440" i="43"/>
  <c r="BS441" i="43"/>
  <c r="BY441" i="43"/>
  <c r="BS442" i="43"/>
  <c r="BY442" i="43"/>
  <c r="BS443" i="43"/>
  <c r="BY443" i="43"/>
  <c r="BS444" i="43"/>
  <c r="BY444" i="43"/>
  <c r="BS445" i="43"/>
  <c r="BY445" i="43"/>
  <c r="BS446" i="43"/>
  <c r="BY446" i="43"/>
  <c r="BS447" i="43"/>
  <c r="BY447" i="43"/>
  <c r="BS448" i="43"/>
  <c r="BY448" i="43"/>
  <c r="BS449" i="43"/>
  <c r="BY449" i="43"/>
  <c r="BS450" i="43"/>
  <c r="BY450" i="43"/>
  <c r="BS451" i="43"/>
  <c r="BY451" i="43"/>
  <c r="BS452" i="43"/>
  <c r="BY452" i="43"/>
  <c r="BS453" i="43"/>
  <c r="BY453" i="43"/>
  <c r="BS454" i="43"/>
  <c r="BY454" i="43"/>
  <c r="BS455" i="43"/>
  <c r="BY455" i="43"/>
  <c r="BS456" i="43"/>
  <c r="BY456" i="43"/>
  <c r="BS457" i="43"/>
  <c r="BY457" i="43"/>
  <c r="BS458" i="43"/>
  <c r="BY458" i="43"/>
  <c r="BS459" i="43"/>
  <c r="BY459" i="43"/>
  <c r="BS460" i="43"/>
  <c r="BY460" i="43"/>
  <c r="BS461" i="43"/>
  <c r="BY461" i="43"/>
  <c r="BS462" i="43"/>
  <c r="BY462" i="43"/>
  <c r="BS463" i="43"/>
  <c r="BY463" i="43"/>
  <c r="BS464" i="43"/>
  <c r="BY464" i="43"/>
  <c r="BS465" i="43"/>
  <c r="BY465" i="43"/>
  <c r="BS466" i="43"/>
  <c r="BY466" i="43"/>
  <c r="BS467" i="43"/>
  <c r="BY467" i="43"/>
  <c r="BS468" i="43"/>
  <c r="BY468" i="43"/>
  <c r="BS469" i="43"/>
  <c r="BY469" i="43"/>
  <c r="BS470" i="43"/>
  <c r="BY470" i="43"/>
  <c r="BS471" i="43"/>
  <c r="BY471" i="43"/>
  <c r="BS472" i="43"/>
  <c r="BY472" i="43"/>
  <c r="BS473" i="43"/>
  <c r="BY473" i="43"/>
  <c r="BS474" i="43"/>
  <c r="BY474" i="43"/>
  <c r="BS475" i="43"/>
  <c r="BY475" i="43"/>
  <c r="BS476" i="43"/>
  <c r="BY476" i="43"/>
  <c r="BS477" i="43"/>
  <c r="BY477" i="43"/>
  <c r="BS478" i="43"/>
  <c r="BY478" i="43"/>
  <c r="BS479" i="43"/>
  <c r="BY479" i="43"/>
  <c r="BS480" i="43"/>
  <c r="BY480" i="43"/>
  <c r="BS481" i="43"/>
  <c r="BY481" i="43"/>
  <c r="BS482" i="43"/>
  <c r="BY482" i="43"/>
  <c r="BS483" i="43"/>
  <c r="BY483" i="43"/>
  <c r="BS484" i="43"/>
  <c r="BY484" i="43"/>
  <c r="BS485" i="43"/>
  <c r="BY485" i="43"/>
  <c r="BS486" i="43"/>
  <c r="BY486" i="43"/>
  <c r="BS487" i="43"/>
  <c r="BY487" i="43"/>
  <c r="BS488" i="43"/>
  <c r="BY488" i="43"/>
  <c r="BY8" i="43"/>
  <c r="BU12" i="43"/>
  <c r="BV15" i="43"/>
  <c r="BY24" i="43"/>
  <c r="BU28" i="43"/>
  <c r="BV31" i="43"/>
  <c r="BY40" i="43"/>
  <c r="BU44" i="43"/>
  <c r="BV47" i="43"/>
  <c r="BY56" i="43"/>
  <c r="BU60" i="43"/>
  <c r="BV63" i="43"/>
  <c r="BY72" i="43"/>
  <c r="BU76" i="43"/>
  <c r="BV79" i="43"/>
  <c r="BV123" i="43"/>
  <c r="BU136" i="43"/>
  <c r="BY148" i="43"/>
  <c r="BV165" i="43"/>
  <c r="BY190" i="43"/>
  <c r="BO200" i="43"/>
  <c r="BU200" i="43"/>
  <c r="BO201" i="43"/>
  <c r="BU201" i="43"/>
  <c r="BO203" i="43"/>
  <c r="BU203" i="43"/>
  <c r="BO204" i="43"/>
  <c r="BU204" i="43"/>
  <c r="BO205" i="43"/>
  <c r="BU205" i="43"/>
  <c r="BO206" i="43"/>
  <c r="BU206" i="43"/>
  <c r="BO207" i="43"/>
  <c r="BU207" i="43"/>
  <c r="BO208" i="43"/>
  <c r="BU208" i="43"/>
  <c r="BO209" i="43"/>
  <c r="BU209" i="43"/>
  <c r="BO211" i="43"/>
  <c r="BU211" i="43"/>
  <c r="BO212" i="43"/>
  <c r="BU212" i="43"/>
  <c r="BO213" i="43"/>
  <c r="BU213" i="43"/>
  <c r="BO214" i="43"/>
  <c r="BU214" i="43"/>
  <c r="BO215" i="43"/>
  <c r="BU215" i="43"/>
  <c r="BO216" i="43"/>
  <c r="BU216" i="43"/>
  <c r="BO217" i="43"/>
  <c r="BU217" i="43"/>
  <c r="BO219" i="43"/>
  <c r="BU219" i="43"/>
  <c r="BO220" i="43"/>
  <c r="BU220" i="43"/>
  <c r="BO221" i="43"/>
  <c r="BU221" i="43"/>
  <c r="BO222" i="43"/>
  <c r="BU222" i="43"/>
  <c r="BO223" i="43"/>
  <c r="BU223" i="43"/>
  <c r="BO224" i="43"/>
  <c r="BU224" i="43"/>
  <c r="BO225" i="43"/>
  <c r="BU225" i="43"/>
  <c r="BO227" i="43"/>
  <c r="BU227" i="43"/>
  <c r="BO228" i="43"/>
  <c r="BU228" i="43"/>
  <c r="BO229" i="43"/>
  <c r="BU229" i="43"/>
  <c r="BO230" i="43"/>
  <c r="BU230" i="43"/>
  <c r="BO231" i="43"/>
  <c r="BU231" i="43"/>
  <c r="BO232" i="43"/>
  <c r="BU232" i="43"/>
  <c r="BO233" i="43"/>
  <c r="BU233" i="43"/>
  <c r="BO235" i="43"/>
  <c r="BU235" i="43"/>
  <c r="BO236" i="43"/>
  <c r="BU236" i="43"/>
  <c r="BO237" i="43"/>
  <c r="BU237" i="43"/>
  <c r="BO238" i="43"/>
  <c r="BU238" i="43"/>
  <c r="BO239" i="43"/>
  <c r="BU239" i="43"/>
  <c r="BO240" i="43"/>
  <c r="BU240" i="43"/>
  <c r="BO241" i="43"/>
  <c r="BU241" i="43"/>
  <c r="BO243" i="43"/>
  <c r="BU243" i="43"/>
  <c r="BO244" i="43"/>
  <c r="BU244" i="43"/>
  <c r="BO245" i="43"/>
  <c r="BU245" i="43"/>
  <c r="BO246" i="43"/>
  <c r="BU246" i="43"/>
  <c r="BO247" i="43"/>
  <c r="BU247" i="43"/>
  <c r="BO248" i="43"/>
  <c r="BU248" i="43"/>
  <c r="BO249" i="43"/>
  <c r="BU249" i="43"/>
  <c r="BO251" i="43"/>
  <c r="BU251" i="43"/>
  <c r="BO252" i="43"/>
  <c r="BU252" i="43"/>
  <c r="BO253" i="43"/>
  <c r="BU253" i="43"/>
  <c r="BO254" i="43"/>
  <c r="BU254" i="43"/>
  <c r="BO255" i="43"/>
  <c r="BU255" i="43"/>
  <c r="BO256" i="43"/>
  <c r="BU256" i="43"/>
  <c r="BO257" i="43"/>
  <c r="BU257" i="43"/>
  <c r="BO258" i="43"/>
  <c r="BU258" i="43"/>
  <c r="BO260" i="43"/>
  <c r="BU260" i="43"/>
  <c r="BO261" i="43"/>
  <c r="BU261" i="43"/>
  <c r="BO262" i="43"/>
  <c r="BU262" i="43"/>
  <c r="BO263" i="43"/>
  <c r="BU263" i="43"/>
  <c r="BO264" i="43"/>
  <c r="BU264" i="43"/>
  <c r="BO265" i="43"/>
  <c r="BU265" i="43"/>
  <c r="BO266" i="43"/>
  <c r="BU266" i="43"/>
  <c r="BO267" i="43"/>
  <c r="BU267" i="43"/>
  <c r="BO268" i="43"/>
  <c r="BU268" i="43"/>
  <c r="BO269" i="43"/>
  <c r="BU269" i="43"/>
  <c r="BO270" i="43"/>
  <c r="BU270" i="43"/>
  <c r="BO271" i="43"/>
  <c r="BU271" i="43"/>
  <c r="BO272" i="43"/>
  <c r="BU272" i="43"/>
  <c r="BO273" i="43"/>
  <c r="BU273" i="43"/>
  <c r="BO274" i="43"/>
  <c r="BU274" i="43"/>
  <c r="BO275" i="43"/>
  <c r="BU275" i="43"/>
  <c r="BO276" i="43"/>
  <c r="BU276" i="43"/>
  <c r="BO277" i="43"/>
  <c r="BU277" i="43"/>
  <c r="BO278" i="43"/>
  <c r="BU278" i="43"/>
  <c r="BO279" i="43"/>
  <c r="BU279" i="43"/>
  <c r="BO280" i="43"/>
  <c r="BU280" i="43"/>
  <c r="BO281" i="43"/>
  <c r="BU281" i="43"/>
  <c r="BO283" i="43"/>
  <c r="BU283" i="43"/>
  <c r="BO284" i="43"/>
  <c r="BU284" i="43"/>
  <c r="BO285" i="43"/>
  <c r="BU285" i="43"/>
  <c r="BO286" i="43"/>
  <c r="BU286" i="43"/>
  <c r="BO287" i="43"/>
  <c r="BU287" i="43"/>
  <c r="BO288" i="43"/>
  <c r="BU288" i="43"/>
  <c r="BO289" i="43"/>
  <c r="BU289" i="43"/>
  <c r="BO290" i="43"/>
  <c r="BU290" i="43"/>
  <c r="BO291" i="43"/>
  <c r="BU291" i="43"/>
  <c r="BO292" i="43"/>
  <c r="BU292" i="43"/>
  <c r="BO293" i="43"/>
  <c r="BU293" i="43"/>
  <c r="BO294" i="43"/>
  <c r="BU294" i="43"/>
  <c r="BO295" i="43"/>
  <c r="BU295" i="43"/>
  <c r="BO296" i="43"/>
  <c r="BU296" i="43"/>
  <c r="BO297" i="43"/>
  <c r="BU297" i="43"/>
  <c r="BO298" i="43"/>
  <c r="BU298" i="43"/>
  <c r="BO299" i="43"/>
  <c r="BU299" i="43"/>
  <c r="BO300" i="43"/>
  <c r="BU300" i="43"/>
  <c r="BO301" i="43"/>
  <c r="BU301" i="43"/>
  <c r="BO302" i="43"/>
  <c r="BU302" i="43"/>
  <c r="BO303" i="43"/>
  <c r="BU303" i="43"/>
  <c r="BO304" i="43"/>
  <c r="BU304" i="43"/>
  <c r="BO305" i="43"/>
  <c r="BU305" i="43"/>
  <c r="BO306" i="43"/>
  <c r="BU306" i="43"/>
  <c r="BO307" i="43"/>
  <c r="BU307" i="43"/>
  <c r="BO308" i="43"/>
  <c r="BU308" i="43"/>
  <c r="BO309" i="43"/>
  <c r="BU309" i="43"/>
  <c r="BO310" i="43"/>
  <c r="BU310" i="43"/>
  <c r="BO311" i="43"/>
  <c r="BU311" i="43"/>
  <c r="BO312" i="43"/>
  <c r="BU312" i="43"/>
  <c r="BO313" i="43"/>
  <c r="BU313" i="43"/>
  <c r="BO314" i="43"/>
  <c r="BU314" i="43"/>
  <c r="BO315" i="43"/>
  <c r="BU315" i="43"/>
  <c r="BO316" i="43"/>
  <c r="BU316" i="43"/>
  <c r="BO317" i="43"/>
  <c r="BU317" i="43"/>
  <c r="BO318" i="43"/>
  <c r="BU318" i="43"/>
  <c r="BO319" i="43"/>
  <c r="BU319" i="43"/>
  <c r="BO320" i="43"/>
  <c r="BU320" i="43"/>
  <c r="BO321" i="43"/>
  <c r="BU321" i="43"/>
  <c r="BO322" i="43"/>
  <c r="BU322" i="43"/>
  <c r="BO323" i="43"/>
  <c r="BU323" i="43"/>
  <c r="BO324" i="43"/>
  <c r="BU324" i="43"/>
  <c r="BO325" i="43"/>
  <c r="BU325" i="43"/>
  <c r="BO326" i="43"/>
  <c r="BU326" i="43"/>
  <c r="BO327" i="43"/>
  <c r="BU327" i="43"/>
  <c r="BO328" i="43"/>
  <c r="BU328" i="43"/>
  <c r="BO329" i="43"/>
  <c r="BU329" i="43"/>
  <c r="BO330" i="43"/>
  <c r="BU330" i="43"/>
  <c r="BO331" i="43"/>
  <c r="BU331" i="43"/>
  <c r="BO332" i="43"/>
  <c r="BU332" i="43"/>
  <c r="BO333" i="43"/>
  <c r="BU333" i="43"/>
  <c r="BO334" i="43"/>
  <c r="BU334" i="43"/>
  <c r="BO335" i="43"/>
  <c r="BU335" i="43"/>
  <c r="BO336" i="43"/>
  <c r="BU336" i="43"/>
  <c r="BO337" i="43"/>
  <c r="BU337" i="43"/>
  <c r="BO338" i="43"/>
  <c r="BU338" i="43"/>
  <c r="BO339" i="43"/>
  <c r="BU339" i="43"/>
  <c r="BO340" i="43"/>
  <c r="BU340" i="43"/>
  <c r="BO341" i="43"/>
  <c r="BU341" i="43"/>
  <c r="BO342" i="43"/>
  <c r="BU342" i="43"/>
  <c r="BO343" i="43"/>
  <c r="BU343" i="43"/>
  <c r="BO344" i="43"/>
  <c r="BU344" i="43"/>
  <c r="BO345" i="43"/>
  <c r="BU345" i="43"/>
  <c r="BO346" i="43"/>
  <c r="BU346" i="43"/>
  <c r="BO347" i="43"/>
  <c r="BU347" i="43"/>
  <c r="BO348" i="43"/>
  <c r="BU348" i="43"/>
  <c r="BO349" i="43"/>
  <c r="BU349" i="43"/>
  <c r="BO350" i="43"/>
  <c r="BU350" i="43"/>
  <c r="BO351" i="43"/>
  <c r="BU351" i="43"/>
  <c r="BO352" i="43"/>
  <c r="BU352" i="43"/>
  <c r="BO353" i="43"/>
  <c r="BU353" i="43"/>
  <c r="BO354" i="43"/>
  <c r="BU354" i="43"/>
  <c r="BO355" i="43"/>
  <c r="BU355" i="43"/>
  <c r="BO356" i="43"/>
  <c r="BU356" i="43"/>
  <c r="BO357" i="43"/>
  <c r="BU357" i="43"/>
  <c r="BO359" i="43"/>
  <c r="BU359" i="43"/>
  <c r="BO360" i="43"/>
  <c r="BU360" i="43"/>
  <c r="BO361" i="43"/>
  <c r="BU361" i="43"/>
  <c r="BO362" i="43"/>
  <c r="BU362" i="43"/>
  <c r="BO363" i="43"/>
  <c r="BU363" i="43"/>
  <c r="BO364" i="43"/>
  <c r="BU364" i="43"/>
  <c r="BO365" i="43"/>
  <c r="BU365" i="43"/>
  <c r="BO366" i="43"/>
  <c r="BU366" i="43"/>
  <c r="BO367" i="43"/>
  <c r="BU367" i="43"/>
  <c r="BO368" i="43"/>
  <c r="BU368" i="43"/>
  <c r="BO369" i="43"/>
  <c r="BU369" i="43"/>
  <c r="BO370" i="43"/>
  <c r="BU370" i="43"/>
  <c r="BO371" i="43"/>
  <c r="BU371" i="43"/>
  <c r="BO372" i="43"/>
  <c r="BU372" i="43"/>
  <c r="BO373" i="43"/>
  <c r="BU373" i="43"/>
  <c r="BO374" i="43"/>
  <c r="BU374" i="43"/>
  <c r="BO375" i="43"/>
  <c r="BU375" i="43"/>
  <c r="BO376" i="43"/>
  <c r="BU376" i="43"/>
  <c r="BO377" i="43"/>
  <c r="BU377" i="43"/>
  <c r="BO378" i="43"/>
  <c r="BU378" i="43"/>
  <c r="BO379" i="43"/>
  <c r="BU379" i="43"/>
  <c r="BO380" i="43"/>
  <c r="BU380" i="43"/>
  <c r="BO381" i="43"/>
  <c r="BU381" i="43"/>
  <c r="BO382" i="43"/>
  <c r="BU382" i="43"/>
  <c r="BO383" i="43"/>
  <c r="BU383" i="43"/>
  <c r="BO384" i="43"/>
  <c r="BU384" i="43"/>
  <c r="BO385" i="43"/>
  <c r="BU385" i="43"/>
  <c r="BO386" i="43"/>
  <c r="BU386" i="43"/>
  <c r="BO387" i="43"/>
  <c r="BU387" i="43"/>
  <c r="BO388" i="43"/>
  <c r="BU388" i="43"/>
  <c r="BO389" i="43"/>
  <c r="BU389" i="43"/>
  <c r="BO390" i="43"/>
  <c r="BU390" i="43"/>
  <c r="BO391" i="43"/>
  <c r="BU391" i="43"/>
  <c r="BO392" i="43"/>
  <c r="BU392" i="43"/>
  <c r="BO393" i="43"/>
  <c r="BU393" i="43"/>
  <c r="BO394" i="43"/>
  <c r="BU394" i="43"/>
  <c r="BO395" i="43"/>
  <c r="BU395" i="43"/>
  <c r="BO396" i="43"/>
  <c r="BU396" i="43"/>
  <c r="BO397" i="43"/>
  <c r="BU397" i="43"/>
  <c r="BO398" i="43"/>
  <c r="BU398" i="43"/>
  <c r="BO399" i="43"/>
  <c r="BU399" i="43"/>
  <c r="BO400" i="43"/>
  <c r="BU400" i="43"/>
  <c r="BO401" i="43"/>
  <c r="BU401" i="43"/>
  <c r="BO402" i="43"/>
  <c r="BU402" i="43"/>
  <c r="BO403" i="43"/>
  <c r="BU403" i="43"/>
  <c r="BO404" i="43"/>
  <c r="BU404" i="43"/>
  <c r="BO405" i="43"/>
  <c r="BU405" i="43"/>
  <c r="BO406" i="43"/>
  <c r="BU406" i="43"/>
  <c r="BO407" i="43"/>
  <c r="BU407" i="43"/>
  <c r="BO408" i="43"/>
  <c r="BU408" i="43"/>
  <c r="BO409" i="43"/>
  <c r="BU409" i="43"/>
  <c r="BO410" i="43"/>
  <c r="BU410" i="43"/>
  <c r="BO411" i="43"/>
  <c r="BU411" i="43"/>
  <c r="BO412" i="43"/>
  <c r="BU412" i="43"/>
  <c r="BO413" i="43"/>
  <c r="BU413" i="43"/>
  <c r="BO414" i="43"/>
  <c r="BU414" i="43"/>
  <c r="BO415" i="43"/>
  <c r="BU415" i="43"/>
  <c r="BO416" i="43"/>
  <c r="BU416" i="43"/>
  <c r="BO417" i="43"/>
  <c r="BU417" i="43"/>
  <c r="BO418" i="43"/>
  <c r="BU418" i="43"/>
  <c r="BO419" i="43"/>
  <c r="BU419" i="43"/>
  <c r="BO420" i="43"/>
  <c r="BU420" i="43"/>
  <c r="BO421" i="43"/>
  <c r="BU421" i="43"/>
  <c r="BO422" i="43"/>
  <c r="BU422" i="43"/>
  <c r="BO423" i="43"/>
  <c r="BU423" i="43"/>
  <c r="BO424" i="43"/>
  <c r="BU424" i="43"/>
  <c r="BO425" i="43"/>
  <c r="BU425" i="43"/>
  <c r="BO426" i="43"/>
  <c r="BU426" i="43"/>
  <c r="BO427" i="43"/>
  <c r="BU427" i="43"/>
  <c r="BO428" i="43"/>
  <c r="BU428" i="43"/>
  <c r="BO429" i="43"/>
  <c r="BU429" i="43"/>
  <c r="BO430" i="43"/>
  <c r="BU430" i="43"/>
  <c r="BO431" i="43"/>
  <c r="BU431" i="43"/>
  <c r="BO432" i="43"/>
  <c r="BU432" i="43"/>
  <c r="BO433" i="43"/>
  <c r="BU433" i="43"/>
  <c r="BO434" i="43"/>
  <c r="BU434" i="43"/>
  <c r="BO435" i="43"/>
  <c r="BU435" i="43"/>
  <c r="BO436" i="43"/>
  <c r="BU436" i="43"/>
  <c r="BO437" i="43"/>
  <c r="BU437" i="43"/>
  <c r="BO438" i="43"/>
  <c r="BU438" i="43"/>
  <c r="BO439" i="43"/>
  <c r="BU439" i="43"/>
  <c r="BO440" i="43"/>
  <c r="BU440" i="43"/>
  <c r="BO441" i="43"/>
  <c r="BU441" i="43"/>
  <c r="BO442" i="43"/>
  <c r="BU442" i="43"/>
  <c r="BO443" i="43"/>
  <c r="BU443" i="43"/>
  <c r="BO444" i="43"/>
  <c r="BU444" i="43"/>
  <c r="BO445" i="43"/>
  <c r="BU445" i="43"/>
  <c r="BO446" i="43"/>
  <c r="BU446" i="43"/>
  <c r="BO447" i="43"/>
  <c r="BU447" i="43"/>
  <c r="BO448" i="43"/>
  <c r="BU448" i="43"/>
  <c r="BO449" i="43"/>
  <c r="BU449" i="43"/>
  <c r="BO450" i="43"/>
  <c r="BU450" i="43"/>
  <c r="BO451" i="43"/>
  <c r="BU451" i="43"/>
  <c r="BO452" i="43"/>
  <c r="BU452" i="43"/>
  <c r="BO453" i="43"/>
  <c r="BU453" i="43"/>
  <c r="BO454" i="43"/>
  <c r="BU454" i="43"/>
  <c r="BO455" i="43"/>
  <c r="BU455" i="43"/>
  <c r="BO456" i="43"/>
  <c r="BU456" i="43"/>
  <c r="BO457" i="43"/>
  <c r="BU457" i="43"/>
  <c r="BO458" i="43"/>
  <c r="BU458" i="43"/>
  <c r="BO459" i="43"/>
  <c r="BU459" i="43"/>
  <c r="BO460" i="43"/>
  <c r="BU460" i="43"/>
  <c r="BO461" i="43"/>
  <c r="BU461" i="43"/>
  <c r="BO462" i="43"/>
  <c r="BU462" i="43"/>
  <c r="BO463" i="43"/>
  <c r="BU463" i="43"/>
  <c r="BO464" i="43"/>
  <c r="BU464" i="43"/>
  <c r="BO465" i="43"/>
  <c r="BU465" i="43"/>
  <c r="BO466" i="43"/>
  <c r="BU466" i="43"/>
  <c r="BO467" i="43"/>
  <c r="BU467" i="43"/>
  <c r="BO468" i="43"/>
  <c r="BU468" i="43"/>
  <c r="BO469" i="43"/>
  <c r="BU469" i="43"/>
  <c r="BO470" i="43"/>
  <c r="BU470" i="43"/>
  <c r="BO471" i="43"/>
  <c r="BU471" i="43"/>
  <c r="BO472" i="43"/>
  <c r="BU472" i="43"/>
  <c r="BO473" i="43"/>
  <c r="BU473" i="43"/>
  <c r="BO474" i="43"/>
  <c r="BU474" i="43"/>
  <c r="BO475" i="43"/>
  <c r="BU475" i="43"/>
  <c r="BO476" i="43"/>
  <c r="BU476" i="43"/>
  <c r="BO477" i="43"/>
  <c r="BU477" i="43"/>
  <c r="BO478" i="43"/>
  <c r="BU478" i="43"/>
  <c r="BO479" i="43"/>
  <c r="BU479" i="43"/>
  <c r="BO480" i="43"/>
  <c r="BU480" i="43"/>
  <c r="BO481" i="43"/>
  <c r="BU481" i="43"/>
  <c r="BO482" i="43"/>
  <c r="BU482" i="43"/>
  <c r="BO483" i="43"/>
  <c r="BU483" i="43"/>
  <c r="BO484" i="43"/>
  <c r="BU484" i="43"/>
  <c r="BO485" i="43"/>
  <c r="BU485" i="43"/>
  <c r="BO486" i="43"/>
  <c r="BU486" i="43"/>
  <c r="BO487" i="43"/>
  <c r="BU487" i="43"/>
  <c r="BO488" i="43"/>
  <c r="BU488" i="43"/>
  <c r="BU218" i="43"/>
  <c r="BV237" i="43"/>
  <c r="BU250" i="43"/>
  <c r="BP223" i="43"/>
  <c r="BV223" i="43"/>
  <c r="BP224" i="43"/>
  <c r="BV224" i="43"/>
  <c r="BP225" i="43"/>
  <c r="BV225" i="43"/>
  <c r="BP226" i="43"/>
  <c r="BV226" i="43"/>
  <c r="BP227" i="43"/>
  <c r="BV227" i="43"/>
  <c r="BP228" i="43"/>
  <c r="BV228" i="43"/>
  <c r="BP230" i="43"/>
  <c r="BV230" i="43"/>
  <c r="BP231" i="43"/>
  <c r="BV231" i="43"/>
  <c r="BP232" i="43"/>
  <c r="BV232" i="43"/>
  <c r="BP233" i="43"/>
  <c r="BV233" i="43"/>
  <c r="BP234" i="43"/>
  <c r="BV234" i="43"/>
  <c r="BP235" i="43"/>
  <c r="BV235" i="43"/>
  <c r="BP236" i="43"/>
  <c r="BV236" i="43"/>
  <c r="BP238" i="43"/>
  <c r="BV238" i="43"/>
  <c r="BP239" i="43"/>
  <c r="BV239" i="43"/>
  <c r="BP240" i="43"/>
  <c r="BV240" i="43"/>
  <c r="BP241" i="43"/>
  <c r="BV241" i="43"/>
  <c r="BP242" i="43"/>
  <c r="BV242" i="43"/>
  <c r="BP243" i="43"/>
  <c r="BV243" i="43"/>
  <c r="BP244" i="43"/>
  <c r="BV244" i="43"/>
  <c r="BP246" i="43"/>
  <c r="BV246" i="43"/>
  <c r="BP247" i="43"/>
  <c r="BV247" i="43"/>
  <c r="BP248" i="43"/>
  <c r="BV248" i="43"/>
  <c r="BP249" i="43"/>
  <c r="BV249" i="43"/>
  <c r="BP250" i="43"/>
  <c r="BV250" i="43"/>
  <c r="BP251" i="43"/>
  <c r="BV251" i="43"/>
  <c r="BP252" i="43"/>
  <c r="BV252" i="43"/>
  <c r="BP254" i="43"/>
  <c r="BV254" i="43"/>
  <c r="BP255" i="43"/>
  <c r="BV255" i="43"/>
  <c r="BP256" i="43"/>
  <c r="BV256" i="43"/>
  <c r="BP257" i="43"/>
  <c r="BV257" i="43"/>
  <c r="BP258" i="43"/>
  <c r="BV258" i="43"/>
  <c r="BP259" i="43"/>
  <c r="BV259" i="43"/>
  <c r="BP260" i="43"/>
  <c r="BV260" i="43"/>
  <c r="BP261" i="43"/>
  <c r="BV261" i="43"/>
  <c r="BP262" i="43"/>
  <c r="BV262" i="43"/>
  <c r="BP264" i="43"/>
  <c r="BV264" i="43"/>
  <c r="BP265" i="43"/>
  <c r="BV265" i="43"/>
  <c r="BP266" i="43"/>
  <c r="BV266" i="43"/>
  <c r="BP267" i="43"/>
  <c r="BV267" i="43"/>
  <c r="BP268" i="43"/>
  <c r="BV268" i="43"/>
  <c r="BP269" i="43"/>
  <c r="BV269" i="43"/>
  <c r="BP270" i="43"/>
  <c r="BV270" i="43"/>
  <c r="BP271" i="43"/>
  <c r="BV271" i="43"/>
  <c r="BP272" i="43"/>
  <c r="BV272" i="43"/>
  <c r="BP273" i="43"/>
  <c r="BV273" i="43"/>
  <c r="BP274" i="43"/>
  <c r="BV274" i="43"/>
  <c r="BP275" i="43"/>
  <c r="BV275" i="43"/>
  <c r="BP276" i="43"/>
  <c r="BV276" i="43"/>
  <c r="BP277" i="43"/>
  <c r="BV277" i="43"/>
  <c r="BP278" i="43"/>
  <c r="BV278" i="43"/>
  <c r="BP279" i="43"/>
  <c r="BV279" i="43"/>
  <c r="BP280" i="43"/>
  <c r="BV280" i="43"/>
  <c r="BP281" i="43"/>
  <c r="BV281" i="43"/>
  <c r="BP282" i="43"/>
  <c r="BV282" i="43"/>
  <c r="BP283" i="43"/>
  <c r="BV283" i="43"/>
  <c r="BP284" i="43"/>
  <c r="BV284" i="43"/>
  <c r="BP285" i="43"/>
  <c r="BV285" i="43"/>
  <c r="BP286" i="43"/>
  <c r="BV286" i="43"/>
  <c r="BP287" i="43"/>
  <c r="BV287" i="43"/>
  <c r="BP288" i="43"/>
  <c r="BV288" i="43"/>
  <c r="BP289" i="43"/>
  <c r="BV289" i="43"/>
  <c r="BP290" i="43"/>
  <c r="BV290" i="43"/>
  <c r="BP291" i="43"/>
  <c r="BV291" i="43"/>
  <c r="BP292" i="43"/>
  <c r="BV292" i="43"/>
  <c r="BP293" i="43"/>
  <c r="BV293" i="43"/>
  <c r="BP294" i="43"/>
  <c r="BV294" i="43"/>
  <c r="BP295" i="43"/>
  <c r="BV295" i="43"/>
  <c r="BP296" i="43"/>
  <c r="BV296" i="43"/>
  <c r="BP297" i="43"/>
  <c r="BV297" i="43"/>
  <c r="BP298" i="43"/>
  <c r="BV298" i="43"/>
  <c r="BP299" i="43"/>
  <c r="BV299" i="43"/>
  <c r="BP300" i="43"/>
  <c r="BV300" i="43"/>
  <c r="BP301" i="43"/>
  <c r="BV301" i="43"/>
  <c r="BP302" i="43"/>
  <c r="BV302" i="43"/>
  <c r="BP303" i="43"/>
  <c r="BV303" i="43"/>
  <c r="BP304" i="43"/>
  <c r="BV304" i="43"/>
  <c r="BP305" i="43"/>
  <c r="BV305" i="43"/>
  <c r="BP306" i="43"/>
  <c r="BV306" i="43"/>
  <c r="BP307" i="43"/>
  <c r="BV307" i="43"/>
  <c r="BP308" i="43"/>
  <c r="BV308" i="43"/>
  <c r="BP309" i="43"/>
  <c r="BV309" i="43"/>
  <c r="BP310" i="43"/>
  <c r="BV310" i="43"/>
  <c r="BP311" i="43"/>
  <c r="BV311" i="43"/>
  <c r="BP312" i="43"/>
  <c r="BV312" i="43"/>
  <c r="BP313" i="43"/>
  <c r="BV313" i="43"/>
  <c r="BP314" i="43"/>
  <c r="BV314" i="43"/>
  <c r="BP315" i="43"/>
  <c r="BV315" i="43"/>
  <c r="BP316" i="43"/>
  <c r="BV316" i="43"/>
  <c r="BP317" i="43"/>
  <c r="BV317" i="43"/>
  <c r="BP318" i="43"/>
  <c r="BV318" i="43"/>
  <c r="BP319" i="43"/>
  <c r="BV319" i="43"/>
  <c r="BP320" i="43"/>
  <c r="BV320" i="43"/>
  <c r="BP321" i="43"/>
  <c r="BV321" i="43"/>
  <c r="BP322" i="43"/>
  <c r="BV322" i="43"/>
  <c r="BP323" i="43"/>
  <c r="BV323" i="43"/>
  <c r="BP324" i="43"/>
  <c r="BV324" i="43"/>
  <c r="BP325" i="43"/>
  <c r="BV325" i="43"/>
  <c r="BP326" i="43"/>
  <c r="BV326" i="43"/>
  <c r="BP327" i="43"/>
  <c r="BV327" i="43"/>
  <c r="BP328" i="43"/>
  <c r="BV328" i="43"/>
  <c r="BP329" i="43"/>
  <c r="BV329" i="43"/>
  <c r="BP330" i="43"/>
  <c r="BV330" i="43"/>
  <c r="BP331" i="43"/>
  <c r="BV331" i="43"/>
  <c r="BP332" i="43"/>
  <c r="BV332" i="43"/>
  <c r="BP333" i="43"/>
  <c r="BV333" i="43"/>
  <c r="BP334" i="43"/>
  <c r="BV334" i="43"/>
  <c r="BP335" i="43"/>
  <c r="BV335" i="43"/>
  <c r="BP336" i="43"/>
  <c r="BV336" i="43"/>
  <c r="BP337" i="43"/>
  <c r="BV337" i="43"/>
  <c r="BP338" i="43"/>
  <c r="BV338" i="43"/>
  <c r="BP339" i="43"/>
  <c r="BV339" i="43"/>
  <c r="BP340" i="43"/>
  <c r="BV340" i="43"/>
  <c r="BP341" i="43"/>
  <c r="BV341" i="43"/>
  <c r="BP342" i="43"/>
  <c r="BV342" i="43"/>
  <c r="BP343" i="43"/>
  <c r="BV343" i="43"/>
  <c r="BP344" i="43"/>
  <c r="BV344" i="43"/>
  <c r="BP345" i="43"/>
  <c r="BV345" i="43"/>
  <c r="BP346" i="43"/>
  <c r="BV346" i="43"/>
  <c r="BP347" i="43"/>
  <c r="BV347" i="43"/>
  <c r="BP348" i="43"/>
  <c r="BV348" i="43"/>
  <c r="BP349" i="43"/>
  <c r="BV349" i="43"/>
  <c r="BP350" i="43"/>
  <c r="BV350" i="43"/>
  <c r="BP351" i="43"/>
  <c r="BV351" i="43"/>
  <c r="BP352" i="43"/>
  <c r="BV352" i="43"/>
  <c r="BP353" i="43"/>
  <c r="BV353" i="43"/>
  <c r="BP354" i="43"/>
  <c r="BV354" i="43"/>
  <c r="BP355" i="43"/>
  <c r="BV355" i="43"/>
  <c r="BP356" i="43"/>
  <c r="BV356" i="43"/>
  <c r="BP357" i="43"/>
  <c r="BV357" i="43"/>
  <c r="BP358" i="43"/>
  <c r="BV358" i="43"/>
  <c r="BP359" i="43"/>
  <c r="BV359" i="43"/>
  <c r="BP360" i="43"/>
  <c r="BV360" i="43"/>
  <c r="BP361" i="43"/>
  <c r="BV361" i="43"/>
  <c r="BP362" i="43"/>
  <c r="BV362" i="43"/>
  <c r="BP363" i="43"/>
  <c r="BV363" i="43"/>
  <c r="BP364" i="43"/>
  <c r="BV364" i="43"/>
  <c r="BP365" i="43"/>
  <c r="BV365" i="43"/>
  <c r="BP366" i="43"/>
  <c r="BV366" i="43"/>
  <c r="BP367" i="43"/>
  <c r="BV367" i="43"/>
  <c r="BP368" i="43"/>
  <c r="BV368" i="43"/>
  <c r="BP369" i="43"/>
  <c r="BV369" i="43"/>
  <c r="BP370" i="43"/>
  <c r="BV370" i="43"/>
  <c r="BP371" i="43"/>
  <c r="BV371" i="43"/>
  <c r="BP372" i="43"/>
  <c r="BV372" i="43"/>
  <c r="BP373" i="43"/>
  <c r="BV373" i="43"/>
  <c r="BP374" i="43"/>
  <c r="BV374" i="43"/>
  <c r="BP375" i="43"/>
  <c r="BV375" i="43"/>
  <c r="BP376" i="43"/>
  <c r="BV376" i="43"/>
  <c r="BP377" i="43"/>
  <c r="BV377" i="43"/>
  <c r="BP378" i="43"/>
  <c r="BV378" i="43"/>
  <c r="BP379" i="43"/>
  <c r="BV379" i="43"/>
  <c r="BP380" i="43"/>
  <c r="BV380" i="43"/>
  <c r="BP381" i="43"/>
  <c r="BV381" i="43"/>
  <c r="BP382" i="43"/>
  <c r="BV382" i="43"/>
  <c r="BP383" i="43"/>
  <c r="BV383" i="43"/>
  <c r="BP384" i="43"/>
  <c r="BV384" i="43"/>
  <c r="BP385" i="43"/>
  <c r="BV385" i="43"/>
  <c r="BP386" i="43"/>
  <c r="BV386" i="43"/>
  <c r="BP387" i="43"/>
  <c r="BV387" i="43"/>
  <c r="BP388" i="43"/>
  <c r="BV388" i="43"/>
  <c r="BP389" i="43"/>
  <c r="BV389" i="43"/>
  <c r="BP390" i="43"/>
  <c r="BV390" i="43"/>
  <c r="BP391" i="43"/>
  <c r="BV391" i="43"/>
  <c r="BP392" i="43"/>
  <c r="BV392" i="43"/>
  <c r="BP393" i="43"/>
  <c r="BV393" i="43"/>
  <c r="BP394" i="43"/>
  <c r="BV394" i="43"/>
  <c r="BP395" i="43"/>
  <c r="BV395" i="43"/>
  <c r="BP396" i="43"/>
  <c r="BV396" i="43"/>
  <c r="BP397" i="43"/>
  <c r="BV397" i="43"/>
  <c r="BP398" i="43"/>
  <c r="BV398" i="43"/>
  <c r="BP399" i="43"/>
  <c r="BV399" i="43"/>
  <c r="BP400" i="43"/>
  <c r="BV400" i="43"/>
  <c r="BP401" i="43"/>
  <c r="BV401" i="43"/>
  <c r="BP402" i="43"/>
  <c r="BV402" i="43"/>
  <c r="BP403" i="43"/>
  <c r="BV403" i="43"/>
  <c r="BP404" i="43"/>
  <c r="BV404" i="43"/>
  <c r="BP405" i="43"/>
  <c r="BV405" i="43"/>
  <c r="BP406" i="43"/>
  <c r="BV406" i="43"/>
  <c r="BP407" i="43"/>
  <c r="BV407" i="43"/>
  <c r="BP408" i="43"/>
  <c r="BV408" i="43"/>
  <c r="BP409" i="43"/>
  <c r="BV409" i="43"/>
  <c r="BP410" i="43"/>
  <c r="BV410" i="43"/>
  <c r="BP411" i="43"/>
  <c r="BV411" i="43"/>
  <c r="BP412" i="43"/>
  <c r="BV412" i="43"/>
  <c r="BP413" i="43"/>
  <c r="BV413" i="43"/>
  <c r="BP414" i="43"/>
  <c r="BV414" i="43"/>
  <c r="BP415" i="43"/>
  <c r="BV415" i="43"/>
  <c r="BP416" i="43"/>
  <c r="BV416" i="43"/>
  <c r="BP417" i="43"/>
  <c r="BV417" i="43"/>
  <c r="BP418" i="43"/>
  <c r="BV418" i="43"/>
  <c r="BP419" i="43"/>
  <c r="BV419" i="43"/>
  <c r="BP420" i="43"/>
  <c r="BV420" i="43"/>
  <c r="BP421" i="43"/>
  <c r="BV421" i="43"/>
  <c r="BP422" i="43"/>
  <c r="BV422" i="43"/>
  <c r="BP423" i="43"/>
  <c r="BV423" i="43"/>
  <c r="BP424" i="43"/>
  <c r="BV424" i="43"/>
  <c r="BP425" i="43"/>
  <c r="BV425" i="43"/>
  <c r="BP426" i="43"/>
  <c r="BV426" i="43"/>
  <c r="BP427" i="43"/>
  <c r="BV427" i="43"/>
  <c r="BP428" i="43"/>
  <c r="BV428" i="43"/>
  <c r="BP429" i="43"/>
  <c r="BV429" i="43"/>
  <c r="BP430" i="43"/>
  <c r="BV430" i="43"/>
  <c r="BP431" i="43"/>
  <c r="BV431" i="43"/>
  <c r="BP432" i="43"/>
  <c r="BV432" i="43"/>
  <c r="BP433" i="43"/>
  <c r="BV433" i="43"/>
  <c r="BP434" i="43"/>
  <c r="BV434" i="43"/>
  <c r="BP435" i="43"/>
  <c r="BV435" i="43"/>
  <c r="BP436" i="43"/>
  <c r="BV436" i="43"/>
  <c r="BP437" i="43"/>
  <c r="BV437" i="43"/>
  <c r="BP438" i="43"/>
  <c r="BV438" i="43"/>
  <c r="BP439" i="43"/>
  <c r="BV439" i="43"/>
  <c r="BP440" i="43"/>
  <c r="BV440" i="43"/>
  <c r="BP441" i="43"/>
  <c r="BV441" i="43"/>
  <c r="BP442" i="43"/>
  <c r="BV442" i="43"/>
  <c r="BP443" i="43"/>
  <c r="BV443" i="43"/>
  <c r="BP444" i="43"/>
  <c r="BV444" i="43"/>
  <c r="BP445" i="43"/>
  <c r="BV445" i="43"/>
  <c r="BP446" i="43"/>
  <c r="BV446" i="43"/>
  <c r="BP447" i="43"/>
  <c r="BV447" i="43"/>
  <c r="BP448" i="43"/>
  <c r="BV448" i="43"/>
  <c r="BP449" i="43"/>
  <c r="BV449" i="43"/>
  <c r="BP450" i="43"/>
  <c r="BV450" i="43"/>
  <c r="BP451" i="43"/>
  <c r="BV451" i="43"/>
  <c r="BP452" i="43"/>
  <c r="BV452" i="43"/>
  <c r="BP453" i="43"/>
  <c r="BV453" i="43"/>
  <c r="BP454" i="43"/>
  <c r="BV454" i="43"/>
  <c r="BP455" i="43"/>
  <c r="BV455" i="43"/>
  <c r="BP456" i="43"/>
  <c r="BV456" i="43"/>
  <c r="BP457" i="43"/>
  <c r="BV457" i="43"/>
  <c r="BP458" i="43"/>
  <c r="BV458" i="43"/>
  <c r="BP459" i="43"/>
  <c r="BV459" i="43"/>
  <c r="BP460" i="43"/>
  <c r="BV460" i="43"/>
  <c r="BP461" i="43"/>
  <c r="BV461" i="43"/>
  <c r="BP462" i="43"/>
  <c r="BV462" i="43"/>
  <c r="BP463" i="43"/>
  <c r="BV463" i="43"/>
  <c r="BP464" i="43"/>
  <c r="BV464" i="43"/>
  <c r="BP465" i="43"/>
  <c r="BV465" i="43"/>
  <c r="BP466" i="43"/>
  <c r="BV466" i="43"/>
  <c r="BP467" i="43"/>
  <c r="BV467" i="43"/>
  <c r="BP468" i="43"/>
  <c r="BV468" i="43"/>
  <c r="BP469" i="43"/>
  <c r="BV469" i="43"/>
  <c r="BP470" i="43"/>
  <c r="BV470" i="43"/>
  <c r="BP471" i="43"/>
  <c r="BV471" i="43"/>
  <c r="BP472" i="43"/>
  <c r="BV472" i="43"/>
  <c r="BP473" i="43"/>
  <c r="BV473" i="43"/>
  <c r="BP474" i="43"/>
  <c r="BV474" i="43"/>
  <c r="BP475" i="43"/>
  <c r="BV475" i="43"/>
  <c r="BP476" i="43"/>
  <c r="BV476" i="43"/>
  <c r="BP477" i="43"/>
  <c r="BV477" i="43"/>
  <c r="BP478" i="43"/>
  <c r="BV478" i="43"/>
  <c r="BP479" i="43"/>
  <c r="BV479" i="43"/>
  <c r="BP480" i="43"/>
  <c r="BV480" i="43"/>
  <c r="BP481" i="43"/>
  <c r="BV481" i="43"/>
  <c r="BP482" i="43"/>
  <c r="BV482" i="43"/>
  <c r="BP483" i="43"/>
  <c r="BV483" i="43"/>
  <c r="BP484" i="43"/>
  <c r="BV484" i="43"/>
  <c r="BP485" i="43"/>
  <c r="BV485" i="43"/>
  <c r="BP486" i="43"/>
  <c r="BV486" i="43"/>
  <c r="BP487" i="43"/>
  <c r="BV487" i="43"/>
  <c r="BP488" i="43"/>
  <c r="BV488" i="43"/>
  <c r="BU226" i="43"/>
  <c r="BV245" i="43"/>
  <c r="BU259" i="43"/>
  <c r="BU282" i="43"/>
  <c r="BU358" i="43"/>
  <c r="BU202" i="43"/>
  <c r="BU234" i="43"/>
  <c r="BV253" i="43"/>
  <c r="BV263" i="43"/>
  <c r="BK369" i="43"/>
  <c r="BY5" i="43"/>
  <c r="BV5" i="43"/>
  <c r="BU5" i="43"/>
  <c r="BK7" i="43"/>
  <c r="BK11" i="43"/>
  <c r="BK15" i="43"/>
  <c r="BK19" i="43"/>
  <c r="BK23" i="43"/>
  <c r="BK27" i="43"/>
  <c r="BK31" i="43"/>
  <c r="BK35" i="43"/>
  <c r="BK39" i="43"/>
  <c r="BK43" i="43"/>
  <c r="BK47" i="43"/>
  <c r="BK51" i="43"/>
  <c r="BK55" i="43"/>
  <c r="BK59" i="43"/>
  <c r="BK63" i="43"/>
  <c r="BK67" i="43"/>
  <c r="BK71" i="43"/>
  <c r="BK75" i="43"/>
  <c r="BK79" i="43"/>
  <c r="BK83" i="43"/>
  <c r="BK87" i="43"/>
  <c r="BK91" i="43"/>
  <c r="BK95" i="43"/>
  <c r="BK99" i="43"/>
  <c r="BK103" i="43"/>
  <c r="BK107" i="43"/>
  <c r="BK111" i="43"/>
  <c r="BK115" i="43"/>
  <c r="BK119" i="43"/>
  <c r="BK123" i="43"/>
  <c r="BK127" i="43"/>
  <c r="BK131" i="43"/>
  <c r="BK135" i="43"/>
  <c r="BK139" i="43"/>
  <c r="BK143" i="43"/>
  <c r="BK147" i="43"/>
  <c r="BK153" i="43"/>
  <c r="BK161" i="43"/>
  <c r="BK169" i="43"/>
  <c r="BK177" i="43"/>
  <c r="BK185" i="43"/>
  <c r="BK193" i="43"/>
  <c r="BK201" i="43"/>
  <c r="BK209" i="43"/>
  <c r="BK217" i="43"/>
  <c r="BK225" i="43"/>
  <c r="BK233" i="43"/>
  <c r="BK241" i="43"/>
  <c r="BK249" i="43"/>
  <c r="BK257" i="43"/>
  <c r="BK265" i="43"/>
  <c r="BK273" i="43"/>
  <c r="BK281" i="43"/>
  <c r="BK289" i="43"/>
  <c r="BK297" i="43"/>
  <c r="BK305" i="43"/>
  <c r="BK313" i="43"/>
  <c r="BK321" i="43"/>
  <c r="BK329" i="43"/>
  <c r="BK337" i="43"/>
  <c r="BK345" i="43"/>
  <c r="BK353" i="43"/>
  <c r="BK361" i="43"/>
  <c r="BK377" i="43"/>
  <c r="BK385" i="43"/>
  <c r="BK393" i="43"/>
  <c r="BK401" i="43"/>
  <c r="BK409" i="43"/>
  <c r="BK417" i="43"/>
  <c r="BK425" i="43"/>
  <c r="BK433" i="43"/>
  <c r="BK441" i="43"/>
  <c r="BK449" i="43"/>
  <c r="BK453" i="43"/>
  <c r="BK454" i="43"/>
  <c r="BK457" i="43"/>
  <c r="BK458" i="43"/>
  <c r="BK461" i="43"/>
  <c r="BK462" i="43"/>
  <c r="BK465" i="43"/>
  <c r="BK466" i="43"/>
  <c r="BK469" i="43"/>
  <c r="BK470" i="43"/>
  <c r="BK473" i="43"/>
  <c r="BK474" i="43"/>
  <c r="BK477" i="43"/>
  <c r="BK478" i="43"/>
  <c r="BK481" i="43"/>
  <c r="BK482" i="43"/>
  <c r="BK485" i="43"/>
  <c r="BK486" i="43"/>
  <c r="BK6" i="43"/>
  <c r="BK21" i="43"/>
  <c r="BK22" i="43"/>
  <c r="BK24" i="43"/>
  <c r="BK29" i="43"/>
  <c r="BK30" i="43"/>
  <c r="BK32" i="43"/>
  <c r="BK41" i="43"/>
  <c r="BK42" i="43"/>
  <c r="BK44" i="43"/>
  <c r="BK48" i="43"/>
  <c r="BK49" i="43"/>
  <c r="BK50" i="43"/>
  <c r="BK52" i="43"/>
  <c r="BK53" i="43"/>
  <c r="BK54" i="43"/>
  <c r="BK56" i="43"/>
  <c r="BK57" i="43"/>
  <c r="BK58" i="43"/>
  <c r="BK60" i="43"/>
  <c r="BK65" i="43"/>
  <c r="BK66" i="43"/>
  <c r="BK68" i="43"/>
  <c r="BK77" i="43"/>
  <c r="BK78" i="43"/>
  <c r="BK80" i="43"/>
  <c r="BK105" i="43"/>
  <c r="BK108" i="43"/>
  <c r="BK109" i="43"/>
  <c r="BK110" i="43"/>
  <c r="BK112" i="43"/>
  <c r="BK113" i="43"/>
  <c r="BK114" i="43"/>
  <c r="BK116" i="43"/>
  <c r="BK121" i="43"/>
  <c r="BK122" i="43"/>
  <c r="BK124" i="43"/>
  <c r="BK133" i="43"/>
  <c r="BK134" i="43"/>
  <c r="BK149" i="43"/>
  <c r="BK150" i="43"/>
  <c r="BK151" i="43"/>
  <c r="BK152" i="43"/>
  <c r="BK154" i="43"/>
  <c r="BK155" i="43"/>
  <c r="BK156" i="43"/>
  <c r="BK158" i="43"/>
  <c r="BK159" i="43"/>
  <c r="BK160" i="43"/>
  <c r="BK162" i="43"/>
  <c r="BK164" i="43"/>
  <c r="BK166" i="43"/>
  <c r="BK171" i="43"/>
  <c r="BK173" i="43"/>
  <c r="BK174" i="43"/>
  <c r="BK175" i="43"/>
  <c r="BK176" i="43"/>
  <c r="BK178" i="43"/>
  <c r="BK181" i="43"/>
  <c r="BK187" i="43"/>
  <c r="BK189" i="43"/>
  <c r="BK195" i="43"/>
  <c r="BK197" i="43"/>
  <c r="BK203" i="43"/>
  <c r="BK204" i="43"/>
  <c r="BK206" i="43"/>
  <c r="BK207" i="43"/>
  <c r="BK208" i="43"/>
  <c r="BK210" i="43"/>
  <c r="BK212" i="43"/>
  <c r="BK214" i="43"/>
  <c r="BK219" i="43"/>
  <c r="BK220" i="43"/>
  <c r="BK222" i="43"/>
  <c r="BK223" i="43"/>
  <c r="BK224" i="43"/>
  <c r="BK226" i="43"/>
  <c r="BK228" i="43"/>
  <c r="BK230" i="43"/>
  <c r="BK231" i="43"/>
  <c r="BK232" i="43"/>
  <c r="BK234" i="43"/>
  <c r="BK236" i="43"/>
  <c r="BK237" i="43"/>
  <c r="BK239" i="43"/>
  <c r="BK240" i="43"/>
  <c r="BK242" i="43"/>
  <c r="BK243" i="43"/>
  <c r="BK245" i="43"/>
  <c r="BK247" i="43"/>
  <c r="BK248" i="43"/>
  <c r="BK250" i="43"/>
  <c r="BK252" i="43"/>
  <c r="BK254" i="43"/>
  <c r="BK255" i="43"/>
  <c r="BK256" i="43"/>
  <c r="BK258" i="43"/>
  <c r="BK260" i="43"/>
  <c r="BK263" i="43"/>
  <c r="BK264" i="43"/>
  <c r="BK266" i="43"/>
  <c r="BK268" i="43"/>
  <c r="BK275" i="43"/>
  <c r="BK276" i="43"/>
  <c r="BK278" i="43"/>
  <c r="BK279" i="43"/>
  <c r="BK280" i="43"/>
  <c r="BK283" i="43"/>
  <c r="BK285" i="43"/>
  <c r="BK291" i="43"/>
  <c r="BK293" i="43"/>
  <c r="BK295" i="43"/>
  <c r="BK296" i="43"/>
  <c r="BK298" i="43"/>
  <c r="BK300" i="43"/>
  <c r="BK302" i="43"/>
  <c r="BK303" i="43"/>
  <c r="BK304" i="43"/>
  <c r="BK306" i="43"/>
  <c r="BK308" i="43"/>
  <c r="BK310" i="43"/>
  <c r="BK311" i="43"/>
  <c r="BK312" i="43"/>
  <c r="BK314" i="43"/>
  <c r="BK316" i="43"/>
  <c r="BK323" i="43"/>
  <c r="BK325" i="43"/>
  <c r="BK332" i="43"/>
  <c r="BK334" i="43"/>
  <c r="BK339" i="43"/>
  <c r="BK340" i="43"/>
  <c r="BK342" i="43"/>
  <c r="BK343" i="43"/>
  <c r="BK344" i="43"/>
  <c r="BK346" i="43"/>
  <c r="BK349" i="43"/>
  <c r="BK356" i="43"/>
  <c r="BK358" i="43"/>
  <c r="BK363" i="43"/>
  <c r="BK365" i="43"/>
  <c r="BK371" i="43"/>
  <c r="BK372" i="43"/>
  <c r="BK374" i="43"/>
  <c r="BK375" i="43"/>
  <c r="BK376" i="43"/>
  <c r="BK378" i="43"/>
  <c r="BK381" i="43"/>
  <c r="BK383" i="43"/>
  <c r="BK384" i="43"/>
  <c r="BK386" i="43"/>
  <c r="BK388" i="43"/>
  <c r="BK389" i="43"/>
  <c r="BK391" i="43"/>
  <c r="BK392" i="43"/>
  <c r="BK395" i="43"/>
  <c r="BK397" i="43"/>
  <c r="BK399" i="43"/>
  <c r="BK400" i="43"/>
  <c r="BK402" i="43"/>
  <c r="BK404" i="43"/>
  <c r="BK406" i="43"/>
  <c r="BK407" i="43"/>
  <c r="BK408" i="43"/>
  <c r="BK410" i="43"/>
  <c r="BK412" i="43"/>
  <c r="BK414" i="43"/>
  <c r="BK415" i="43"/>
  <c r="BK416" i="43"/>
  <c r="BK418" i="43"/>
  <c r="BK420" i="43"/>
  <c r="BK422" i="43"/>
  <c r="BK427" i="43"/>
  <c r="BK430" i="43"/>
  <c r="BK436" i="43"/>
  <c r="BK442" i="43"/>
  <c r="BK443" i="43"/>
  <c r="BK445" i="43"/>
  <c r="BK446" i="43"/>
  <c r="BK447" i="43"/>
  <c r="BK448" i="43"/>
  <c r="BK450" i="43"/>
  <c r="BK8" i="43"/>
  <c r="BK9" i="43"/>
  <c r="BK10" i="43"/>
  <c r="BK12" i="43"/>
  <c r="BK13" i="43"/>
  <c r="BK14" i="43"/>
  <c r="BK16" i="43"/>
  <c r="BK17" i="43"/>
  <c r="BK18" i="43"/>
  <c r="BK20" i="43"/>
  <c r="BK25" i="43"/>
  <c r="BK26" i="43"/>
  <c r="BK28" i="43"/>
  <c r="BK33" i="43"/>
  <c r="BK34" i="43"/>
  <c r="BK36" i="43"/>
  <c r="BK37" i="43"/>
  <c r="BK38" i="43"/>
  <c r="BK40" i="43"/>
  <c r="BK45" i="43"/>
  <c r="BK46" i="43"/>
  <c r="BK61" i="43"/>
  <c r="BK62" i="43"/>
  <c r="BK64" i="43"/>
  <c r="BK69" i="43"/>
  <c r="BK70" i="43"/>
  <c r="BK72" i="43"/>
  <c r="BK73" i="43"/>
  <c r="BK74" i="43"/>
  <c r="BK76" i="43"/>
  <c r="BK81" i="43"/>
  <c r="BK82" i="43"/>
  <c r="BK84" i="43"/>
  <c r="BK85" i="43"/>
  <c r="BK86" i="43"/>
  <c r="BK88" i="43"/>
  <c r="BK89" i="43"/>
  <c r="BK90" i="43"/>
  <c r="BK92" i="43"/>
  <c r="BK93" i="43"/>
  <c r="BK94" i="43"/>
  <c r="BK96" i="43"/>
  <c r="BK97" i="43"/>
  <c r="BK98" i="43"/>
  <c r="BK100" i="43"/>
  <c r="BK101" i="43"/>
  <c r="BK102" i="43"/>
  <c r="BK104" i="43"/>
  <c r="BK106" i="43"/>
  <c r="BK117" i="43"/>
  <c r="BK118" i="43"/>
  <c r="BK120" i="43"/>
  <c r="BK125" i="43"/>
  <c r="BK126" i="43"/>
  <c r="BK128" i="43"/>
  <c r="BK129" i="43"/>
  <c r="BK130" i="43"/>
  <c r="BK132" i="43"/>
  <c r="BK136" i="43"/>
  <c r="BK137" i="43"/>
  <c r="BK138" i="43"/>
  <c r="BK140" i="43"/>
  <c r="BK141" i="43"/>
  <c r="BK142" i="43"/>
  <c r="BK144" i="43"/>
  <c r="BK145" i="43"/>
  <c r="BK146" i="43"/>
  <c r="BK148" i="43"/>
  <c r="BK157" i="43"/>
  <c r="BK163" i="43"/>
  <c r="BK165" i="43"/>
  <c r="BK167" i="43"/>
  <c r="BK168" i="43"/>
  <c r="BK170" i="43"/>
  <c r="BK172" i="43"/>
  <c r="BK179" i="43"/>
  <c r="BK180" i="43"/>
  <c r="BK182" i="43"/>
  <c r="BK183" i="43"/>
  <c r="BK184" i="43"/>
  <c r="BK186" i="43"/>
  <c r="BK188" i="43"/>
  <c r="BK190" i="43"/>
  <c r="BK191" i="43"/>
  <c r="BK192" i="43"/>
  <c r="BK194" i="43"/>
  <c r="BK196" i="43"/>
  <c r="BK198" i="43"/>
  <c r="BK199" i="43"/>
  <c r="BK200" i="43"/>
  <c r="BK202" i="43"/>
  <c r="BK205" i="43"/>
  <c r="BK211" i="43"/>
  <c r="BK213" i="43"/>
  <c r="BK215" i="43"/>
  <c r="BK216" i="43"/>
  <c r="BK218" i="43"/>
  <c r="BK221" i="43"/>
  <c r="BK227" i="43"/>
  <c r="BK229" i="43"/>
  <c r="BK235" i="43"/>
  <c r="BK238" i="43"/>
  <c r="BK244" i="43"/>
  <c r="BK246" i="43"/>
  <c r="BK251" i="43"/>
  <c r="BK253" i="43"/>
  <c r="BK259" i="43"/>
  <c r="BK261" i="43"/>
  <c r="BK262" i="43"/>
  <c r="BK267" i="43"/>
  <c r="BK269" i="43"/>
  <c r="BK270" i="43"/>
  <c r="BK271" i="43"/>
  <c r="BK272" i="43"/>
  <c r="BK274" i="43"/>
  <c r="BK277" i="43"/>
  <c r="BK282" i="43"/>
  <c r="BK284" i="43"/>
  <c r="BK286" i="43"/>
  <c r="BK287" i="43"/>
  <c r="BK288" i="43"/>
  <c r="BK290" i="43"/>
  <c r="BK292" i="43"/>
  <c r="BK294" i="43"/>
  <c r="BK299" i="43"/>
  <c r="BK301" i="43"/>
  <c r="BK307" i="43"/>
  <c r="BK309" i="43"/>
  <c r="BK315" i="43"/>
  <c r="BK317" i="43"/>
  <c r="BK318" i="43"/>
  <c r="BK319" i="43"/>
  <c r="BK320" i="43"/>
  <c r="BK322" i="43"/>
  <c r="BK324" i="43"/>
  <c r="BK326" i="43"/>
  <c r="BK327" i="43"/>
  <c r="BK328" i="43"/>
  <c r="BK330" i="43"/>
  <c r="BK331" i="43"/>
  <c r="BK333" i="43"/>
  <c r="BK335" i="43"/>
  <c r="BK336" i="43"/>
  <c r="BK338" i="43"/>
  <c r="BK341" i="43"/>
  <c r="BK347" i="43"/>
  <c r="BK348" i="43"/>
  <c r="BK350" i="43"/>
  <c r="BK351" i="43"/>
  <c r="BK352" i="43"/>
  <c r="BK354" i="43"/>
  <c r="BK355" i="43"/>
  <c r="BK357" i="43"/>
  <c r="BK359" i="43"/>
  <c r="BK360" i="43"/>
  <c r="BK362" i="43"/>
  <c r="BK364" i="43"/>
  <c r="BK366" i="43"/>
  <c r="BK367" i="43"/>
  <c r="BK368" i="43"/>
  <c r="BK370" i="43"/>
  <c r="BK373" i="43"/>
  <c r="BK379" i="43"/>
  <c r="BK380" i="43"/>
  <c r="BK382" i="43"/>
  <c r="BK387" i="43"/>
  <c r="BK390" i="43"/>
  <c r="BK394" i="43"/>
  <c r="BK396" i="43"/>
  <c r="BK398" i="43"/>
  <c r="BK403" i="43"/>
  <c r="BK405" i="43"/>
  <c r="BK411" i="43"/>
  <c r="BK413" i="43"/>
  <c r="BK419" i="43"/>
  <c r="BK421" i="43"/>
  <c r="BK423" i="43"/>
  <c r="BK424" i="43"/>
  <c r="BK426" i="43"/>
  <c r="BK428" i="43"/>
  <c r="BK429" i="43"/>
  <c r="BK431" i="43"/>
  <c r="BK432" i="43"/>
  <c r="BK434" i="43"/>
  <c r="BK435" i="43"/>
  <c r="BK437" i="43"/>
  <c r="BK438" i="43"/>
  <c r="BK439" i="43"/>
  <c r="BK440" i="43"/>
  <c r="BK444" i="43"/>
  <c r="BK451" i="43"/>
  <c r="BK452" i="43"/>
  <c r="BK455" i="43"/>
  <c r="BK456" i="43"/>
  <c r="BK459" i="43"/>
  <c r="BK460" i="43"/>
  <c r="BK463" i="43"/>
  <c r="BK464" i="43"/>
  <c r="BK467" i="43"/>
  <c r="BK468" i="43"/>
  <c r="BK471" i="43"/>
  <c r="BK472" i="43"/>
  <c r="BK475" i="43"/>
  <c r="BK476" i="43"/>
  <c r="BK479" i="43"/>
  <c r="BK480" i="43"/>
  <c r="BK483" i="43"/>
  <c r="BK484" i="43"/>
  <c r="BK487" i="43"/>
  <c r="BK488" i="43"/>
  <c r="BR29" i="43"/>
  <c r="BQ29" i="43" s="1"/>
  <c r="BX166" i="43"/>
  <c r="BW166" i="43" s="1"/>
  <c r="BR323" i="43"/>
  <c r="BQ323" i="43" s="1"/>
  <c r="BX84" i="43"/>
  <c r="BW84" i="43" s="1"/>
  <c r="AL3" i="43"/>
  <c r="AP3" i="43" s="1"/>
  <c r="AX470" i="43" s="1"/>
  <c r="BR11" i="43" l="1"/>
  <c r="BQ11" i="43" s="1"/>
  <c r="AN3" i="43"/>
  <c r="AW470" i="43" s="1"/>
  <c r="AO3" i="43"/>
  <c r="AV470" i="43" s="1"/>
  <c r="AU14" i="43"/>
  <c r="AU4" i="43"/>
  <c r="BA470" i="43" l="1"/>
  <c r="BX467" i="43" s="1"/>
  <c r="BW467" i="43" s="1"/>
  <c r="AZ470" i="43"/>
  <c r="BR467" i="43" s="1"/>
  <c r="BQ467" i="43" s="1"/>
  <c r="BB470" i="43"/>
  <c r="AU26" i="43"/>
  <c r="C140" i="37"/>
  <c r="S15" i="17" l="1"/>
  <c r="S8" i="17"/>
  <c r="K140" i="37" s="1"/>
  <c r="S7" i="17"/>
  <c r="S9" i="17" l="1"/>
  <c r="G140" i="37"/>
  <c r="F5" i="17"/>
  <c r="H103" i="45" l="1"/>
  <c r="I103" i="45" s="1"/>
  <c r="J103" i="45" s="1"/>
  <c r="I118" i="45"/>
  <c r="D117" i="45"/>
  <c r="I117" i="45" s="1"/>
  <c r="D116" i="45"/>
  <c r="I116" i="45" s="1"/>
  <c r="P107" i="45"/>
  <c r="Q107" i="45" s="1"/>
  <c r="I107" i="45"/>
  <c r="J107" i="45" s="1"/>
  <c r="P106" i="45"/>
  <c r="Q106" i="45" s="1"/>
  <c r="I106" i="45"/>
  <c r="J106" i="45" s="1"/>
  <c r="P105" i="45"/>
  <c r="Q105" i="45" s="1"/>
  <c r="I105" i="45"/>
  <c r="J105" i="45" s="1"/>
  <c r="P104" i="45"/>
  <c r="Q104" i="45" s="1"/>
  <c r="I104" i="45"/>
  <c r="J104" i="45" s="1"/>
  <c r="D92" i="45"/>
  <c r="D91" i="45"/>
  <c r="D90" i="45"/>
  <c r="D89" i="45"/>
  <c r="D88" i="45"/>
  <c r="F45" i="45"/>
  <c r="E45" i="45"/>
  <c r="C45" i="45"/>
  <c r="I118" i="44"/>
  <c r="D117" i="44"/>
  <c r="I117" i="44" s="1"/>
  <c r="D116" i="44"/>
  <c r="I116" i="44" s="1"/>
  <c r="P103" i="44"/>
  <c r="Q103" i="44" s="1"/>
  <c r="I103" i="44"/>
  <c r="J103" i="44" s="1"/>
  <c r="P101" i="44"/>
  <c r="Q101" i="44" s="1"/>
  <c r="I101" i="44"/>
  <c r="J101" i="44" s="1"/>
  <c r="D92" i="44"/>
  <c r="D91" i="44"/>
  <c r="D90" i="44"/>
  <c r="D89" i="44"/>
  <c r="D88" i="44"/>
  <c r="F45" i="44"/>
  <c r="E45" i="44"/>
  <c r="C45" i="44"/>
  <c r="T2" i="44"/>
  <c r="P102" i="44" l="1"/>
  <c r="Q102" i="44" s="1"/>
  <c r="I102" i="44"/>
  <c r="J102" i="44" s="1"/>
  <c r="AU8" i="43" l="1"/>
  <c r="AU389" i="43"/>
  <c r="AU385" i="43"/>
  <c r="AU381" i="43"/>
  <c r="AU377" i="43"/>
  <c r="AU373" i="43"/>
  <c r="AU369" i="43"/>
  <c r="AU365" i="43"/>
  <c r="AU361" i="43"/>
  <c r="AU357" i="43"/>
  <c r="AU353" i="43"/>
  <c r="AU349" i="43"/>
  <c r="AU345" i="43"/>
  <c r="AU341" i="43"/>
  <c r="AU337" i="43"/>
  <c r="AU333" i="43"/>
  <c r="AU329" i="43"/>
  <c r="AU325" i="43"/>
  <c r="AU321" i="43"/>
  <c r="AU317" i="43"/>
  <c r="AU313" i="43"/>
  <c r="AU309" i="43"/>
  <c r="AU305" i="43"/>
  <c r="AU301" i="43"/>
  <c r="AU297" i="43"/>
  <c r="AU293" i="43"/>
  <c r="AU289" i="43"/>
  <c r="AU285" i="43"/>
  <c r="AU281" i="43"/>
  <c r="AU277" i="43"/>
  <c r="AU273" i="43"/>
  <c r="AU269" i="43"/>
  <c r="AU265" i="43"/>
  <c r="AU261" i="43"/>
  <c r="AU257" i="43"/>
  <c r="AU253" i="43"/>
  <c r="AU249" i="43"/>
  <c r="AU245" i="43"/>
  <c r="AU241" i="43"/>
  <c r="AU237" i="43"/>
  <c r="AU233" i="43"/>
  <c r="AU229" i="43"/>
  <c r="AU225" i="43"/>
  <c r="AU221" i="43"/>
  <c r="AU217" i="43"/>
  <c r="AU213" i="43"/>
  <c r="AU209" i="43"/>
  <c r="AU205" i="43"/>
  <c r="AU201" i="43"/>
  <c r="AU197" i="43"/>
  <c r="AU193" i="43"/>
  <c r="AU189" i="43"/>
  <c r="AU185" i="43"/>
  <c r="AU181" i="43"/>
  <c r="AU177" i="43"/>
  <c r="AU173" i="43"/>
  <c r="AU169" i="43"/>
  <c r="AU165" i="43"/>
  <c r="AU161" i="43"/>
  <c r="AU157" i="43"/>
  <c r="AU153" i="43"/>
  <c r="AU149" i="43"/>
  <c r="AU145" i="43"/>
  <c r="AU141" i="43"/>
  <c r="AU137" i="43"/>
  <c r="AU133" i="43"/>
  <c r="AU129" i="43"/>
  <c r="AU125" i="43"/>
  <c r="AU121" i="43"/>
  <c r="AU117" i="43"/>
  <c r="AU113" i="43"/>
  <c r="AU109" i="43"/>
  <c r="AU105" i="43"/>
  <c r="AU101" i="43"/>
  <c r="AU97" i="43"/>
  <c r="AU93" i="43"/>
  <c r="AU89" i="43"/>
  <c r="AU85" i="43"/>
  <c r="AU81" i="43"/>
  <c r="AU77" i="43"/>
  <c r="AU73" i="43"/>
  <c r="AU69" i="43"/>
  <c r="AU65" i="43"/>
  <c r="AU61" i="43"/>
  <c r="AU57" i="43"/>
  <c r="AU53" i="43"/>
  <c r="AU49" i="43"/>
  <c r="AU45" i="43"/>
  <c r="AU41" i="43"/>
  <c r="AU37" i="43"/>
  <c r="AU33" i="43"/>
  <c r="AU29" i="43"/>
  <c r="AU25" i="43"/>
  <c r="AU21" i="43"/>
  <c r="AU16" i="43"/>
  <c r="AU12" i="43"/>
  <c r="AU392" i="43"/>
  <c r="A102" i="43"/>
  <c r="A101" i="43"/>
  <c r="A100" i="43"/>
  <c r="A99" i="43"/>
  <c r="A98" i="43"/>
  <c r="A97" i="43"/>
  <c r="A96" i="43"/>
  <c r="A95" i="43"/>
  <c r="A94" i="43"/>
  <c r="A93" i="43"/>
  <c r="A92" i="43"/>
  <c r="A91" i="43"/>
  <c r="A90" i="43"/>
  <c r="A89" i="43"/>
  <c r="A88" i="43"/>
  <c r="A87" i="43"/>
  <c r="A86" i="43"/>
  <c r="A85" i="43"/>
  <c r="A84" i="43"/>
  <c r="A83" i="43"/>
  <c r="A82" i="43"/>
  <c r="A81" i="43"/>
  <c r="A80" i="43"/>
  <c r="A79" i="43"/>
  <c r="A78" i="43"/>
  <c r="A77" i="43"/>
  <c r="A76" i="43"/>
  <c r="A75" i="43"/>
  <c r="A74" i="43"/>
  <c r="A73" i="43"/>
  <c r="A72" i="43"/>
  <c r="A71" i="43"/>
  <c r="A70" i="43"/>
  <c r="A69" i="43"/>
  <c r="A68" i="43"/>
  <c r="A67" i="43"/>
  <c r="A66" i="43"/>
  <c r="A65" i="43"/>
  <c r="A64" i="43"/>
  <c r="A63" i="43"/>
  <c r="A62" i="43"/>
  <c r="A61" i="43"/>
  <c r="A60" i="43"/>
  <c r="A59" i="43"/>
  <c r="A58" i="43"/>
  <c r="A57" i="43"/>
  <c r="A56" i="43"/>
  <c r="A55" i="43"/>
  <c r="A54" i="43"/>
  <c r="A53" i="43"/>
  <c r="A52" i="43"/>
  <c r="A51" i="43"/>
  <c r="A50" i="43"/>
  <c r="A49" i="43"/>
  <c r="A48" i="43"/>
  <c r="A47" i="43"/>
  <c r="A46" i="43"/>
  <c r="A45" i="43"/>
  <c r="A44" i="43"/>
  <c r="A43" i="43"/>
  <c r="A42" i="43"/>
  <c r="A41" i="43"/>
  <c r="A40" i="43"/>
  <c r="A39" i="43"/>
  <c r="A38" i="43"/>
  <c r="A37" i="43"/>
  <c r="A36" i="43"/>
  <c r="A35" i="43"/>
  <c r="A34" i="43"/>
  <c r="A33" i="43"/>
  <c r="A32" i="43"/>
  <c r="A31" i="43"/>
  <c r="A30" i="43"/>
  <c r="A29" i="43"/>
  <c r="A28" i="43"/>
  <c r="A27" i="43"/>
  <c r="A26" i="43"/>
  <c r="A25" i="43"/>
  <c r="A24" i="43"/>
  <c r="A23" i="43"/>
  <c r="A22" i="43"/>
  <c r="A21" i="43"/>
  <c r="A20" i="43"/>
  <c r="A19" i="43"/>
  <c r="A18" i="43"/>
  <c r="A17" i="43"/>
  <c r="A16" i="43"/>
  <c r="A15" i="43"/>
  <c r="A14" i="43"/>
  <c r="A13" i="43"/>
  <c r="A12" i="43"/>
  <c r="A11" i="43"/>
  <c r="A10" i="43"/>
  <c r="A9" i="43"/>
  <c r="A8" i="43"/>
  <c r="A7" i="43"/>
  <c r="A6" i="43"/>
  <c r="A5" i="43"/>
  <c r="A4" i="43"/>
  <c r="A3" i="43"/>
  <c r="AU447" i="43"/>
  <c r="AU437" i="43"/>
  <c r="AU434" i="43"/>
  <c r="AU420" i="43"/>
  <c r="AU412" i="43"/>
  <c r="AU393" i="43"/>
  <c r="AU391" i="43"/>
  <c r="AU390" i="43"/>
  <c r="AU388" i="43"/>
  <c r="AU387" i="43"/>
  <c r="AU386" i="43"/>
  <c r="AU384" i="43"/>
  <c r="AU383" i="43"/>
  <c r="AU382" i="43"/>
  <c r="AU380" i="43"/>
  <c r="AU379" i="43"/>
  <c r="AU378" i="43"/>
  <c r="AU376" i="43"/>
  <c r="AU375" i="43"/>
  <c r="AU374" i="43"/>
  <c r="AU372" i="43"/>
  <c r="AU371" i="43"/>
  <c r="AU370" i="43"/>
  <c r="AU368" i="43"/>
  <c r="AU367" i="43"/>
  <c r="AU366" i="43"/>
  <c r="AU364" i="43"/>
  <c r="AU363" i="43"/>
  <c r="AU362" i="43"/>
  <c r="AU360" i="43"/>
  <c r="AU359" i="43"/>
  <c r="AU358" i="43"/>
  <c r="AU356" i="43"/>
  <c r="AU355" i="43"/>
  <c r="AU354" i="43"/>
  <c r="AU352" i="43"/>
  <c r="AU351" i="43"/>
  <c r="AU350" i="43"/>
  <c r="AU348" i="43"/>
  <c r="AU347" i="43"/>
  <c r="AU346" i="43"/>
  <c r="AU344" i="43"/>
  <c r="AU343" i="43"/>
  <c r="AU342" i="43"/>
  <c r="AU340" i="43"/>
  <c r="AU339" i="43"/>
  <c r="AU338" i="43"/>
  <c r="AU336" i="43"/>
  <c r="AU335" i="43"/>
  <c r="AU334" i="43"/>
  <c r="AU332" i="43"/>
  <c r="AU331" i="43"/>
  <c r="AU330" i="43"/>
  <c r="AU328" i="43"/>
  <c r="AU327" i="43"/>
  <c r="AU326" i="43"/>
  <c r="AU324" i="43"/>
  <c r="AU323" i="43"/>
  <c r="AU322" i="43"/>
  <c r="AU320" i="43"/>
  <c r="AU319" i="43"/>
  <c r="AU318" i="43"/>
  <c r="AU316" i="43"/>
  <c r="AU315" i="43"/>
  <c r="AU314" i="43"/>
  <c r="AU312" i="43"/>
  <c r="AU311" i="43"/>
  <c r="AU310" i="43"/>
  <c r="AU308" i="43"/>
  <c r="AU307" i="43"/>
  <c r="AU306" i="43"/>
  <c r="AU304" i="43"/>
  <c r="AU303" i="43"/>
  <c r="AU302" i="43"/>
  <c r="AU300" i="43"/>
  <c r="AU299" i="43"/>
  <c r="AU298" i="43"/>
  <c r="AU296" i="43"/>
  <c r="AU295" i="43"/>
  <c r="AU294" i="43"/>
  <c r="AU292" i="43"/>
  <c r="AU291" i="43"/>
  <c r="AU290" i="43"/>
  <c r="AU288" i="43"/>
  <c r="AU287" i="43"/>
  <c r="AU286" i="43"/>
  <c r="AU284" i="43"/>
  <c r="AU283" i="43"/>
  <c r="AU282" i="43"/>
  <c r="AU280" i="43"/>
  <c r="AU279" i="43"/>
  <c r="AU278" i="43"/>
  <c r="AU276" i="43"/>
  <c r="AU275" i="43"/>
  <c r="AU274" i="43"/>
  <c r="AU272" i="43"/>
  <c r="AU271" i="43"/>
  <c r="AU270" i="43"/>
  <c r="AU268" i="43"/>
  <c r="AU267" i="43"/>
  <c r="AU266" i="43"/>
  <c r="AU264" i="43"/>
  <c r="AU263" i="43"/>
  <c r="AU262" i="43"/>
  <c r="AU260" i="43"/>
  <c r="AU259" i="43"/>
  <c r="AU258" i="43"/>
  <c r="AU256" i="43"/>
  <c r="AU255" i="43"/>
  <c r="AU254" i="43"/>
  <c r="AU252" i="43"/>
  <c r="AU251" i="43"/>
  <c r="AU250" i="43"/>
  <c r="AU248" i="43"/>
  <c r="AU247" i="43"/>
  <c r="AU246" i="43"/>
  <c r="AU244" i="43"/>
  <c r="AU243" i="43"/>
  <c r="AU242" i="43"/>
  <c r="AU240" i="43"/>
  <c r="AU239" i="43"/>
  <c r="AU238" i="43"/>
  <c r="AU236" i="43"/>
  <c r="AU235" i="43"/>
  <c r="AU234" i="43"/>
  <c r="AU232" i="43"/>
  <c r="AU231" i="43"/>
  <c r="AU230" i="43"/>
  <c r="AU228" i="43"/>
  <c r="AU227" i="43"/>
  <c r="AU226" i="43"/>
  <c r="AU224" i="43"/>
  <c r="AU223" i="43"/>
  <c r="AU222" i="43"/>
  <c r="AU220" i="43"/>
  <c r="AU219" i="43"/>
  <c r="AU218" i="43"/>
  <c r="AU216" i="43"/>
  <c r="AU215" i="43"/>
  <c r="AU214" i="43"/>
  <c r="AU212" i="43"/>
  <c r="AU211" i="43"/>
  <c r="AU210" i="43"/>
  <c r="AU208" i="43"/>
  <c r="AU207" i="43"/>
  <c r="AU206" i="43"/>
  <c r="AU204" i="43"/>
  <c r="AU203" i="43"/>
  <c r="AU202" i="43"/>
  <c r="AU200" i="43"/>
  <c r="AU199" i="43"/>
  <c r="AU198" i="43"/>
  <c r="AU196" i="43"/>
  <c r="AU195" i="43"/>
  <c r="AU194" i="43"/>
  <c r="AU192" i="43"/>
  <c r="AU191" i="43"/>
  <c r="AU190" i="43"/>
  <c r="AU188" i="43"/>
  <c r="AU187" i="43"/>
  <c r="AU186" i="43"/>
  <c r="AU184" i="43"/>
  <c r="AU183" i="43"/>
  <c r="AU182" i="43"/>
  <c r="AU180" i="43"/>
  <c r="AU179" i="43"/>
  <c r="AU178" i="43"/>
  <c r="AU176" i="43"/>
  <c r="AU175" i="43"/>
  <c r="AU174" i="43"/>
  <c r="AU172" i="43"/>
  <c r="AU171" i="43"/>
  <c r="AU170" i="43"/>
  <c r="AU168" i="43"/>
  <c r="AU167" i="43"/>
  <c r="AU166" i="43"/>
  <c r="AU164" i="43"/>
  <c r="AU163" i="43"/>
  <c r="AU162" i="43"/>
  <c r="AU160" i="43"/>
  <c r="AU159" i="43"/>
  <c r="AU158" i="43"/>
  <c r="AU156" i="43"/>
  <c r="AU155" i="43"/>
  <c r="AU154" i="43"/>
  <c r="AU152" i="43"/>
  <c r="AU151" i="43"/>
  <c r="AU150" i="43"/>
  <c r="AU148" i="43"/>
  <c r="AU147" i="43"/>
  <c r="AU146" i="43"/>
  <c r="AU144" i="43"/>
  <c r="AU143" i="43"/>
  <c r="AU142" i="43"/>
  <c r="AU140" i="43"/>
  <c r="AU139" i="43"/>
  <c r="AU138" i="43"/>
  <c r="AU136" i="43"/>
  <c r="AU135" i="43"/>
  <c r="AU134" i="43"/>
  <c r="AU132" i="43"/>
  <c r="AU131" i="43"/>
  <c r="AU130" i="43"/>
  <c r="AU128" i="43"/>
  <c r="AU127" i="43"/>
  <c r="AU126" i="43"/>
  <c r="AU124" i="43"/>
  <c r="AU123" i="43"/>
  <c r="AU122" i="43"/>
  <c r="AU120" i="43"/>
  <c r="AU119" i="43"/>
  <c r="AU118" i="43"/>
  <c r="AU116" i="43"/>
  <c r="AU115" i="43"/>
  <c r="AU114" i="43"/>
  <c r="AU112" i="43"/>
  <c r="AU111" i="43"/>
  <c r="AU110" i="43"/>
  <c r="AU108" i="43"/>
  <c r="AU107" i="43"/>
  <c r="AU106" i="43"/>
  <c r="AU104" i="43"/>
  <c r="AU103" i="43"/>
  <c r="AU102" i="43"/>
  <c r="AU100" i="43"/>
  <c r="AU99" i="43"/>
  <c r="AU98" i="43"/>
  <c r="AU96" i="43"/>
  <c r="AU95" i="43"/>
  <c r="AU94" i="43"/>
  <c r="AU92" i="43"/>
  <c r="AU91" i="43"/>
  <c r="AU90" i="43"/>
  <c r="AU88" i="43"/>
  <c r="AU87" i="43"/>
  <c r="AU86" i="43"/>
  <c r="AU84" i="43"/>
  <c r="AU83" i="43"/>
  <c r="AU82" i="43"/>
  <c r="AU80" i="43"/>
  <c r="AU79" i="43"/>
  <c r="AU78" i="43"/>
  <c r="AU76" i="43"/>
  <c r="AU75" i="43"/>
  <c r="AU74" i="43"/>
  <c r="AU72" i="43"/>
  <c r="AU71" i="43"/>
  <c r="AU70" i="43"/>
  <c r="AU68" i="43"/>
  <c r="AU67" i="43"/>
  <c r="AU66" i="43"/>
  <c r="AU64" i="43"/>
  <c r="AU63" i="43"/>
  <c r="AU62" i="43"/>
  <c r="AU60" i="43"/>
  <c r="AU59" i="43"/>
  <c r="AU58" i="43"/>
  <c r="AU56" i="43"/>
  <c r="AU55" i="43"/>
  <c r="AU54" i="43"/>
  <c r="AU52" i="43"/>
  <c r="AU51" i="43"/>
  <c r="AU50" i="43"/>
  <c r="AU48" i="43"/>
  <c r="AU47" i="43"/>
  <c r="AU46" i="43"/>
  <c r="AU44" i="43"/>
  <c r="AU43" i="43"/>
  <c r="AU42" i="43"/>
  <c r="AU40" i="43"/>
  <c r="AU39" i="43"/>
  <c r="AU38" i="43"/>
  <c r="AU36" i="43"/>
  <c r="AU35" i="43"/>
  <c r="AU34" i="43"/>
  <c r="AU32" i="43"/>
  <c r="AU31" i="43"/>
  <c r="AU30" i="43"/>
  <c r="AU28" i="43"/>
  <c r="AU27" i="43"/>
  <c r="AU24" i="43"/>
  <c r="AU23" i="43"/>
  <c r="AU22" i="43"/>
  <c r="AU20" i="43"/>
  <c r="AU19" i="43"/>
  <c r="AU18" i="43"/>
  <c r="AU17" i="43"/>
  <c r="AU15" i="43"/>
  <c r="AU13" i="43"/>
  <c r="AU11" i="43"/>
  <c r="AU10" i="43"/>
  <c r="AU9" i="43"/>
  <c r="AU7" i="43"/>
  <c r="AU6" i="43"/>
  <c r="AU5" i="43"/>
  <c r="AK4" i="43"/>
  <c r="AK5" i="43" s="1"/>
  <c r="C45" i="37"/>
  <c r="F16" i="12"/>
  <c r="AB10" i="10"/>
  <c r="AE10" i="10" s="1"/>
  <c r="AB9" i="10"/>
  <c r="AE9" i="10" s="1"/>
  <c r="AB8" i="10"/>
  <c r="AB7" i="10"/>
  <c r="AE7" i="10" s="1"/>
  <c r="AB10" i="34"/>
  <c r="AE10" i="34" s="1"/>
  <c r="AB9" i="34"/>
  <c r="K27" i="18"/>
  <c r="R7" i="31"/>
  <c r="R6" i="31"/>
  <c r="R5" i="31"/>
  <c r="R4" i="31"/>
  <c r="L16" i="14"/>
  <c r="L13" i="14"/>
  <c r="L10" i="14"/>
  <c r="L7" i="14"/>
  <c r="L19" i="14"/>
  <c r="M19" i="14"/>
  <c r="M16" i="14"/>
  <c r="M13" i="14"/>
  <c r="M10" i="14"/>
  <c r="M7" i="14"/>
  <c r="M4" i="14"/>
  <c r="H103" i="1"/>
  <c r="I103" i="1" s="1"/>
  <c r="J103" i="1" s="1"/>
  <c r="H103" i="37"/>
  <c r="I103" i="37" s="1"/>
  <c r="J103" i="37" s="1"/>
  <c r="B7" i="39"/>
  <c r="C7" i="39" s="1"/>
  <c r="B6" i="39"/>
  <c r="C6" i="39" s="1"/>
  <c r="C5" i="39"/>
  <c r="C4" i="39"/>
  <c r="D108" i="11"/>
  <c r="E6" i="31" s="1"/>
  <c r="D8" i="31"/>
  <c r="D7" i="31"/>
  <c r="D6" i="31"/>
  <c r="K82" i="11"/>
  <c r="D116" i="11"/>
  <c r="E8" i="31" s="1"/>
  <c r="D112" i="11"/>
  <c r="E7" i="31" s="1"/>
  <c r="I200" i="38"/>
  <c r="H200" i="38"/>
  <c r="G200" i="38"/>
  <c r="F200" i="38"/>
  <c r="E200" i="38"/>
  <c r="D200" i="38"/>
  <c r="I118" i="38"/>
  <c r="D117" i="38"/>
  <c r="I117" i="38" s="1"/>
  <c r="D116" i="38"/>
  <c r="I116" i="38" s="1"/>
  <c r="P107" i="38"/>
  <c r="Q107" i="38" s="1"/>
  <c r="I107" i="38"/>
  <c r="J107" i="38" s="1"/>
  <c r="P106" i="38"/>
  <c r="Q106" i="38" s="1"/>
  <c r="I106" i="38"/>
  <c r="J106" i="38" s="1"/>
  <c r="P105" i="38"/>
  <c r="Q105" i="38" s="1"/>
  <c r="I105" i="38"/>
  <c r="J105" i="38" s="1"/>
  <c r="P104" i="38"/>
  <c r="Q104" i="38" s="1"/>
  <c r="I104" i="38"/>
  <c r="J104" i="38" s="1"/>
  <c r="H103" i="38"/>
  <c r="I103" i="38" s="1"/>
  <c r="J103" i="38" s="1"/>
  <c r="D92" i="38"/>
  <c r="D91" i="38"/>
  <c r="D90" i="38"/>
  <c r="D89" i="38"/>
  <c r="D88" i="38"/>
  <c r="F45" i="38"/>
  <c r="J41" i="38" s="1"/>
  <c r="E45" i="38"/>
  <c r="I41" i="38" s="1"/>
  <c r="C45" i="38"/>
  <c r="M107" i="11"/>
  <c r="M103" i="11"/>
  <c r="M102" i="11"/>
  <c r="M101" i="11"/>
  <c r="M100" i="11"/>
  <c r="M99" i="11"/>
  <c r="M98" i="11"/>
  <c r="M97" i="11"/>
  <c r="M96" i="11"/>
  <c r="M91" i="11"/>
  <c r="M90" i="11"/>
  <c r="M89" i="11"/>
  <c r="M88" i="11"/>
  <c r="M87" i="11"/>
  <c r="M86" i="11"/>
  <c r="M85" i="11"/>
  <c r="M84" i="11"/>
  <c r="E13" i="16"/>
  <c r="F45" i="1"/>
  <c r="E45" i="1"/>
  <c r="C45" i="1"/>
  <c r="F49" i="24"/>
  <c r="F48" i="24"/>
  <c r="B17" i="24" s="1"/>
  <c r="C17" i="24" s="1"/>
  <c r="F47" i="24"/>
  <c r="C40" i="24"/>
  <c r="C39" i="24"/>
  <c r="C38" i="24"/>
  <c r="C37" i="24"/>
  <c r="C36" i="24"/>
  <c r="I35" i="24"/>
  <c r="C35" i="24"/>
  <c r="I34" i="24"/>
  <c r="I33" i="24"/>
  <c r="I32" i="24"/>
  <c r="I31" i="24"/>
  <c r="C27" i="24"/>
  <c r="C26" i="24"/>
  <c r="C25" i="24"/>
  <c r="I24" i="24"/>
  <c r="C24" i="24"/>
  <c r="I23" i="24"/>
  <c r="C16" i="24"/>
  <c r="C15" i="24"/>
  <c r="C14" i="24"/>
  <c r="C13" i="24"/>
  <c r="I12" i="24"/>
  <c r="C12" i="24"/>
  <c r="I11" i="24"/>
  <c r="C11" i="24"/>
  <c r="I10" i="24"/>
  <c r="C10" i="24"/>
  <c r="C6" i="24"/>
  <c r="C5" i="24"/>
  <c r="C4" i="24"/>
  <c r="C3" i="24"/>
  <c r="C23" i="18"/>
  <c r="D23" i="18" s="1"/>
  <c r="I22" i="18"/>
  <c r="J19" i="21" s="1"/>
  <c r="C22" i="18"/>
  <c r="D22" i="18" s="1"/>
  <c r="C21" i="18"/>
  <c r="D21" i="18" s="1"/>
  <c r="AM105" i="1" s="1"/>
  <c r="C20" i="18"/>
  <c r="D20" i="18" s="1"/>
  <c r="AM104" i="1" s="1"/>
  <c r="C19" i="18"/>
  <c r="D19" i="18" s="1"/>
  <c r="AM103" i="37" s="1"/>
  <c r="C18" i="18"/>
  <c r="D18" i="18" s="1"/>
  <c r="C17" i="18"/>
  <c r="D17" i="18" s="1"/>
  <c r="AM101" i="1" s="1"/>
  <c r="D104" i="11"/>
  <c r="D105" i="11" s="1"/>
  <c r="L103" i="11"/>
  <c r="L102" i="11"/>
  <c r="L101" i="11"/>
  <c r="L100" i="11"/>
  <c r="L99" i="11"/>
  <c r="L98" i="11"/>
  <c r="L97" i="11"/>
  <c r="L96" i="11"/>
  <c r="S94" i="11"/>
  <c r="S93" i="11"/>
  <c r="D92" i="11"/>
  <c r="D4" i="31" s="1"/>
  <c r="L91" i="11"/>
  <c r="L90" i="11"/>
  <c r="S89" i="11"/>
  <c r="R89" i="11"/>
  <c r="L89" i="11"/>
  <c r="S88" i="11"/>
  <c r="R88" i="11"/>
  <c r="L88" i="11"/>
  <c r="S87" i="11"/>
  <c r="R87" i="11"/>
  <c r="L87" i="11"/>
  <c r="L86" i="11"/>
  <c r="L85" i="11"/>
  <c r="L84" i="11"/>
  <c r="M43" i="11"/>
  <c r="AS43" i="11" s="1"/>
  <c r="AS52" i="11" s="1"/>
  <c r="A43" i="11"/>
  <c r="M42" i="11"/>
  <c r="A42" i="11"/>
  <c r="M41" i="11"/>
  <c r="BB41" i="11" s="1"/>
  <c r="BB50" i="11" s="1"/>
  <c r="A41" i="11"/>
  <c r="M40" i="11"/>
  <c r="BC40" i="11" s="1"/>
  <c r="BC49" i="11" s="1"/>
  <c r="D40" i="11"/>
  <c r="A40" i="11"/>
  <c r="M39" i="11"/>
  <c r="AZ39" i="11" s="1"/>
  <c r="AZ48" i="11" s="1"/>
  <c r="D39" i="11"/>
  <c r="A39" i="11"/>
  <c r="M38" i="11"/>
  <c r="AP38" i="11" s="1"/>
  <c r="AP47" i="11" s="1"/>
  <c r="D38" i="11"/>
  <c r="A38" i="11"/>
  <c r="M37" i="11"/>
  <c r="BB37" i="11" s="1"/>
  <c r="BB46" i="11" s="1"/>
  <c r="D37" i="11"/>
  <c r="A37" i="11"/>
  <c r="M36" i="11"/>
  <c r="BB36" i="11" s="1"/>
  <c r="BB45" i="11" s="1"/>
  <c r="A36" i="11"/>
  <c r="O26" i="11"/>
  <c r="N26" i="11"/>
  <c r="M26" i="11"/>
  <c r="L26" i="11"/>
  <c r="K26" i="11"/>
  <c r="J26" i="11"/>
  <c r="O25" i="11"/>
  <c r="N25" i="11"/>
  <c r="M25" i="11"/>
  <c r="L25" i="11"/>
  <c r="K25" i="11"/>
  <c r="J25" i="11"/>
  <c r="P23" i="11"/>
  <c r="B23" i="11"/>
  <c r="Q23" i="11" s="1"/>
  <c r="R23" i="11" s="1"/>
  <c r="P22" i="11"/>
  <c r="B22" i="11"/>
  <c r="Q22" i="11" s="1"/>
  <c r="P21" i="11"/>
  <c r="B21" i="11"/>
  <c r="P20" i="11"/>
  <c r="B20" i="11"/>
  <c r="P19" i="11"/>
  <c r="B19" i="11"/>
  <c r="Q19" i="11" s="1"/>
  <c r="R19" i="11" s="1"/>
  <c r="P18" i="11"/>
  <c r="B18" i="11"/>
  <c r="G38" i="11" s="1"/>
  <c r="P17" i="11"/>
  <c r="B17" i="11"/>
  <c r="Q17" i="11" s="1"/>
  <c r="R17" i="11" s="1"/>
  <c r="P16" i="11"/>
  <c r="B16" i="11"/>
  <c r="Q16" i="11" s="1"/>
  <c r="E24" i="34"/>
  <c r="E22" i="34"/>
  <c r="F23" i="34" s="1"/>
  <c r="C13" i="34"/>
  <c r="AB8" i="34"/>
  <c r="AE8" i="34" s="1"/>
  <c r="AB7" i="34"/>
  <c r="AE7" i="34" s="1"/>
  <c r="E22" i="32"/>
  <c r="C13" i="32"/>
  <c r="D82" i="1" s="1"/>
  <c r="AB10" i="32"/>
  <c r="AE10" i="32" s="1"/>
  <c r="AB9" i="32"/>
  <c r="AE9" i="32" s="1"/>
  <c r="AB8" i="32"/>
  <c r="AE8" i="32" s="1"/>
  <c r="AB7" i="32"/>
  <c r="E24" i="10"/>
  <c r="O103" i="38" s="1"/>
  <c r="P103" i="38" s="1"/>
  <c r="Q103" i="38" s="1"/>
  <c r="E22" i="10"/>
  <c r="F23" i="10" s="1"/>
  <c r="C13" i="10"/>
  <c r="D22" i="21"/>
  <c r="B22" i="21"/>
  <c r="D21" i="21"/>
  <c r="B21" i="21"/>
  <c r="D20" i="21"/>
  <c r="B20" i="21"/>
  <c r="D19" i="21"/>
  <c r="B19" i="21"/>
  <c r="D18" i="21"/>
  <c r="B18" i="21"/>
  <c r="E7" i="21"/>
  <c r="J20" i="21" s="1"/>
  <c r="D7" i="17"/>
  <c r="D6" i="17"/>
  <c r="D5" i="17"/>
  <c r="H5" i="17" s="1"/>
  <c r="C22" i="21" s="1"/>
  <c r="G37" i="16"/>
  <c r="F37" i="16"/>
  <c r="E37" i="16"/>
  <c r="D37" i="16"/>
  <c r="C37" i="16"/>
  <c r="M31" i="16"/>
  <c r="M30" i="16"/>
  <c r="B65" i="11" s="1"/>
  <c r="M29" i="16"/>
  <c r="B64" i="11" s="1"/>
  <c r="M28" i="16"/>
  <c r="B63" i="11" s="1"/>
  <c r="M27" i="16"/>
  <c r="B62" i="11" s="1"/>
  <c r="M26" i="16"/>
  <c r="M25" i="16"/>
  <c r="H25" i="16"/>
  <c r="G25" i="16"/>
  <c r="F25" i="16"/>
  <c r="E25" i="16"/>
  <c r="B13" i="18" s="1"/>
  <c r="C13" i="18" s="1"/>
  <c r="K169" i="37" s="1"/>
  <c r="D25" i="16"/>
  <c r="B12" i="18" s="1"/>
  <c r="C12" i="18" s="1"/>
  <c r="C25" i="16"/>
  <c r="B11" i="18" s="1"/>
  <c r="C11" i="18" s="1"/>
  <c r="D169" i="37" s="1"/>
  <c r="M24" i="16"/>
  <c r="R11" i="16"/>
  <c r="Q11" i="16"/>
  <c r="P11" i="16"/>
  <c r="R10" i="16"/>
  <c r="Q10" i="16"/>
  <c r="P10" i="16"/>
  <c r="R9" i="16"/>
  <c r="Q9" i="16"/>
  <c r="P9" i="16"/>
  <c r="R8" i="16"/>
  <c r="Q8" i="16"/>
  <c r="O27" i="16" s="1"/>
  <c r="P8" i="16"/>
  <c r="R7" i="16"/>
  <c r="Q7" i="16"/>
  <c r="P7" i="16"/>
  <c r="R6" i="16"/>
  <c r="Q6" i="16"/>
  <c r="O25" i="16" s="1"/>
  <c r="P6" i="16"/>
  <c r="R5" i="16"/>
  <c r="Q5" i="16"/>
  <c r="P5" i="16"/>
  <c r="B19" i="35"/>
  <c r="B18" i="35"/>
  <c r="I30" i="33"/>
  <c r="L14" i="33" s="1"/>
  <c r="T10" i="32" s="1"/>
  <c r="P7" i="31" s="1"/>
  <c r="H30" i="33"/>
  <c r="K14" i="33" s="1"/>
  <c r="S10" i="32" s="1"/>
  <c r="G30" i="33"/>
  <c r="J14" i="33" s="1"/>
  <c r="R10" i="32" s="1"/>
  <c r="I29" i="33"/>
  <c r="L13" i="33" s="1"/>
  <c r="T9" i="32" s="1"/>
  <c r="P6" i="31" s="1"/>
  <c r="H29" i="33"/>
  <c r="K13" i="33" s="1"/>
  <c r="S9" i="32" s="1"/>
  <c r="G29" i="33"/>
  <c r="J13" i="33" s="1"/>
  <c r="R9" i="32" s="1"/>
  <c r="I28" i="33"/>
  <c r="L12" i="33" s="1"/>
  <c r="T8" i="32" s="1"/>
  <c r="H28" i="33"/>
  <c r="K12" i="33" s="1"/>
  <c r="S8" i="32" s="1"/>
  <c r="G28" i="33"/>
  <c r="J12" i="33" s="1"/>
  <c r="R8" i="32" s="1"/>
  <c r="I27" i="33"/>
  <c r="L11" i="33" s="1"/>
  <c r="T7" i="32" s="1"/>
  <c r="H27" i="33"/>
  <c r="K11" i="33" s="1"/>
  <c r="S7" i="32" s="1"/>
  <c r="G27" i="33"/>
  <c r="R7" i="32" s="1"/>
  <c r="I26" i="33"/>
  <c r="H26" i="33"/>
  <c r="G26" i="33"/>
  <c r="I25" i="33"/>
  <c r="H25" i="33"/>
  <c r="G25" i="33"/>
  <c r="I24" i="33"/>
  <c r="H24" i="33"/>
  <c r="G24" i="33"/>
  <c r="I23" i="33"/>
  <c r="H23" i="33"/>
  <c r="G23" i="33"/>
  <c r="B19" i="33"/>
  <c r="B18" i="33"/>
  <c r="B19" i="15"/>
  <c r="B18" i="15"/>
  <c r="D84" i="1" s="1"/>
  <c r="V13" i="15"/>
  <c r="T26" i="15" s="1"/>
  <c r="U13" i="15"/>
  <c r="S26" i="15" s="1"/>
  <c r="T13" i="15"/>
  <c r="R26" i="15" s="1"/>
  <c r="V12" i="15"/>
  <c r="T25" i="15" s="1"/>
  <c r="U12" i="15"/>
  <c r="S25" i="15" s="1"/>
  <c r="T12" i="15"/>
  <c r="R25" i="15" s="1"/>
  <c r="V11" i="15"/>
  <c r="T24" i="15" s="1"/>
  <c r="U11" i="15"/>
  <c r="S24" i="15" s="1"/>
  <c r="T11" i="15"/>
  <c r="R24" i="15" s="1"/>
  <c r="V10" i="15"/>
  <c r="T23" i="15" s="1"/>
  <c r="U10" i="15"/>
  <c r="S23" i="15" s="1"/>
  <c r="T10" i="15"/>
  <c r="R23" i="15" s="1"/>
  <c r="V9" i="15"/>
  <c r="T22" i="15" s="1"/>
  <c r="U9" i="15"/>
  <c r="S22" i="15" s="1"/>
  <c r="T9" i="15"/>
  <c r="R22" i="15" s="1"/>
  <c r="V8" i="15"/>
  <c r="T21" i="15" s="1"/>
  <c r="U8" i="15"/>
  <c r="S21" i="15" s="1"/>
  <c r="T8" i="15"/>
  <c r="R21" i="15" s="1"/>
  <c r="V7" i="15"/>
  <c r="T20" i="15" s="1"/>
  <c r="U7" i="15"/>
  <c r="S20" i="15" s="1"/>
  <c r="T7" i="15"/>
  <c r="R20" i="15" s="1"/>
  <c r="V6" i="15"/>
  <c r="T19" i="15" s="1"/>
  <c r="U6" i="15"/>
  <c r="S19" i="15" s="1"/>
  <c r="T6" i="15"/>
  <c r="R19" i="15" s="1"/>
  <c r="V5" i="15"/>
  <c r="T18" i="15" s="1"/>
  <c r="U5" i="15"/>
  <c r="S18" i="15" s="1"/>
  <c r="T5" i="15"/>
  <c r="R18" i="15" s="1"/>
  <c r="V4" i="15"/>
  <c r="T17" i="15" s="1"/>
  <c r="U4" i="15"/>
  <c r="S17" i="15" s="1"/>
  <c r="T4" i="15"/>
  <c r="R17" i="15" s="1"/>
  <c r="Q74" i="14"/>
  <c r="Q73" i="14"/>
  <c r="Q72" i="14"/>
  <c r="Q71" i="14"/>
  <c r="Q70" i="14"/>
  <c r="J70" i="14"/>
  <c r="Q69" i="14"/>
  <c r="Q68" i="14"/>
  <c r="Q67" i="14"/>
  <c r="Q66" i="14"/>
  <c r="Q65" i="14"/>
  <c r="Q64" i="14"/>
  <c r="Q63" i="14"/>
  <c r="Q62" i="14"/>
  <c r="Q61" i="14"/>
  <c r="J61" i="14"/>
  <c r="Q60" i="14"/>
  <c r="Q59" i="14"/>
  <c r="Q58" i="14"/>
  <c r="Q57" i="14"/>
  <c r="Q56" i="14"/>
  <c r="J56" i="14"/>
  <c r="Q55" i="14"/>
  <c r="Q54" i="14"/>
  <c r="Q53" i="14"/>
  <c r="Q52" i="14"/>
  <c r="Q51" i="14"/>
  <c r="Q49" i="14"/>
  <c r="Q48" i="14"/>
  <c r="Q47" i="14"/>
  <c r="Q46" i="14"/>
  <c r="Q45" i="14"/>
  <c r="J45" i="14"/>
  <c r="Q44" i="14"/>
  <c r="Q43" i="14"/>
  <c r="Q42" i="14"/>
  <c r="Q41" i="14"/>
  <c r="Q40" i="14"/>
  <c r="Q39" i="14"/>
  <c r="Q38" i="14"/>
  <c r="Q37" i="14"/>
  <c r="Q36" i="14"/>
  <c r="Q35" i="14"/>
  <c r="Q34" i="14"/>
  <c r="Q33" i="14"/>
  <c r="Q32" i="14"/>
  <c r="Q31" i="14"/>
  <c r="Q30" i="14"/>
  <c r="Q29" i="14"/>
  <c r="Q28" i="14"/>
  <c r="Q27" i="14"/>
  <c r="Q26" i="14"/>
  <c r="D22" i="14"/>
  <c r="C22" i="14"/>
  <c r="B22" i="14"/>
  <c r="D21" i="14"/>
  <c r="C21" i="14"/>
  <c r="B21" i="14"/>
  <c r="D20" i="14"/>
  <c r="C20" i="14"/>
  <c r="B20" i="14"/>
  <c r="D19" i="14"/>
  <c r="C19" i="14"/>
  <c r="B19" i="14"/>
  <c r="D18" i="14"/>
  <c r="C18" i="14"/>
  <c r="B18" i="14"/>
  <c r="D17" i="14"/>
  <c r="C17" i="14"/>
  <c r="B17" i="14"/>
  <c r="D16" i="14"/>
  <c r="C16" i="14"/>
  <c r="B16" i="14"/>
  <c r="D15" i="14"/>
  <c r="C15" i="14"/>
  <c r="B15" i="14"/>
  <c r="D14" i="14"/>
  <c r="C14" i="14"/>
  <c r="B14" i="14"/>
  <c r="D13" i="14"/>
  <c r="C13" i="14"/>
  <c r="B13" i="14"/>
  <c r="D12" i="14"/>
  <c r="C12" i="14"/>
  <c r="B12" i="14"/>
  <c r="D11" i="14"/>
  <c r="C11" i="14"/>
  <c r="B11" i="14"/>
  <c r="D10" i="14"/>
  <c r="C10" i="14"/>
  <c r="B10" i="14"/>
  <c r="D9" i="14"/>
  <c r="C9" i="14"/>
  <c r="B9" i="14"/>
  <c r="D8" i="14"/>
  <c r="C8" i="14"/>
  <c r="B8" i="14"/>
  <c r="D7" i="14"/>
  <c r="C7" i="14"/>
  <c r="B7" i="14"/>
  <c r="D6" i="14"/>
  <c r="C6" i="14"/>
  <c r="B6" i="14"/>
  <c r="D5" i="14"/>
  <c r="C5" i="14"/>
  <c r="B5" i="14"/>
  <c r="D4" i="14"/>
  <c r="C4" i="14"/>
  <c r="B4" i="14"/>
  <c r="D3" i="14"/>
  <c r="C3" i="14"/>
  <c r="B3" i="14"/>
  <c r="D10" i="13"/>
  <c r="D8" i="13"/>
  <c r="D7" i="13"/>
  <c r="F18" i="12"/>
  <c r="F17" i="12"/>
  <c r="C9" i="13" s="1"/>
  <c r="E9" i="12"/>
  <c r="E8" i="12"/>
  <c r="E7" i="12"/>
  <c r="E6" i="12"/>
  <c r="E5" i="12"/>
  <c r="E4" i="12"/>
  <c r="I118" i="37"/>
  <c r="D117" i="37"/>
  <c r="I117" i="37" s="1"/>
  <c r="D116" i="37"/>
  <c r="I116" i="37" s="1"/>
  <c r="P107" i="37"/>
  <c r="Q107" i="37" s="1"/>
  <c r="I107" i="37"/>
  <c r="J107" i="37" s="1"/>
  <c r="P106" i="37"/>
  <c r="Q106" i="37" s="1"/>
  <c r="I106" i="37"/>
  <c r="J106" i="37" s="1"/>
  <c r="P105" i="37"/>
  <c r="Q105" i="37" s="1"/>
  <c r="I105" i="37"/>
  <c r="J105" i="37" s="1"/>
  <c r="P104" i="37"/>
  <c r="Q104" i="37" s="1"/>
  <c r="I104" i="37"/>
  <c r="J104" i="37" s="1"/>
  <c r="D92" i="37"/>
  <c r="D91" i="37"/>
  <c r="D90" i="37"/>
  <c r="D89" i="37"/>
  <c r="D88" i="37"/>
  <c r="I118" i="1"/>
  <c r="D117" i="1"/>
  <c r="I117" i="1" s="1"/>
  <c r="D116" i="1"/>
  <c r="I116" i="1" s="1"/>
  <c r="P107" i="1"/>
  <c r="Q107" i="1" s="1"/>
  <c r="I107" i="1"/>
  <c r="J107" i="1" s="1"/>
  <c r="P106" i="1"/>
  <c r="Q106" i="1" s="1"/>
  <c r="I106" i="1"/>
  <c r="J106" i="1" s="1"/>
  <c r="P105" i="1"/>
  <c r="Q105" i="1" s="1"/>
  <c r="I105" i="1"/>
  <c r="J105" i="1" s="1"/>
  <c r="P104" i="1"/>
  <c r="Q104" i="1" s="1"/>
  <c r="I104" i="1"/>
  <c r="J104" i="1" s="1"/>
  <c r="D92" i="1"/>
  <c r="D91" i="1"/>
  <c r="D90" i="1"/>
  <c r="D89" i="1"/>
  <c r="D88" i="1"/>
  <c r="G29" i="15" l="1"/>
  <c r="J13" i="15" s="1"/>
  <c r="R9" i="10" s="1"/>
  <c r="G27" i="15"/>
  <c r="J11" i="15" s="1"/>
  <c r="R7" i="10" s="1"/>
  <c r="G25" i="15"/>
  <c r="J9" i="15" s="1"/>
  <c r="G26" i="15"/>
  <c r="J10" i="15" s="1"/>
  <c r="O29" i="16"/>
  <c r="D87" i="37"/>
  <c r="H169" i="37"/>
  <c r="I26" i="24"/>
  <c r="AM103" i="1"/>
  <c r="I169" i="1"/>
  <c r="C7" i="13"/>
  <c r="F7" i="13" s="1"/>
  <c r="M169" i="1"/>
  <c r="L169" i="37"/>
  <c r="D169" i="1"/>
  <c r="AC39" i="11"/>
  <c r="AC48" i="11" s="1"/>
  <c r="D87" i="1"/>
  <c r="AM105" i="37"/>
  <c r="J27" i="11"/>
  <c r="D86" i="1"/>
  <c r="I24" i="15"/>
  <c r="J24" i="15" s="1"/>
  <c r="AB36" i="11"/>
  <c r="AB45" i="11" s="1"/>
  <c r="AM101" i="37"/>
  <c r="AW36" i="11"/>
  <c r="AW45" i="11" s="1"/>
  <c r="R8" i="31"/>
  <c r="R9" i="31" s="1"/>
  <c r="D84" i="37"/>
  <c r="D86" i="37"/>
  <c r="P25" i="16"/>
  <c r="F169" i="1"/>
  <c r="J169" i="1"/>
  <c r="I169" i="37"/>
  <c r="M169" i="37"/>
  <c r="N27" i="16"/>
  <c r="C19" i="11" s="1"/>
  <c r="BC36" i="11"/>
  <c r="BC45" i="11" s="1"/>
  <c r="T37" i="11"/>
  <c r="T46" i="11" s="1"/>
  <c r="C10" i="13"/>
  <c r="F10" i="13" s="1"/>
  <c r="K169" i="1"/>
  <c r="J169" i="37"/>
  <c r="AJ37" i="11"/>
  <c r="AJ46" i="11" s="1"/>
  <c r="G169" i="1"/>
  <c r="F169" i="37"/>
  <c r="H169" i="1"/>
  <c r="L169" i="1"/>
  <c r="G169" i="37"/>
  <c r="B20" i="35"/>
  <c r="N25" i="16"/>
  <c r="N29" i="16"/>
  <c r="C64" i="11" s="1"/>
  <c r="AG36" i="11"/>
  <c r="AG45" i="11" s="1"/>
  <c r="AZ37" i="11"/>
  <c r="AZ46" i="11" s="1"/>
  <c r="R86" i="11"/>
  <c r="M21" i="14"/>
  <c r="AM106" i="37"/>
  <c r="AM106" i="1"/>
  <c r="M27" i="11"/>
  <c r="AM36" i="11"/>
  <c r="AM45" i="11" s="1"/>
  <c r="W37" i="11"/>
  <c r="W46" i="11" s="1"/>
  <c r="AM37" i="11"/>
  <c r="AM46" i="11" s="1"/>
  <c r="BC37" i="11"/>
  <c r="BC46" i="11" s="1"/>
  <c r="AS39" i="11"/>
  <c r="AS48" i="11" s="1"/>
  <c r="W40" i="11"/>
  <c r="W49" i="11" s="1"/>
  <c r="AR40" i="11"/>
  <c r="AR49" i="11" s="1"/>
  <c r="U43" i="11"/>
  <c r="U52" i="11" s="1"/>
  <c r="AX43" i="11"/>
  <c r="AX52" i="11" s="1"/>
  <c r="I13" i="24"/>
  <c r="H29" i="15"/>
  <c r="K13" i="15" s="1"/>
  <c r="S9" i="10" s="1"/>
  <c r="O12" i="16"/>
  <c r="R12" i="16" s="1"/>
  <c r="P31" i="16" s="1"/>
  <c r="E66" i="11" s="1"/>
  <c r="AA21" i="11"/>
  <c r="N27" i="11"/>
  <c r="W36" i="11"/>
  <c r="W45" i="11" s="1"/>
  <c r="AR36" i="11"/>
  <c r="AR45" i="11" s="1"/>
  <c r="AB37" i="11"/>
  <c r="AB46" i="11" s="1"/>
  <c r="AR37" i="11"/>
  <c r="AR46" i="11" s="1"/>
  <c r="AB40" i="11"/>
  <c r="AB49" i="11" s="1"/>
  <c r="AW40" i="11"/>
  <c r="AW49" i="11" s="1"/>
  <c r="Y43" i="11"/>
  <c r="Y52" i="11" s="1"/>
  <c r="BA43" i="11"/>
  <c r="BA52" i="11" s="1"/>
  <c r="L21" i="14"/>
  <c r="AB11" i="32"/>
  <c r="AE37" i="11"/>
  <c r="AE46" i="11" s="1"/>
  <c r="AU37" i="11"/>
  <c r="AU46" i="11" s="1"/>
  <c r="AG40" i="11"/>
  <c r="AG49" i="11" s="1"/>
  <c r="AH43" i="11"/>
  <c r="AH52" i="11" s="1"/>
  <c r="H27" i="15"/>
  <c r="K11" i="15" s="1"/>
  <c r="S7" i="10" s="1"/>
  <c r="AM40" i="11"/>
  <c r="AM49" i="11" s="1"/>
  <c r="AK43" i="11"/>
  <c r="AK52" i="11" s="1"/>
  <c r="AM102" i="1"/>
  <c r="AM102" i="37"/>
  <c r="AM107" i="38"/>
  <c r="AM108" i="38" s="1"/>
  <c r="AM109" i="38" s="1"/>
  <c r="AM110" i="38" s="1"/>
  <c r="AM107" i="37"/>
  <c r="AM108" i="37" s="1"/>
  <c r="AM109" i="37" s="1"/>
  <c r="AM110" i="37" s="1"/>
  <c r="AM107" i="1"/>
  <c r="AM108" i="1" s="1"/>
  <c r="AM109" i="1" s="1"/>
  <c r="AM110" i="1" s="1"/>
  <c r="AA41" i="11"/>
  <c r="AA50" i="11" s="1"/>
  <c r="AY41" i="11"/>
  <c r="AY50" i="11" s="1"/>
  <c r="G24" i="15"/>
  <c r="J8" i="15" s="1"/>
  <c r="N28" i="16"/>
  <c r="C63" i="11" s="1"/>
  <c r="N30" i="16"/>
  <c r="C65" i="11" s="1"/>
  <c r="C18" i="21"/>
  <c r="E18" i="21" s="1"/>
  <c r="F18" i="21" s="1"/>
  <c r="AE7" i="32"/>
  <c r="AE16" i="32" s="1"/>
  <c r="P25" i="11"/>
  <c r="X36" i="11"/>
  <c r="X45" i="11" s="1"/>
  <c r="AC36" i="11"/>
  <c r="AC45" i="11" s="1"/>
  <c r="AI36" i="11"/>
  <c r="AI45" i="11" s="1"/>
  <c r="AN36" i="11"/>
  <c r="AN45" i="11" s="1"/>
  <c r="AS36" i="11"/>
  <c r="AS45" i="11" s="1"/>
  <c r="AY36" i="11"/>
  <c r="AY45" i="11" s="1"/>
  <c r="V38" i="11"/>
  <c r="V47" i="11" s="1"/>
  <c r="BB38" i="11"/>
  <c r="BB47" i="11" s="1"/>
  <c r="AG39" i="11"/>
  <c r="AG48" i="11" s="1"/>
  <c r="AW39" i="11"/>
  <c r="AW48" i="11" s="1"/>
  <c r="X40" i="11"/>
  <c r="X49" i="11" s="1"/>
  <c r="AC40" i="11"/>
  <c r="AC49" i="11" s="1"/>
  <c r="AI40" i="11"/>
  <c r="AI49" i="11" s="1"/>
  <c r="AN40" i="11"/>
  <c r="AN49" i="11" s="1"/>
  <c r="AS40" i="11"/>
  <c r="AS49" i="11" s="1"/>
  <c r="AZ40" i="11"/>
  <c r="AZ49" i="11" s="1"/>
  <c r="T41" i="11"/>
  <c r="T50" i="11" s="1"/>
  <c r="AB41" i="11"/>
  <c r="AB50" i="11" s="1"/>
  <c r="AJ41" i="11"/>
  <c r="AJ50" i="11" s="1"/>
  <c r="AR41" i="11"/>
  <c r="AR50" i="11" s="1"/>
  <c r="AZ41" i="11"/>
  <c r="AZ50" i="11" s="1"/>
  <c r="I37" i="24"/>
  <c r="C42" i="24"/>
  <c r="AX38" i="11"/>
  <c r="AX47" i="11" s="1"/>
  <c r="G39" i="11"/>
  <c r="N39" i="11" s="1"/>
  <c r="AI41" i="11"/>
  <c r="AI50" i="11" s="1"/>
  <c r="C140" i="1"/>
  <c r="AM104" i="37"/>
  <c r="I23" i="15"/>
  <c r="J23" i="15" s="1"/>
  <c r="B20" i="33"/>
  <c r="N38" i="11"/>
  <c r="S19" i="11"/>
  <c r="V19" i="11" s="1"/>
  <c r="F22" i="11"/>
  <c r="AB21" i="11"/>
  <c r="T36" i="11"/>
  <c r="T45" i="11" s="1"/>
  <c r="Y36" i="11"/>
  <c r="Y45" i="11" s="1"/>
  <c r="AE36" i="11"/>
  <c r="AE45" i="11" s="1"/>
  <c r="AJ36" i="11"/>
  <c r="AJ45" i="11" s="1"/>
  <c r="AO36" i="11"/>
  <c r="AO45" i="11" s="1"/>
  <c r="AU36" i="11"/>
  <c r="AU45" i="11" s="1"/>
  <c r="AZ36" i="11"/>
  <c r="AZ45" i="11" s="1"/>
  <c r="X37" i="11"/>
  <c r="X46" i="11" s="1"/>
  <c r="AF37" i="11"/>
  <c r="AF46" i="11" s="1"/>
  <c r="AN37" i="11"/>
  <c r="AN46" i="11" s="1"/>
  <c r="AV37" i="11"/>
  <c r="AV46" i="11" s="1"/>
  <c r="AH38" i="11"/>
  <c r="AH47" i="11" s="1"/>
  <c r="U39" i="11"/>
  <c r="U48" i="11" s="1"/>
  <c r="AK39" i="11"/>
  <c r="AK48" i="11" s="1"/>
  <c r="BA39" i="11"/>
  <c r="BA48" i="11" s="1"/>
  <c r="T40" i="11"/>
  <c r="T49" i="11" s="1"/>
  <c r="Y40" i="11"/>
  <c r="Y49" i="11" s="1"/>
  <c r="AE40" i="11"/>
  <c r="AE49" i="11" s="1"/>
  <c r="AJ40" i="11"/>
  <c r="AJ49" i="11" s="1"/>
  <c r="AO40" i="11"/>
  <c r="AO49" i="11" s="1"/>
  <c r="AU40" i="11"/>
  <c r="AU49" i="11" s="1"/>
  <c r="BA40" i="11"/>
  <c r="BA49" i="11" s="1"/>
  <c r="W41" i="11"/>
  <c r="W50" i="11" s="1"/>
  <c r="AE41" i="11"/>
  <c r="AE50" i="11" s="1"/>
  <c r="AM41" i="11"/>
  <c r="AM50" i="11" s="1"/>
  <c r="AU41" i="11"/>
  <c r="AU50" i="11" s="1"/>
  <c r="BC41" i="11"/>
  <c r="BC50" i="11" s="1"/>
  <c r="G43" i="11"/>
  <c r="N43" i="11" s="1"/>
  <c r="Z43" i="11"/>
  <c r="Z52" i="11" s="1"/>
  <c r="AP43" i="11"/>
  <c r="AP52" i="11" s="1"/>
  <c r="C29" i="24"/>
  <c r="AQ41" i="11"/>
  <c r="AQ50" i="11" s="1"/>
  <c r="C13" i="13"/>
  <c r="C8" i="13"/>
  <c r="F8" i="13" s="1"/>
  <c r="D13" i="13"/>
  <c r="H30" i="15"/>
  <c r="K14" i="15" s="1"/>
  <c r="S10" i="10" s="1"/>
  <c r="B20" i="15"/>
  <c r="P27" i="16"/>
  <c r="P29" i="16"/>
  <c r="E21" i="11" s="1"/>
  <c r="U36" i="11"/>
  <c r="U45" i="11" s="1"/>
  <c r="AA36" i="11"/>
  <c r="AA45" i="11" s="1"/>
  <c r="AF36" i="11"/>
  <c r="AF45" i="11" s="1"/>
  <c r="AK36" i="11"/>
  <c r="AK45" i="11" s="1"/>
  <c r="AQ36" i="11"/>
  <c r="AQ45" i="11" s="1"/>
  <c r="AV36" i="11"/>
  <c r="AV45" i="11" s="1"/>
  <c r="BA36" i="11"/>
  <c r="BA45" i="11" s="1"/>
  <c r="AA37" i="11"/>
  <c r="AA46" i="11" s="1"/>
  <c r="AI37" i="11"/>
  <c r="AI46" i="11" s="1"/>
  <c r="AQ37" i="11"/>
  <c r="AQ46" i="11" s="1"/>
  <c r="AY37" i="11"/>
  <c r="AY46" i="11" s="1"/>
  <c r="AL38" i="11"/>
  <c r="AL47" i="11" s="1"/>
  <c r="Y39" i="11"/>
  <c r="Y48" i="11" s="1"/>
  <c r="AO39" i="11"/>
  <c r="AO48" i="11" s="1"/>
  <c r="U40" i="11"/>
  <c r="U49" i="11" s="1"/>
  <c r="AA40" i="11"/>
  <c r="AA49" i="11" s="1"/>
  <c r="AF40" i="11"/>
  <c r="AF49" i="11" s="1"/>
  <c r="AK40" i="11"/>
  <c r="AK49" i="11" s="1"/>
  <c r="AQ40" i="11"/>
  <c r="AQ49" i="11" s="1"/>
  <c r="AV40" i="11"/>
  <c r="AV49" i="11" s="1"/>
  <c r="X41" i="11"/>
  <c r="X50" i="11" s="1"/>
  <c r="AF41" i="11"/>
  <c r="AF50" i="11" s="1"/>
  <c r="AN41" i="11"/>
  <c r="AN50" i="11" s="1"/>
  <c r="AV41" i="11"/>
  <c r="AV50" i="11" s="1"/>
  <c r="AC43" i="11"/>
  <c r="AC52" i="11" s="1"/>
  <c r="C18" i="24"/>
  <c r="G28" i="15"/>
  <c r="J12" i="15" s="1"/>
  <c r="R8" i="10" s="1"/>
  <c r="H28" i="15"/>
  <c r="K12" i="15" s="1"/>
  <c r="S8" i="10" s="1"/>
  <c r="H23" i="15"/>
  <c r="E10" i="34"/>
  <c r="D7" i="34"/>
  <c r="D10" i="34"/>
  <c r="F8" i="34"/>
  <c r="F7" i="34"/>
  <c r="F10" i="32"/>
  <c r="F9" i="32"/>
  <c r="F8" i="32"/>
  <c r="D7" i="32"/>
  <c r="F10" i="10"/>
  <c r="D9" i="10"/>
  <c r="E8" i="10"/>
  <c r="D7" i="10"/>
  <c r="F9" i="34"/>
  <c r="E8" i="34"/>
  <c r="E7" i="34"/>
  <c r="E10" i="32"/>
  <c r="E9" i="32"/>
  <c r="E8" i="32"/>
  <c r="E10" i="10"/>
  <c r="F9" i="10"/>
  <c r="D8" i="10"/>
  <c r="E9" i="34"/>
  <c r="D8" i="34"/>
  <c r="D10" i="32"/>
  <c r="D9" i="32"/>
  <c r="D8" i="32"/>
  <c r="F7" i="32"/>
  <c r="D10" i="10"/>
  <c r="E9" i="10"/>
  <c r="F7" i="10"/>
  <c r="F10" i="34"/>
  <c r="D9" i="34"/>
  <c r="E7" i="32"/>
  <c r="F8" i="10"/>
  <c r="E7" i="10"/>
  <c r="G10" i="10"/>
  <c r="H9" i="10"/>
  <c r="I7" i="10"/>
  <c r="L9" i="10"/>
  <c r="J8" i="10"/>
  <c r="G23" i="15"/>
  <c r="I30" i="15"/>
  <c r="I28" i="15"/>
  <c r="N4" i="31"/>
  <c r="AD7" i="32"/>
  <c r="AC7" i="32"/>
  <c r="AF7" i="32"/>
  <c r="P5" i="31"/>
  <c r="AH8" i="32"/>
  <c r="E169" i="44"/>
  <c r="E169" i="45"/>
  <c r="E169" i="38"/>
  <c r="E169" i="1"/>
  <c r="E169" i="37"/>
  <c r="I9" i="34"/>
  <c r="I29" i="15"/>
  <c r="O4" i="31"/>
  <c r="AG7" i="32"/>
  <c r="O6" i="31"/>
  <c r="AG9" i="32"/>
  <c r="P4" i="31"/>
  <c r="AH7" i="32"/>
  <c r="N6" i="31"/>
  <c r="AD9" i="32"/>
  <c r="AC9" i="32"/>
  <c r="AF9" i="32"/>
  <c r="O7" i="31"/>
  <c r="AG10" i="32"/>
  <c r="D62" i="11"/>
  <c r="D19" i="11"/>
  <c r="U19" i="11" s="1"/>
  <c r="B59" i="11"/>
  <c r="A68" i="11" s="1"/>
  <c r="P24" i="16"/>
  <c r="O24" i="16"/>
  <c r="N24" i="16"/>
  <c r="F16" i="11"/>
  <c r="J9" i="34"/>
  <c r="H25" i="15"/>
  <c r="K9" i="15" s="1"/>
  <c r="H26" i="15"/>
  <c r="K10" i="15" s="1"/>
  <c r="I26" i="15"/>
  <c r="I27" i="15"/>
  <c r="N5" i="31"/>
  <c r="AD8" i="32"/>
  <c r="AC8" i="32"/>
  <c r="AF8" i="32"/>
  <c r="H24" i="15"/>
  <c r="K8" i="15" s="1"/>
  <c r="I25" i="15"/>
  <c r="G30" i="15"/>
  <c r="J14" i="15" s="1"/>
  <c r="R10" i="10" s="1"/>
  <c r="O5" i="31"/>
  <c r="AG8" i="32"/>
  <c r="N7" i="31"/>
  <c r="AC10" i="32"/>
  <c r="AF10" i="32"/>
  <c r="AD10" i="32"/>
  <c r="D60" i="11"/>
  <c r="D17" i="11"/>
  <c r="F18" i="11"/>
  <c r="B61" i="11"/>
  <c r="P26" i="16"/>
  <c r="O26" i="16"/>
  <c r="N26" i="16"/>
  <c r="I7" i="32"/>
  <c r="G8" i="32"/>
  <c r="K8" i="32"/>
  <c r="G9" i="32"/>
  <c r="K9" i="32"/>
  <c r="G10" i="32"/>
  <c r="G7" i="34"/>
  <c r="L7" i="34"/>
  <c r="H8" i="34"/>
  <c r="G41" i="11"/>
  <c r="N41" i="11" s="1"/>
  <c r="BA42" i="11"/>
  <c r="BA51" i="11" s="1"/>
  <c r="AW42" i="11"/>
  <c r="AW51" i="11" s="1"/>
  <c r="AS42" i="11"/>
  <c r="AS51" i="11" s="1"/>
  <c r="AO42" i="11"/>
  <c r="AO51" i="11" s="1"/>
  <c r="AK42" i="11"/>
  <c r="AK51" i="11" s="1"/>
  <c r="AG42" i="11"/>
  <c r="AG51" i="11" s="1"/>
  <c r="AC42" i="11"/>
  <c r="AC51" i="11" s="1"/>
  <c r="Y42" i="11"/>
  <c r="Y51" i="11" s="1"/>
  <c r="AZ42" i="11"/>
  <c r="AZ51" i="11" s="1"/>
  <c r="AU42" i="11"/>
  <c r="AU51" i="11" s="1"/>
  <c r="AP42" i="11"/>
  <c r="AP51" i="11" s="1"/>
  <c r="AJ42" i="11"/>
  <c r="AJ51" i="11" s="1"/>
  <c r="AE42" i="11"/>
  <c r="AE51" i="11" s="1"/>
  <c r="Z42" i="11"/>
  <c r="Z51" i="11" s="1"/>
  <c r="U42" i="11"/>
  <c r="U51" i="11" s="1"/>
  <c r="AY42" i="11"/>
  <c r="AY51" i="11" s="1"/>
  <c r="AT42" i="11"/>
  <c r="AT51" i="11" s="1"/>
  <c r="AN42" i="11"/>
  <c r="AN51" i="11" s="1"/>
  <c r="AI42" i="11"/>
  <c r="AI51" i="11" s="1"/>
  <c r="AD42" i="11"/>
  <c r="AD51" i="11" s="1"/>
  <c r="X42" i="11"/>
  <c r="X51" i="11" s="1"/>
  <c r="T42" i="11"/>
  <c r="T51" i="11" s="1"/>
  <c r="BC42" i="11"/>
  <c r="BC51" i="11" s="1"/>
  <c r="AX42" i="11"/>
  <c r="AX51" i="11" s="1"/>
  <c r="AR42" i="11"/>
  <c r="AR51" i="11" s="1"/>
  <c r="AM42" i="11"/>
  <c r="AM51" i="11" s="1"/>
  <c r="AH42" i="11"/>
  <c r="AH51" i="11" s="1"/>
  <c r="AB42" i="11"/>
  <c r="AB51" i="11" s="1"/>
  <c r="W42" i="11"/>
  <c r="W51" i="11" s="1"/>
  <c r="AF42" i="11"/>
  <c r="AF51" i="11" s="1"/>
  <c r="BB42" i="11"/>
  <c r="BB51" i="11" s="1"/>
  <c r="I10" i="34"/>
  <c r="G9" i="34"/>
  <c r="G8" i="34"/>
  <c r="H7" i="34"/>
  <c r="D84" i="45"/>
  <c r="D84" i="44"/>
  <c r="D84" i="38"/>
  <c r="K169" i="45"/>
  <c r="G169" i="45"/>
  <c r="J169" i="44"/>
  <c r="F169" i="44"/>
  <c r="K169" i="44"/>
  <c r="J169" i="45"/>
  <c r="F169" i="45"/>
  <c r="M169" i="44"/>
  <c r="I169" i="44"/>
  <c r="M169" i="45"/>
  <c r="I169" i="45"/>
  <c r="L169" i="44"/>
  <c r="H169" i="44"/>
  <c r="L169" i="45"/>
  <c r="H169" i="45"/>
  <c r="G169" i="44"/>
  <c r="J169" i="38"/>
  <c r="F169" i="38"/>
  <c r="M169" i="38"/>
  <c r="I169" i="38"/>
  <c r="L169" i="38"/>
  <c r="H169" i="38"/>
  <c r="K169" i="38"/>
  <c r="G169" i="38"/>
  <c r="B60" i="11"/>
  <c r="F17" i="11"/>
  <c r="O28" i="16"/>
  <c r="O30" i="16"/>
  <c r="B66" i="11"/>
  <c r="F23" i="11"/>
  <c r="J7" i="10"/>
  <c r="L7" i="10"/>
  <c r="G8" i="10"/>
  <c r="K8" i="10"/>
  <c r="I9" i="10"/>
  <c r="H10" i="10"/>
  <c r="J7" i="32"/>
  <c r="L7" i="32"/>
  <c r="H8" i="32"/>
  <c r="L8" i="32"/>
  <c r="H9" i="32"/>
  <c r="L9" i="32"/>
  <c r="H10" i="32"/>
  <c r="E34" i="32"/>
  <c r="F23" i="32"/>
  <c r="I7" i="34"/>
  <c r="I8" i="34"/>
  <c r="G10" i="34"/>
  <c r="AB11" i="34"/>
  <c r="G40" i="11"/>
  <c r="N40" i="11" s="1"/>
  <c r="Q20" i="11"/>
  <c r="Q21" i="11"/>
  <c r="Z38" i="11"/>
  <c r="Z47" i="11" s="1"/>
  <c r="AL42" i="11"/>
  <c r="AL51" i="11" s="1"/>
  <c r="J10" i="34"/>
  <c r="K9" i="34"/>
  <c r="K8" i="34"/>
  <c r="K7" i="34"/>
  <c r="P28" i="16"/>
  <c r="P30" i="16"/>
  <c r="C140" i="45"/>
  <c r="C140" i="44"/>
  <c r="C140" i="38"/>
  <c r="C19" i="21"/>
  <c r="G19" i="21" s="1"/>
  <c r="C20" i="21"/>
  <c r="E20" i="21" s="1"/>
  <c r="F20" i="21" s="1"/>
  <c r="C21" i="21"/>
  <c r="E21" i="21" s="1"/>
  <c r="F21" i="21" s="1"/>
  <c r="G7" i="10"/>
  <c r="H8" i="10"/>
  <c r="L8" i="10"/>
  <c r="J9" i="10"/>
  <c r="I10" i="10"/>
  <c r="G7" i="32"/>
  <c r="I8" i="32"/>
  <c r="I9" i="32"/>
  <c r="I10" i="32"/>
  <c r="J7" i="34"/>
  <c r="J8" i="34"/>
  <c r="L9" i="34"/>
  <c r="H10" i="34"/>
  <c r="R16" i="11"/>
  <c r="S16" i="11" s="1"/>
  <c r="X16" i="11" s="1"/>
  <c r="G37" i="11"/>
  <c r="N37" i="11" s="1"/>
  <c r="S17" i="11"/>
  <c r="V17" i="11" s="1"/>
  <c r="F20" i="11"/>
  <c r="F21" i="11"/>
  <c r="G42" i="11"/>
  <c r="N42" i="11" s="1"/>
  <c r="R22" i="11"/>
  <c r="AC21" i="11"/>
  <c r="K27" i="11"/>
  <c r="O27" i="11"/>
  <c r="G36" i="11"/>
  <c r="N36" i="11" s="1"/>
  <c r="BA38" i="11"/>
  <c r="BA47" i="11" s="1"/>
  <c r="AW38" i="11"/>
  <c r="AW47" i="11" s="1"/>
  <c r="AS38" i="11"/>
  <c r="AS47" i="11" s="1"/>
  <c r="AO38" i="11"/>
  <c r="AO47" i="11" s="1"/>
  <c r="AK38" i="11"/>
  <c r="AK47" i="11" s="1"/>
  <c r="AG38" i="11"/>
  <c r="AG47" i="11" s="1"/>
  <c r="AC38" i="11"/>
  <c r="AC47" i="11" s="1"/>
  <c r="Y38" i="11"/>
  <c r="Y47" i="11" s="1"/>
  <c r="U38" i="11"/>
  <c r="U47" i="11" s="1"/>
  <c r="AZ38" i="11"/>
  <c r="AZ47" i="11" s="1"/>
  <c r="AV38" i="11"/>
  <c r="AV47" i="11" s="1"/>
  <c r="AR38" i="11"/>
  <c r="AR47" i="11" s="1"/>
  <c r="AN38" i="11"/>
  <c r="AN47" i="11" s="1"/>
  <c r="AJ38" i="11"/>
  <c r="AJ47" i="11" s="1"/>
  <c r="AF38" i="11"/>
  <c r="AF47" i="11" s="1"/>
  <c r="AB38" i="11"/>
  <c r="AB47" i="11" s="1"/>
  <c r="X38" i="11"/>
  <c r="X47" i="11" s="1"/>
  <c r="T38" i="11"/>
  <c r="T47" i="11" s="1"/>
  <c r="BC38" i="11"/>
  <c r="BC47" i="11" s="1"/>
  <c r="AY38" i="11"/>
  <c r="AY47" i="11" s="1"/>
  <c r="AU38" i="11"/>
  <c r="AU47" i="11" s="1"/>
  <c r="AQ38" i="11"/>
  <c r="AQ47" i="11" s="1"/>
  <c r="AM38" i="11"/>
  <c r="AM47" i="11" s="1"/>
  <c r="AI38" i="11"/>
  <c r="AI47" i="11" s="1"/>
  <c r="AE38" i="11"/>
  <c r="AE47" i="11" s="1"/>
  <c r="AA38" i="11"/>
  <c r="AA47" i="11" s="1"/>
  <c r="W38" i="11"/>
  <c r="W47" i="11" s="1"/>
  <c r="AD38" i="11"/>
  <c r="AD47" i="11" s="1"/>
  <c r="AT38" i="11"/>
  <c r="AT47" i="11" s="1"/>
  <c r="V42" i="11"/>
  <c r="V51" i="11" s="1"/>
  <c r="AQ42" i="11"/>
  <c r="AQ51" i="11" s="1"/>
  <c r="D169" i="44"/>
  <c r="D169" i="45"/>
  <c r="D169" i="38"/>
  <c r="H7" i="10"/>
  <c r="K7" i="10"/>
  <c r="I8" i="10"/>
  <c r="G9" i="10"/>
  <c r="K9" i="10"/>
  <c r="J10" i="10"/>
  <c r="H7" i="32"/>
  <c r="K7" i="32"/>
  <c r="J8" i="32"/>
  <c r="J9" i="32"/>
  <c r="AH9" i="32"/>
  <c r="J10" i="32"/>
  <c r="AH10" i="32"/>
  <c r="D82" i="44"/>
  <c r="D82" i="45"/>
  <c r="D82" i="37"/>
  <c r="C14" i="32"/>
  <c r="D82" i="38"/>
  <c r="L8" i="34"/>
  <c r="H9" i="34"/>
  <c r="L10" i="34"/>
  <c r="F19" i="11"/>
  <c r="L27" i="11"/>
  <c r="AA42" i="11"/>
  <c r="AA51" i="11" s="1"/>
  <c r="AV42" i="11"/>
  <c r="AV51" i="11" s="1"/>
  <c r="V39" i="11"/>
  <c r="V48" i="11" s="1"/>
  <c r="Z39" i="11"/>
  <c r="Z48" i="11" s="1"/>
  <c r="AD39" i="11"/>
  <c r="AD48" i="11" s="1"/>
  <c r="AH39" i="11"/>
  <c r="AH48" i="11" s="1"/>
  <c r="AL39" i="11"/>
  <c r="AL48" i="11" s="1"/>
  <c r="AP39" i="11"/>
  <c r="AP48" i="11" s="1"/>
  <c r="AT39" i="11"/>
  <c r="AT48" i="11" s="1"/>
  <c r="AX39" i="11"/>
  <c r="AX48" i="11" s="1"/>
  <c r="BB39" i="11"/>
  <c r="BB48" i="11" s="1"/>
  <c r="S23" i="11"/>
  <c r="V36" i="11"/>
  <c r="V45" i="11" s="1"/>
  <c r="Z36" i="11"/>
  <c r="Z45" i="11" s="1"/>
  <c r="AD36" i="11"/>
  <c r="AD45" i="11" s="1"/>
  <c r="AH36" i="11"/>
  <c r="AH45" i="11" s="1"/>
  <c r="AL36" i="11"/>
  <c r="AL45" i="11" s="1"/>
  <c r="AP36" i="11"/>
  <c r="AP45" i="11" s="1"/>
  <c r="AT36" i="11"/>
  <c r="AT45" i="11" s="1"/>
  <c r="AX36" i="11"/>
  <c r="AX45" i="11" s="1"/>
  <c r="U37" i="11"/>
  <c r="U46" i="11" s="1"/>
  <c r="Y37" i="11"/>
  <c r="Y46" i="11" s="1"/>
  <c r="AC37" i="11"/>
  <c r="AC46" i="11" s="1"/>
  <c r="AG37" i="11"/>
  <c r="AG46" i="11" s="1"/>
  <c r="AK37" i="11"/>
  <c r="AK46" i="11" s="1"/>
  <c r="AO37" i="11"/>
  <c r="AO46" i="11" s="1"/>
  <c r="AS37" i="11"/>
  <c r="AS46" i="11" s="1"/>
  <c r="AW37" i="11"/>
  <c r="AW46" i="11" s="1"/>
  <c r="BA37" i="11"/>
  <c r="BA46" i="11" s="1"/>
  <c r="W39" i="11"/>
  <c r="W48" i="11" s="1"/>
  <c r="AA39" i="11"/>
  <c r="AA48" i="11" s="1"/>
  <c r="AE39" i="11"/>
  <c r="AE48" i="11" s="1"/>
  <c r="AI39" i="11"/>
  <c r="AI48" i="11" s="1"/>
  <c r="AM39" i="11"/>
  <c r="AM48" i="11" s="1"/>
  <c r="AQ39" i="11"/>
  <c r="AQ48" i="11" s="1"/>
  <c r="AU39" i="11"/>
  <c r="AU48" i="11" s="1"/>
  <c r="AY39" i="11"/>
  <c r="AY48" i="11" s="1"/>
  <c r="BC39" i="11"/>
  <c r="BC48" i="11" s="1"/>
  <c r="V40" i="11"/>
  <c r="V49" i="11" s="1"/>
  <c r="Z40" i="11"/>
  <c r="Z49" i="11" s="1"/>
  <c r="AD40" i="11"/>
  <c r="AD49" i="11" s="1"/>
  <c r="AH40" i="11"/>
  <c r="AH49" i="11" s="1"/>
  <c r="AL40" i="11"/>
  <c r="AL49" i="11" s="1"/>
  <c r="AP40" i="11"/>
  <c r="AP49" i="11" s="1"/>
  <c r="AT40" i="11"/>
  <c r="AT49" i="11" s="1"/>
  <c r="AX40" i="11"/>
  <c r="AX49" i="11" s="1"/>
  <c r="BB40" i="11"/>
  <c r="BB49" i="11" s="1"/>
  <c r="U41" i="11"/>
  <c r="U50" i="11" s="1"/>
  <c r="Y41" i="11"/>
  <c r="Y50" i="11" s="1"/>
  <c r="AC41" i="11"/>
  <c r="AC50" i="11" s="1"/>
  <c r="AG41" i="11"/>
  <c r="AG50" i="11" s="1"/>
  <c r="AK41" i="11"/>
  <c r="AK50" i="11" s="1"/>
  <c r="AO41" i="11"/>
  <c r="AO50" i="11" s="1"/>
  <c r="AS41" i="11"/>
  <c r="AS50" i="11" s="1"/>
  <c r="AW41" i="11"/>
  <c r="AW50" i="11" s="1"/>
  <c r="BA41" i="11"/>
  <c r="BA50" i="11" s="1"/>
  <c r="AZ43" i="11"/>
  <c r="AZ52" i="11" s="1"/>
  <c r="AV43" i="11"/>
  <c r="AV52" i="11" s="1"/>
  <c r="AR43" i="11"/>
  <c r="AR52" i="11" s="1"/>
  <c r="AN43" i="11"/>
  <c r="AN52" i="11" s="1"/>
  <c r="AJ43" i="11"/>
  <c r="AJ52" i="11" s="1"/>
  <c r="AF43" i="11"/>
  <c r="AF52" i="11" s="1"/>
  <c r="AB43" i="11"/>
  <c r="AB52" i="11" s="1"/>
  <c r="X43" i="11"/>
  <c r="X52" i="11" s="1"/>
  <c r="T43" i="11"/>
  <c r="T52" i="11" s="1"/>
  <c r="BC43" i="11"/>
  <c r="BC52" i="11" s="1"/>
  <c r="AY43" i="11"/>
  <c r="AY52" i="11" s="1"/>
  <c r="AU43" i="11"/>
  <c r="AU52" i="11" s="1"/>
  <c r="AQ43" i="11"/>
  <c r="AQ52" i="11" s="1"/>
  <c r="AM43" i="11"/>
  <c r="AM52" i="11" s="1"/>
  <c r="AI43" i="11"/>
  <c r="AI52" i="11" s="1"/>
  <c r="AE43" i="11"/>
  <c r="AE52" i="11" s="1"/>
  <c r="AA43" i="11"/>
  <c r="AA52" i="11" s="1"/>
  <c r="W43" i="11"/>
  <c r="W52" i="11" s="1"/>
  <c r="V43" i="11"/>
  <c r="V52" i="11" s="1"/>
  <c r="AD43" i="11"/>
  <c r="AD52" i="11" s="1"/>
  <c r="AL43" i="11"/>
  <c r="AL52" i="11" s="1"/>
  <c r="AT43" i="11"/>
  <c r="AT52" i="11" s="1"/>
  <c r="BB43" i="11"/>
  <c r="BB52" i="11" s="1"/>
  <c r="Q18" i="11"/>
  <c r="V37" i="11"/>
  <c r="V46" i="11" s="1"/>
  <c r="Z37" i="11"/>
  <c r="Z46" i="11" s="1"/>
  <c r="AD37" i="11"/>
  <c r="AD46" i="11" s="1"/>
  <c r="AH37" i="11"/>
  <c r="AH46" i="11" s="1"/>
  <c r="AL37" i="11"/>
  <c r="AL46" i="11" s="1"/>
  <c r="AP37" i="11"/>
  <c r="AP46" i="11" s="1"/>
  <c r="AT37" i="11"/>
  <c r="AT46" i="11" s="1"/>
  <c r="AX37" i="11"/>
  <c r="AX46" i="11" s="1"/>
  <c r="T39" i="11"/>
  <c r="T48" i="11" s="1"/>
  <c r="X39" i="11"/>
  <c r="X48" i="11" s="1"/>
  <c r="AB39" i="11"/>
  <c r="AB48" i="11" s="1"/>
  <c r="AF39" i="11"/>
  <c r="AF48" i="11" s="1"/>
  <c r="AJ39" i="11"/>
  <c r="AJ48" i="11" s="1"/>
  <c r="AN39" i="11"/>
  <c r="AN48" i="11" s="1"/>
  <c r="AR39" i="11"/>
  <c r="AR48" i="11" s="1"/>
  <c r="AV39" i="11"/>
  <c r="AV48" i="11" s="1"/>
  <c r="AY40" i="11"/>
  <c r="AY49" i="11" s="1"/>
  <c r="V41" i="11"/>
  <c r="V50" i="11" s="1"/>
  <c r="Z41" i="11"/>
  <c r="Z50" i="11" s="1"/>
  <c r="AD41" i="11"/>
  <c r="AD50" i="11" s="1"/>
  <c r="AH41" i="11"/>
  <c r="AH50" i="11" s="1"/>
  <c r="AL41" i="11"/>
  <c r="AL50" i="11" s="1"/>
  <c r="AP41" i="11"/>
  <c r="AP50" i="11" s="1"/>
  <c r="AT41" i="11"/>
  <c r="AT50" i="11" s="1"/>
  <c r="AX41" i="11"/>
  <c r="AX50" i="11" s="1"/>
  <c r="AG43" i="11"/>
  <c r="AG52" i="11" s="1"/>
  <c r="AO43" i="11"/>
  <c r="AO52" i="11" s="1"/>
  <c r="AW43" i="11"/>
  <c r="AW52" i="11" s="1"/>
  <c r="AM105" i="45"/>
  <c r="AM105" i="44"/>
  <c r="AM105" i="38"/>
  <c r="E5" i="31"/>
  <c r="S86" i="11"/>
  <c r="AM103" i="45"/>
  <c r="AM103" i="44"/>
  <c r="AM103" i="38"/>
  <c r="AM101" i="44"/>
  <c r="AM101" i="45"/>
  <c r="AM101" i="38"/>
  <c r="AM102" i="45"/>
  <c r="AM102" i="44"/>
  <c r="AM104" i="45"/>
  <c r="AM104" i="44"/>
  <c r="AM106" i="45"/>
  <c r="AM106" i="44"/>
  <c r="D93" i="11"/>
  <c r="D86" i="38"/>
  <c r="AM102" i="38"/>
  <c r="AM104" i="38"/>
  <c r="AE9" i="34"/>
  <c r="AE11" i="34" s="1"/>
  <c r="AE8" i="10"/>
  <c r="AE11" i="10" s="1"/>
  <c r="D87" i="38"/>
  <c r="AB11" i="10"/>
  <c r="R85" i="11"/>
  <c r="D87" i="45"/>
  <c r="D87" i="44"/>
  <c r="AM106" i="38"/>
  <c r="F105" i="11"/>
  <c r="B8" i="39"/>
  <c r="C8" i="39" s="1"/>
  <c r="D86" i="45"/>
  <c r="D86" i="44"/>
  <c r="AM107" i="45"/>
  <c r="AM108" i="45" s="1"/>
  <c r="AM109" i="45" s="1"/>
  <c r="AM110" i="45" s="1"/>
  <c r="AM107" i="44"/>
  <c r="AM108" i="44" s="1"/>
  <c r="AM109" i="44" s="1"/>
  <c r="AM110" i="44" s="1"/>
  <c r="D5" i="31"/>
  <c r="F93" i="11"/>
  <c r="AL4" i="43"/>
  <c r="AK6" i="43"/>
  <c r="AL5" i="43"/>
  <c r="H18" i="21"/>
  <c r="J21" i="21"/>
  <c r="E22" i="21"/>
  <c r="F22" i="21" s="1"/>
  <c r="G22" i="21"/>
  <c r="AP5" i="43" l="1"/>
  <c r="AX480" i="43" s="1"/>
  <c r="AN5" i="43"/>
  <c r="AW480" i="43" s="1"/>
  <c r="AO5" i="43"/>
  <c r="AV480" i="43" s="1"/>
  <c r="AP4" i="43"/>
  <c r="AX489" i="43" s="1"/>
  <c r="AO4" i="43"/>
  <c r="AV489" i="43" s="1"/>
  <c r="AN4" i="43"/>
  <c r="AW489" i="43" s="1"/>
  <c r="C22" i="11"/>
  <c r="F42" i="11" s="1"/>
  <c r="Q29" i="16"/>
  <c r="D21" i="11"/>
  <c r="E41" i="11" s="1"/>
  <c r="D64" i="11"/>
  <c r="R25" i="16"/>
  <c r="AE11" i="32"/>
  <c r="AE17" i="32" s="1"/>
  <c r="G20" i="21"/>
  <c r="G18" i="21"/>
  <c r="Q25" i="16"/>
  <c r="C20" i="11"/>
  <c r="X31" i="16"/>
  <c r="G8" i="12" s="1"/>
  <c r="J8" i="12" s="1"/>
  <c r="L7" i="15"/>
  <c r="E64" i="11"/>
  <c r="X29" i="16"/>
  <c r="G6" i="12" s="1"/>
  <c r="J6" i="12" s="1"/>
  <c r="C17" i="11"/>
  <c r="T17" i="11" s="1"/>
  <c r="P12" i="16"/>
  <c r="N31" i="16" s="1"/>
  <c r="Y32" i="16" s="1"/>
  <c r="H9" i="12" s="1"/>
  <c r="K9" i="12" s="1"/>
  <c r="E23" i="11"/>
  <c r="D43" i="11" s="1"/>
  <c r="C43" i="24"/>
  <c r="Q27" i="16"/>
  <c r="N13" i="31"/>
  <c r="AE54" i="11"/>
  <c r="R13" i="16"/>
  <c r="S25" i="16"/>
  <c r="C60" i="11"/>
  <c r="N120" i="11" s="1"/>
  <c r="O120" i="11" s="1"/>
  <c r="Q12" i="16"/>
  <c r="O31" i="16" s="1"/>
  <c r="L8" i="15"/>
  <c r="X19" i="11"/>
  <c r="R91" i="11"/>
  <c r="S27" i="16"/>
  <c r="C62" i="11"/>
  <c r="N122" i="11" s="1"/>
  <c r="O122" i="11" s="1"/>
  <c r="R27" i="16"/>
  <c r="BA54" i="11"/>
  <c r="U54" i="11"/>
  <c r="W30" i="16"/>
  <c r="F7" i="12" s="1"/>
  <c r="I7" i="12" s="1"/>
  <c r="C21" i="11"/>
  <c r="H21" i="11" s="1"/>
  <c r="AD21" i="11"/>
  <c r="R29" i="16"/>
  <c r="S29" i="16"/>
  <c r="P11" i="31"/>
  <c r="E13" i="13"/>
  <c r="BG49" i="11"/>
  <c r="BG48" i="11"/>
  <c r="BF45" i="11"/>
  <c r="T54" i="11"/>
  <c r="AB22" i="11"/>
  <c r="AY54" i="11"/>
  <c r="AC11" i="32"/>
  <c r="AB12" i="32" s="1"/>
  <c r="AB13" i="32" s="1"/>
  <c r="BE50" i="11"/>
  <c r="AU54" i="11"/>
  <c r="X54" i="11"/>
  <c r="AN54" i="11"/>
  <c r="AK54" i="11"/>
  <c r="U6" i="31"/>
  <c r="R21" i="11"/>
  <c r="O14" i="31"/>
  <c r="O13" i="31"/>
  <c r="W29" i="16"/>
  <c r="F6" i="12" s="1"/>
  <c r="I6" i="12" s="1"/>
  <c r="AW54" i="11"/>
  <c r="BB54" i="11"/>
  <c r="BF49" i="11"/>
  <c r="BE49" i="11"/>
  <c r="AQ54" i="11"/>
  <c r="AA54" i="11"/>
  <c r="AS54" i="11"/>
  <c r="AC54" i="11"/>
  <c r="AI54" i="11"/>
  <c r="AB54" i="11"/>
  <c r="AA22" i="11"/>
  <c r="AZ54" i="11"/>
  <c r="AF54" i="11"/>
  <c r="BG50" i="11"/>
  <c r="AM54" i="11"/>
  <c r="W54" i="11"/>
  <c r="BF46" i="11"/>
  <c r="Y54" i="11"/>
  <c r="BC54" i="11"/>
  <c r="AV54" i="11"/>
  <c r="R20" i="11"/>
  <c r="S20" i="11" s="1"/>
  <c r="V20" i="11" s="1"/>
  <c r="O12" i="31"/>
  <c r="AR54" i="11"/>
  <c r="D41" i="11"/>
  <c r="W31" i="16"/>
  <c r="F8" i="12" s="1"/>
  <c r="I8" i="12" s="1"/>
  <c r="F39" i="11"/>
  <c r="G19" i="11"/>
  <c r="T19" i="11"/>
  <c r="I19" i="11"/>
  <c r="J28" i="15"/>
  <c r="L12" i="15"/>
  <c r="T8" i="10" s="1"/>
  <c r="AF8" i="10" s="1"/>
  <c r="S5" i="31"/>
  <c r="T5" i="31"/>
  <c r="I28" i="35"/>
  <c r="L12" i="35" s="1"/>
  <c r="T8" i="34" s="1"/>
  <c r="AP54" i="11"/>
  <c r="BG46" i="11"/>
  <c r="AO54" i="11"/>
  <c r="X17" i="11"/>
  <c r="P14" i="31"/>
  <c r="P13" i="31"/>
  <c r="W26" i="16"/>
  <c r="Q30" i="16"/>
  <c r="C16" i="11"/>
  <c r="C59" i="11"/>
  <c r="Q24" i="16"/>
  <c r="AD11" i="32"/>
  <c r="J30" i="15"/>
  <c r="L14" i="15"/>
  <c r="T10" i="10" s="1"/>
  <c r="AD10" i="10" s="1"/>
  <c r="T4" i="31"/>
  <c r="S6" i="31"/>
  <c r="T6" i="31"/>
  <c r="H34" i="15"/>
  <c r="H30" i="35"/>
  <c r="K14" i="35" s="1"/>
  <c r="S10" i="34" s="1"/>
  <c r="H26" i="35"/>
  <c r="H34" i="35"/>
  <c r="H27" i="35"/>
  <c r="K11" i="35" s="1"/>
  <c r="S7" i="34" s="1"/>
  <c r="H23" i="35"/>
  <c r="K7" i="15"/>
  <c r="H28" i="35"/>
  <c r="K12" i="35" s="1"/>
  <c r="S8" i="34" s="1"/>
  <c r="H24" i="35"/>
  <c r="H25" i="35"/>
  <c r="H29" i="35"/>
  <c r="K13" i="35" s="1"/>
  <c r="S9" i="34" s="1"/>
  <c r="I29" i="35"/>
  <c r="L13" i="35" s="1"/>
  <c r="T9" i="34" s="1"/>
  <c r="I34" i="15"/>
  <c r="E24" i="32"/>
  <c r="F24" i="32"/>
  <c r="E31" i="32"/>
  <c r="E19" i="21"/>
  <c r="F19" i="21" s="1"/>
  <c r="D63" i="11"/>
  <c r="N123" i="11" s="1"/>
  <c r="O123" i="11" s="1"/>
  <c r="D20" i="11"/>
  <c r="X30" i="16"/>
  <c r="G7" i="12" s="1"/>
  <c r="J7" i="12" s="1"/>
  <c r="R28" i="16"/>
  <c r="BG51" i="11"/>
  <c r="D61" i="11"/>
  <c r="X28" i="16"/>
  <c r="G5" i="12" s="1"/>
  <c r="J5" i="12" s="1"/>
  <c r="D18" i="11"/>
  <c r="R26" i="16"/>
  <c r="Y28" i="16"/>
  <c r="H5" i="12" s="1"/>
  <c r="K5" i="12" s="1"/>
  <c r="Q28" i="16"/>
  <c r="L11" i="15"/>
  <c r="T7" i="10" s="1"/>
  <c r="J27" i="15"/>
  <c r="D59" i="11"/>
  <c r="C68" i="11" s="1"/>
  <c r="C69" i="11" s="1"/>
  <c r="D16" i="11"/>
  <c r="U16" i="11" s="1"/>
  <c r="X26" i="16"/>
  <c r="R24" i="16"/>
  <c r="Y26" i="16"/>
  <c r="O11" i="31"/>
  <c r="P12" i="31"/>
  <c r="N11" i="31"/>
  <c r="S7" i="31"/>
  <c r="T7" i="31"/>
  <c r="S4" i="31"/>
  <c r="I30" i="35"/>
  <c r="L14" i="35" s="1"/>
  <c r="T10" i="34" s="1"/>
  <c r="I23" i="35"/>
  <c r="BG52" i="11"/>
  <c r="BF50" i="11"/>
  <c r="AT54" i="11"/>
  <c r="AD54" i="11"/>
  <c r="Y31" i="16"/>
  <c r="H8" i="12" s="1"/>
  <c r="K8" i="12" s="1"/>
  <c r="S28" i="16"/>
  <c r="A69" i="11"/>
  <c r="A70" i="11" s="1"/>
  <c r="A71" i="11" s="1"/>
  <c r="A72" i="11" s="1"/>
  <c r="A73" i="11" s="1"/>
  <c r="A74" i="11" s="1"/>
  <c r="A75" i="11" s="1"/>
  <c r="A76" i="11" s="1"/>
  <c r="I25" i="35"/>
  <c r="I34" i="35"/>
  <c r="G21" i="21"/>
  <c r="BF52" i="11"/>
  <c r="Z54" i="11"/>
  <c r="K10" i="32"/>
  <c r="U7" i="31" s="1"/>
  <c r="BG47" i="11"/>
  <c r="U5" i="31"/>
  <c r="L10" i="32"/>
  <c r="D65" i="11"/>
  <c r="D22" i="11"/>
  <c r="U22" i="11" s="1"/>
  <c r="R30" i="16"/>
  <c r="BF51" i="11"/>
  <c r="BE51" i="11"/>
  <c r="AG54" i="11"/>
  <c r="C61" i="11"/>
  <c r="C18" i="11"/>
  <c r="W27" i="16"/>
  <c r="F4" i="12" s="1"/>
  <c r="Q26" i="16"/>
  <c r="E37" i="11"/>
  <c r="N12" i="31"/>
  <c r="G34" i="15"/>
  <c r="G29" i="35"/>
  <c r="J13" i="35" s="1"/>
  <c r="R9" i="34" s="1"/>
  <c r="G25" i="35"/>
  <c r="G30" i="35"/>
  <c r="J14" i="35" s="1"/>
  <c r="R10" i="34" s="1"/>
  <c r="G26" i="35"/>
  <c r="G34" i="35"/>
  <c r="G27" i="35"/>
  <c r="J11" i="35" s="1"/>
  <c r="R7" i="34" s="1"/>
  <c r="G23" i="35"/>
  <c r="J7" i="15"/>
  <c r="G24" i="35"/>
  <c r="G28" i="35"/>
  <c r="J12" i="35" s="1"/>
  <c r="R8" i="34" s="1"/>
  <c r="S85" i="11"/>
  <c r="S91" i="11" s="1"/>
  <c r="E4" i="31"/>
  <c r="BE48" i="11"/>
  <c r="BE52" i="11"/>
  <c r="AL54" i="11"/>
  <c r="V54" i="11"/>
  <c r="BF47" i="11"/>
  <c r="BE46" i="11"/>
  <c r="K10" i="34"/>
  <c r="BF48" i="11"/>
  <c r="R18" i="11"/>
  <c r="AX54" i="11"/>
  <c r="AH54" i="11"/>
  <c r="K10" i="10"/>
  <c r="BE47" i="11"/>
  <c r="AJ54" i="11"/>
  <c r="BE45" i="11"/>
  <c r="S22" i="11"/>
  <c r="E22" i="11"/>
  <c r="E65" i="11"/>
  <c r="S30" i="16"/>
  <c r="L10" i="10"/>
  <c r="BG45" i="11"/>
  <c r="X23" i="11"/>
  <c r="U4" i="31"/>
  <c r="Y30" i="16"/>
  <c r="H7" i="12" s="1"/>
  <c r="K7" i="12" s="1"/>
  <c r="Y29" i="16"/>
  <c r="H6" i="12" s="1"/>
  <c r="K6" i="12" s="1"/>
  <c r="S26" i="16"/>
  <c r="X27" i="16"/>
  <c r="G4" i="12" s="1"/>
  <c r="N14" i="31"/>
  <c r="L9" i="15"/>
  <c r="J25" i="15"/>
  <c r="J26" i="15"/>
  <c r="L10" i="15"/>
  <c r="U17" i="11"/>
  <c r="E59" i="11"/>
  <c r="D68" i="11" s="1"/>
  <c r="D69" i="11" s="1"/>
  <c r="D70" i="11" s="1"/>
  <c r="D71" i="11" s="1"/>
  <c r="D72" i="11" s="1"/>
  <c r="E16" i="11"/>
  <c r="Y27" i="16"/>
  <c r="H4" i="12" s="1"/>
  <c r="S24" i="16"/>
  <c r="H19" i="11"/>
  <c r="E39" i="11"/>
  <c r="L13" i="15"/>
  <c r="T9" i="10" s="1"/>
  <c r="J29" i="15"/>
  <c r="W28" i="16"/>
  <c r="F5" i="12" s="1"/>
  <c r="I5" i="12" s="1"/>
  <c r="I26" i="35"/>
  <c r="I24" i="35"/>
  <c r="I27" i="35"/>
  <c r="L11" i="35" s="1"/>
  <c r="T7" i="34" s="1"/>
  <c r="AU470" i="43"/>
  <c r="AL6" i="43"/>
  <c r="AK7" i="43"/>
  <c r="C27" i="21"/>
  <c r="B27" i="21"/>
  <c r="A27" i="21"/>
  <c r="BB480" i="43" l="1"/>
  <c r="BA480" i="43"/>
  <c r="BX477" i="43" s="1"/>
  <c r="BW477" i="43" s="1"/>
  <c r="AZ480" i="43"/>
  <c r="BR477" i="43" s="1"/>
  <c r="BQ477" i="43" s="1"/>
  <c r="AZ489" i="43"/>
  <c r="BR486" i="43" s="1"/>
  <c r="BQ486" i="43" s="1"/>
  <c r="BB489" i="43"/>
  <c r="BA489" i="43"/>
  <c r="BX486" i="43" s="1"/>
  <c r="BW486" i="43" s="1"/>
  <c r="U21" i="11"/>
  <c r="AU489" i="43"/>
  <c r="AN6" i="43"/>
  <c r="AW466" i="43" s="1"/>
  <c r="AP6" i="43"/>
  <c r="AX466" i="43" s="1"/>
  <c r="AO6" i="43"/>
  <c r="AV466" i="43" s="1"/>
  <c r="T22" i="11"/>
  <c r="T21" i="11"/>
  <c r="I17" i="11"/>
  <c r="N124" i="11"/>
  <c r="O124" i="11" s="1"/>
  <c r="C66" i="11"/>
  <c r="G17" i="11"/>
  <c r="F41" i="11"/>
  <c r="R41" i="11" s="1"/>
  <c r="P13" i="16"/>
  <c r="H17" i="11"/>
  <c r="C23" i="11"/>
  <c r="T23" i="11" s="1"/>
  <c r="I21" i="11"/>
  <c r="G21" i="11"/>
  <c r="F37" i="11"/>
  <c r="Q37" i="11" s="1"/>
  <c r="X32" i="16"/>
  <c r="G9" i="12" s="1"/>
  <c r="J9" i="12" s="1"/>
  <c r="W32" i="16"/>
  <c r="F9" i="12" s="1"/>
  <c r="I9" i="12" s="1"/>
  <c r="Q31" i="16"/>
  <c r="Q33" i="16" s="1"/>
  <c r="G20" i="11"/>
  <c r="F40" i="11"/>
  <c r="O40" i="11" s="1"/>
  <c r="D73" i="11"/>
  <c r="D74" i="11" s="1"/>
  <c r="D75" i="11" s="1"/>
  <c r="A79" i="11" s="1"/>
  <c r="T20" i="11"/>
  <c r="V23" i="11"/>
  <c r="R31" i="16"/>
  <c r="R33" i="16" s="1"/>
  <c r="O16" i="31"/>
  <c r="AC22" i="11"/>
  <c r="D23" i="11"/>
  <c r="U23" i="11" s="1"/>
  <c r="Q13" i="16"/>
  <c r="D66" i="11"/>
  <c r="S31" i="16"/>
  <c r="S33" i="16" s="1"/>
  <c r="L5" i="12"/>
  <c r="B8" i="32" s="1"/>
  <c r="L6" i="12"/>
  <c r="B9" i="34" s="1"/>
  <c r="O9" i="34" s="1"/>
  <c r="X9" i="34" s="1"/>
  <c r="AC10" i="10"/>
  <c r="U18" i="11"/>
  <c r="AF10" i="10"/>
  <c r="L7" i="12"/>
  <c r="B10" i="10" s="1"/>
  <c r="O10" i="10" s="1"/>
  <c r="P16" i="31"/>
  <c r="L8" i="12"/>
  <c r="S21" i="11"/>
  <c r="V21" i="11" s="1"/>
  <c r="X20" i="11"/>
  <c r="S8" i="31"/>
  <c r="S9" i="31" s="1"/>
  <c r="N121" i="11"/>
  <c r="O121" i="11" s="1"/>
  <c r="N125" i="11"/>
  <c r="O125" i="11" s="1"/>
  <c r="C70" i="11"/>
  <c r="C71" i="11" s="1"/>
  <c r="C72" i="11" s="1"/>
  <c r="C73" i="11" s="1"/>
  <c r="C74" i="11" s="1"/>
  <c r="AH10" i="34"/>
  <c r="AG8" i="34"/>
  <c r="I16" i="11"/>
  <c r="D36" i="11"/>
  <c r="S18" i="11"/>
  <c r="V18" i="11" s="1"/>
  <c r="AD10" i="34"/>
  <c r="AC10" i="34"/>
  <c r="AF10" i="34"/>
  <c r="N16" i="31"/>
  <c r="AH7" i="10"/>
  <c r="AG7" i="10"/>
  <c r="AD7" i="10"/>
  <c r="AC7" i="10"/>
  <c r="AF7" i="10"/>
  <c r="E38" i="11"/>
  <c r="H18" i="11"/>
  <c r="E40" i="11"/>
  <c r="H20" i="11"/>
  <c r="AG9" i="34"/>
  <c r="O39" i="11"/>
  <c r="Q39" i="11"/>
  <c r="AH7" i="34"/>
  <c r="AC8" i="34"/>
  <c r="AF8" i="34"/>
  <c r="AD8" i="34"/>
  <c r="AH8" i="34"/>
  <c r="AH9" i="10"/>
  <c r="AG9" i="10"/>
  <c r="AD9" i="10"/>
  <c r="AC9" i="10"/>
  <c r="AF9" i="10"/>
  <c r="H10" i="12"/>
  <c r="K10" i="12" s="1"/>
  <c r="K4" i="12"/>
  <c r="I22" i="11"/>
  <c r="D42" i="11"/>
  <c r="P37" i="11"/>
  <c r="G18" i="11"/>
  <c r="F38" i="11"/>
  <c r="I18" i="11"/>
  <c r="H22" i="11"/>
  <c r="E42" i="11"/>
  <c r="AH9" i="34"/>
  <c r="T8" i="31"/>
  <c r="T9" i="31" s="1"/>
  <c r="F36" i="11"/>
  <c r="G16" i="11"/>
  <c r="T16" i="11"/>
  <c r="AH8" i="10"/>
  <c r="AD8" i="10"/>
  <c r="P41" i="11"/>
  <c r="R39" i="11"/>
  <c r="P39" i="11"/>
  <c r="Q40" i="11"/>
  <c r="I20" i="11"/>
  <c r="T18" i="11"/>
  <c r="AF7" i="34"/>
  <c r="AC7" i="34"/>
  <c r="AD7" i="34"/>
  <c r="AG8" i="10"/>
  <c r="G22" i="11"/>
  <c r="O103" i="45"/>
  <c r="P103" i="45" s="1"/>
  <c r="Q103" i="45" s="1"/>
  <c r="O103" i="37"/>
  <c r="P103" i="37" s="1"/>
  <c r="Q103" i="37" s="1"/>
  <c r="O103" i="1"/>
  <c r="P103" i="1" s="1"/>
  <c r="Q103" i="1" s="1"/>
  <c r="AG10" i="34"/>
  <c r="AH10" i="10"/>
  <c r="AG10" i="10"/>
  <c r="AC8" i="10"/>
  <c r="J4" i="12"/>
  <c r="U8" i="31"/>
  <c r="U9" i="31" s="1"/>
  <c r="V22" i="11"/>
  <c r="X22" i="11"/>
  <c r="AC9" i="34"/>
  <c r="AF9" i="34"/>
  <c r="AD9" i="34"/>
  <c r="I4" i="12"/>
  <c r="U20" i="11"/>
  <c r="V16" i="11"/>
  <c r="E36" i="11"/>
  <c r="H16" i="11"/>
  <c r="O42" i="11"/>
  <c r="Q42" i="11"/>
  <c r="AG7" i="34"/>
  <c r="N119" i="11"/>
  <c r="O119" i="11" s="1"/>
  <c r="B68" i="11"/>
  <c r="B69" i="11" s="1"/>
  <c r="B70" i="11" s="1"/>
  <c r="B71" i="11" s="1"/>
  <c r="B72" i="11" s="1"/>
  <c r="B73" i="11" s="1"/>
  <c r="B74" i="11" s="1"/>
  <c r="B75" i="11" s="1"/>
  <c r="A77" i="11" s="1"/>
  <c r="AU480" i="43"/>
  <c r="AK8" i="43"/>
  <c r="AL7" i="43"/>
  <c r="D185" i="44"/>
  <c r="N185" i="44"/>
  <c r="N185" i="37"/>
  <c r="E27" i="21"/>
  <c r="D185" i="37"/>
  <c r="D185" i="38"/>
  <c r="D185" i="1"/>
  <c r="N185" i="38"/>
  <c r="N185" i="1"/>
  <c r="E185" i="44"/>
  <c r="O185" i="44"/>
  <c r="E185" i="38"/>
  <c r="E185" i="1"/>
  <c r="O185" i="38"/>
  <c r="O185" i="1"/>
  <c r="F27" i="21"/>
  <c r="E185" i="37"/>
  <c r="O185" i="37"/>
  <c r="F185" i="44"/>
  <c r="P185" i="44"/>
  <c r="P185" i="38"/>
  <c r="P185" i="1"/>
  <c r="F185" i="38"/>
  <c r="F185" i="1"/>
  <c r="F185" i="37"/>
  <c r="P185" i="37"/>
  <c r="BA466" i="43" l="1"/>
  <c r="BX463" i="43" s="1"/>
  <c r="BW463" i="43" s="1"/>
  <c r="AZ466" i="43"/>
  <c r="BR463" i="43" s="1"/>
  <c r="BQ463" i="43" s="1"/>
  <c r="BB466" i="43"/>
  <c r="AO7" i="43"/>
  <c r="AV468" i="43" s="1"/>
  <c r="AN7" i="43"/>
  <c r="AW468" i="43" s="1"/>
  <c r="AP7" i="43"/>
  <c r="AX468" i="43" s="1"/>
  <c r="N126" i="11"/>
  <c r="O126" i="11" s="1"/>
  <c r="F43" i="11"/>
  <c r="Q43" i="11" s="1"/>
  <c r="G10" i="12"/>
  <c r="J10" i="12" s="1"/>
  <c r="Q41" i="11"/>
  <c r="O41" i="11"/>
  <c r="B41" i="11" s="1"/>
  <c r="C41" i="11" s="1"/>
  <c r="F10" i="12"/>
  <c r="I10" i="12" s="1"/>
  <c r="L9" i="12"/>
  <c r="R37" i="11"/>
  <c r="O37" i="11"/>
  <c r="B37" i="11" s="1"/>
  <c r="C37" i="11" s="1"/>
  <c r="E43" i="11"/>
  <c r="C75" i="11"/>
  <c r="A78" i="11" s="1"/>
  <c r="X21" i="11"/>
  <c r="X18" i="11"/>
  <c r="B8" i="10"/>
  <c r="O8" i="10" s="1"/>
  <c r="X8" i="10" s="1"/>
  <c r="B10" i="32"/>
  <c r="O10" i="32" s="1"/>
  <c r="B8" i="34"/>
  <c r="O8" i="34" s="1"/>
  <c r="P8" i="34" s="1"/>
  <c r="H23" i="11"/>
  <c r="I23" i="11"/>
  <c r="G23" i="11"/>
  <c r="B9" i="32"/>
  <c r="O9" i="32" s="1"/>
  <c r="B10" i="34"/>
  <c r="O10" i="34" s="1"/>
  <c r="X10" i="34" s="1"/>
  <c r="B9" i="10"/>
  <c r="O9" i="10" s="1"/>
  <c r="U9" i="10" s="1"/>
  <c r="T17" i="10" s="1"/>
  <c r="AC11" i="34"/>
  <c r="AB12" i="34" s="1"/>
  <c r="AB13" i="34" s="1"/>
  <c r="P38" i="11"/>
  <c r="R38" i="11"/>
  <c r="P10" i="10"/>
  <c r="U10" i="10"/>
  <c r="T18" i="10" s="1"/>
  <c r="X10" i="10"/>
  <c r="B39" i="11"/>
  <c r="C39" i="11" s="1"/>
  <c r="R40" i="11"/>
  <c r="P40" i="11"/>
  <c r="B40" i="11" s="1"/>
  <c r="C40" i="11" s="1"/>
  <c r="AC11" i="10"/>
  <c r="AB12" i="10" s="1"/>
  <c r="AB13" i="10" s="1"/>
  <c r="AD11" i="34"/>
  <c r="P42" i="11"/>
  <c r="B42" i="11" s="1"/>
  <c r="C42" i="11" s="1"/>
  <c r="R42" i="11"/>
  <c r="J5" i="31"/>
  <c r="O8" i="32"/>
  <c r="Q36" i="11"/>
  <c r="O36" i="11"/>
  <c r="R36" i="11"/>
  <c r="P36" i="11"/>
  <c r="L4" i="12"/>
  <c r="T25" i="11"/>
  <c r="P9" i="34"/>
  <c r="U9" i="34"/>
  <c r="T17" i="34" s="1"/>
  <c r="O38" i="11"/>
  <c r="Q38" i="11"/>
  <c r="AD11" i="10"/>
  <c r="AU466" i="43"/>
  <c r="AL8" i="43"/>
  <c r="AK9" i="43"/>
  <c r="O43" i="11" l="1"/>
  <c r="R43" i="11"/>
  <c r="BB468" i="43"/>
  <c r="BA468" i="43"/>
  <c r="BX465" i="43" s="1"/>
  <c r="BW465" i="43" s="1"/>
  <c r="AZ468" i="43"/>
  <c r="BR465" i="43" s="1"/>
  <c r="BQ465" i="43" s="1"/>
  <c r="AP8" i="43"/>
  <c r="AX472" i="43" s="1"/>
  <c r="AO8" i="43"/>
  <c r="AV472" i="43" s="1"/>
  <c r="AN8" i="43"/>
  <c r="AW472" i="43" s="1"/>
  <c r="L10" i="12"/>
  <c r="P43" i="11"/>
  <c r="U8" i="10"/>
  <c r="T16" i="10" s="1"/>
  <c r="X8" i="34"/>
  <c r="U8" i="34"/>
  <c r="T16" i="34" s="1"/>
  <c r="P9" i="10"/>
  <c r="Q9" i="10" s="1"/>
  <c r="P8" i="10"/>
  <c r="Q8" i="10" s="1"/>
  <c r="J7" i="31"/>
  <c r="X9" i="10"/>
  <c r="P10" i="34"/>
  <c r="Q10" i="34" s="1"/>
  <c r="J6" i="31"/>
  <c r="U10" i="34"/>
  <c r="T18" i="34" s="1"/>
  <c r="B38" i="11"/>
  <c r="C38" i="11" s="1"/>
  <c r="B43" i="11"/>
  <c r="C43" i="11" s="1"/>
  <c r="Q9" i="34"/>
  <c r="V9" i="34"/>
  <c r="U17" i="34" s="1"/>
  <c r="Y9" i="34"/>
  <c r="V10" i="10"/>
  <c r="U18" i="10" s="1"/>
  <c r="Q10" i="10"/>
  <c r="Y10" i="10"/>
  <c r="Q8" i="34"/>
  <c r="V8" i="34"/>
  <c r="U16" i="34" s="1"/>
  <c r="Y8" i="34"/>
  <c r="B7" i="34"/>
  <c r="O7" i="34" s="1"/>
  <c r="B7" i="32"/>
  <c r="B7" i="10"/>
  <c r="O7" i="10" s="1"/>
  <c r="K5" i="31"/>
  <c r="P8" i="32"/>
  <c r="U8" i="32"/>
  <c r="T16" i="32" s="1"/>
  <c r="X8" i="32"/>
  <c r="V5" i="31" s="1"/>
  <c r="K6" i="31"/>
  <c r="P9" i="32"/>
  <c r="U9" i="32"/>
  <c r="T17" i="32" s="1"/>
  <c r="X9" i="32"/>
  <c r="V6" i="31" s="1"/>
  <c r="B36" i="11"/>
  <c r="C36" i="11" s="1"/>
  <c r="K7" i="31"/>
  <c r="U10" i="32"/>
  <c r="T18" i="32" s="1"/>
  <c r="X10" i="32"/>
  <c r="V7" i="31" s="1"/>
  <c r="P10" i="32"/>
  <c r="AK10" i="43"/>
  <c r="AL9" i="43"/>
  <c r="AU468" i="43"/>
  <c r="BB472" i="43" l="1"/>
  <c r="BA472" i="43"/>
  <c r="BX469" i="43" s="1"/>
  <c r="BW469" i="43" s="1"/>
  <c r="AZ472" i="43"/>
  <c r="BR469" i="43" s="1"/>
  <c r="BQ469" i="43" s="1"/>
  <c r="AP9" i="43"/>
  <c r="AX465" i="43" s="1"/>
  <c r="AO9" i="43"/>
  <c r="AV465" i="43" s="1"/>
  <c r="AN9" i="43"/>
  <c r="AW465" i="43" s="1"/>
  <c r="Y9" i="10"/>
  <c r="V8" i="10"/>
  <c r="U16" i="10" s="1"/>
  <c r="V9" i="10"/>
  <c r="U17" i="10" s="1"/>
  <c r="Y8" i="10"/>
  <c r="V10" i="34"/>
  <c r="U18" i="34" s="1"/>
  <c r="Y10" i="34"/>
  <c r="C45" i="11"/>
  <c r="W10" i="10"/>
  <c r="V18" i="10" s="1"/>
  <c r="Z10" i="10"/>
  <c r="W9" i="34"/>
  <c r="V17" i="34" s="1"/>
  <c r="Z9" i="34"/>
  <c r="U7" i="10"/>
  <c r="X7" i="10"/>
  <c r="P7" i="10"/>
  <c r="W8" i="10"/>
  <c r="V16" i="10" s="1"/>
  <c r="Z8" i="10"/>
  <c r="J4" i="31"/>
  <c r="O7" i="32"/>
  <c r="W8" i="34"/>
  <c r="V16" i="34" s="1"/>
  <c r="Z8" i="34"/>
  <c r="L7" i="31"/>
  <c r="Q10" i="32"/>
  <c r="V10" i="32"/>
  <c r="U18" i="32" s="1"/>
  <c r="Y10" i="32"/>
  <c r="W7" i="31" s="1"/>
  <c r="L6" i="31"/>
  <c r="Q9" i="32"/>
  <c r="V9" i="32"/>
  <c r="U17" i="32" s="1"/>
  <c r="Y9" i="32"/>
  <c r="W6" i="31" s="1"/>
  <c r="L5" i="31"/>
  <c r="Q8" i="32"/>
  <c r="V8" i="32"/>
  <c r="U16" i="32" s="1"/>
  <c r="Y8" i="32"/>
  <c r="W5" i="31" s="1"/>
  <c r="U7" i="34"/>
  <c r="P7" i="34"/>
  <c r="X7" i="34"/>
  <c r="W9" i="10"/>
  <c r="V17" i="10" s="1"/>
  <c r="Z9" i="10"/>
  <c r="W10" i="34"/>
  <c r="V18" i="34" s="1"/>
  <c r="Z10" i="34"/>
  <c r="AU472" i="43"/>
  <c r="AK11" i="43"/>
  <c r="AL10" i="43"/>
  <c r="AZ465" i="43" l="1"/>
  <c r="BB465" i="43"/>
  <c r="BA465" i="43"/>
  <c r="BX462" i="43" s="1"/>
  <c r="BW462" i="43" s="1"/>
  <c r="BR462" i="43"/>
  <c r="BQ462" i="43" s="1"/>
  <c r="AN10" i="43"/>
  <c r="AW469" i="43" s="1"/>
  <c r="AO10" i="43"/>
  <c r="AV469" i="43" s="1"/>
  <c r="AP10" i="43"/>
  <c r="AX469" i="43" s="1"/>
  <c r="U12" i="34"/>
  <c r="U11" i="34"/>
  <c r="T15" i="34"/>
  <c r="X11" i="10"/>
  <c r="D22" i="10" s="1"/>
  <c r="X12" i="10"/>
  <c r="U12" i="10"/>
  <c r="U11" i="10"/>
  <c r="T15" i="10"/>
  <c r="X11" i="34"/>
  <c r="D22" i="34" s="1"/>
  <c r="X12" i="34"/>
  <c r="V7" i="34"/>
  <c r="Q7" i="34"/>
  <c r="Y7" i="34"/>
  <c r="M5" i="31"/>
  <c r="W8" i="32"/>
  <c r="V16" i="32" s="1"/>
  <c r="Z8" i="32"/>
  <c r="X5" i="31" s="1"/>
  <c r="M6" i="31"/>
  <c r="Z9" i="32"/>
  <c r="X6" i="31" s="1"/>
  <c r="W9" i="32"/>
  <c r="V17" i="32" s="1"/>
  <c r="M7" i="31"/>
  <c r="Z10" i="32"/>
  <c r="X7" i="31" s="1"/>
  <c r="W10" i="32"/>
  <c r="V18" i="32" s="1"/>
  <c r="U7" i="32"/>
  <c r="K4" i="31"/>
  <c r="P7" i="32"/>
  <c r="X7" i="32"/>
  <c r="Q7" i="10"/>
  <c r="V7" i="10"/>
  <c r="Y7" i="10"/>
  <c r="AL11" i="43"/>
  <c r="AK12" i="43"/>
  <c r="AU465" i="43"/>
  <c r="AZ469" i="43" l="1"/>
  <c r="BR466" i="43" s="1"/>
  <c r="BQ466" i="43" s="1"/>
  <c r="BB469" i="43"/>
  <c r="BA469" i="43"/>
  <c r="BX466" i="43" s="1"/>
  <c r="BW466" i="43" s="1"/>
  <c r="AO11" i="43"/>
  <c r="AV490" i="43" s="1"/>
  <c r="AN11" i="43"/>
  <c r="AW490" i="43" s="1"/>
  <c r="AP11" i="43"/>
  <c r="AX490" i="43" s="1"/>
  <c r="U13" i="10"/>
  <c r="U13" i="34"/>
  <c r="X13" i="10"/>
  <c r="V12" i="10"/>
  <c r="V11" i="10"/>
  <c r="C102" i="38" s="1"/>
  <c r="U15" i="10"/>
  <c r="W7" i="34"/>
  <c r="Z7" i="34"/>
  <c r="O101" i="38"/>
  <c r="H101" i="38"/>
  <c r="W7" i="10"/>
  <c r="Z7" i="10"/>
  <c r="U12" i="32"/>
  <c r="U11" i="32"/>
  <c r="T15" i="32"/>
  <c r="V11" i="34"/>
  <c r="V12" i="34"/>
  <c r="U15" i="34"/>
  <c r="C101" i="38"/>
  <c r="K23" i="10"/>
  <c r="L23" i="10"/>
  <c r="X12" i="32"/>
  <c r="V4" i="31"/>
  <c r="V8" i="31" s="1"/>
  <c r="V9" i="31" s="1"/>
  <c r="X11" i="32"/>
  <c r="D22" i="32" s="1"/>
  <c r="X13" i="34"/>
  <c r="L23" i="34"/>
  <c r="K23" i="34"/>
  <c r="Y11" i="10"/>
  <c r="D23" i="10" s="1"/>
  <c r="Y12" i="10"/>
  <c r="Q7" i="32"/>
  <c r="V7" i="32"/>
  <c r="L4" i="31"/>
  <c r="Y7" i="32"/>
  <c r="Y11" i="34"/>
  <c r="D23" i="34" s="1"/>
  <c r="Y12" i="34"/>
  <c r="AU469" i="43"/>
  <c r="AK13" i="43"/>
  <c r="AL12" i="43"/>
  <c r="BA490" i="43" l="1"/>
  <c r="BX487" i="43" s="1"/>
  <c r="BW487" i="43" s="1"/>
  <c r="AZ490" i="43"/>
  <c r="BR487" i="43" s="1"/>
  <c r="BQ487" i="43" s="1"/>
  <c r="BB490" i="43"/>
  <c r="AP12" i="43"/>
  <c r="AX488" i="43" s="1"/>
  <c r="AO12" i="43"/>
  <c r="AV488" i="43" s="1"/>
  <c r="AN12" i="43"/>
  <c r="AW488" i="43" s="1"/>
  <c r="O102" i="38"/>
  <c r="P102" i="38" s="1"/>
  <c r="Q102" i="38" s="1"/>
  <c r="X13" i="32"/>
  <c r="Y13" i="10"/>
  <c r="V13" i="34"/>
  <c r="U13" i="32"/>
  <c r="Y13" i="34"/>
  <c r="V12" i="32"/>
  <c r="V11" i="32"/>
  <c r="U15" i="32"/>
  <c r="W12" i="10"/>
  <c r="W11" i="10"/>
  <c r="V15" i="10"/>
  <c r="W12" i="34"/>
  <c r="W11" i="34"/>
  <c r="V15" i="34"/>
  <c r="W7" i="32"/>
  <c r="M4" i="31"/>
  <c r="Z7" i="32"/>
  <c r="C101" i="45"/>
  <c r="C101" i="44"/>
  <c r="K23" i="32"/>
  <c r="L23" i="32"/>
  <c r="C101" i="1"/>
  <c r="T2" i="38"/>
  <c r="I101" i="38"/>
  <c r="J101" i="38" s="1"/>
  <c r="Y12" i="32"/>
  <c r="W4" i="31"/>
  <c r="W8" i="31" s="1"/>
  <c r="W9" i="31" s="1"/>
  <c r="Y11" i="32"/>
  <c r="D23" i="32" s="1"/>
  <c r="P101" i="38"/>
  <c r="Q101" i="38" s="1"/>
  <c r="O101" i="45"/>
  <c r="H101" i="45"/>
  <c r="H101" i="37"/>
  <c r="O101" i="37"/>
  <c r="H101" i="1"/>
  <c r="M23" i="10" s="1"/>
  <c r="K24" i="10" s="1"/>
  <c r="O101" i="1"/>
  <c r="N23" i="34" s="1"/>
  <c r="Z11" i="10"/>
  <c r="Z12" i="10"/>
  <c r="W15" i="10"/>
  <c r="Z12" i="34"/>
  <c r="Z11" i="34"/>
  <c r="W15" i="34"/>
  <c r="V13" i="10"/>
  <c r="AU490" i="43"/>
  <c r="AK14" i="43"/>
  <c r="AL13" i="43"/>
  <c r="BB488" i="43" l="1"/>
  <c r="BA488" i="43"/>
  <c r="BX485" i="43" s="1"/>
  <c r="BW485" i="43" s="1"/>
  <c r="AZ488" i="43"/>
  <c r="BR485" i="43" s="1"/>
  <c r="BQ485" i="43" s="1"/>
  <c r="AP13" i="43"/>
  <c r="AX485" i="43" s="1"/>
  <c r="AN13" i="43"/>
  <c r="AW485" i="43" s="1"/>
  <c r="AO13" i="43"/>
  <c r="AV485" i="43" s="1"/>
  <c r="H102" i="38"/>
  <c r="I102" i="38" s="1"/>
  <c r="J102" i="38" s="1"/>
  <c r="Z13" i="10"/>
  <c r="V13" i="32"/>
  <c r="Z13" i="34"/>
  <c r="W13" i="10"/>
  <c r="L24" i="34"/>
  <c r="I101" i="1"/>
  <c r="J101" i="1" s="1"/>
  <c r="T2" i="1"/>
  <c r="O102" i="45"/>
  <c r="P102" i="45" s="1"/>
  <c r="Q102" i="45" s="1"/>
  <c r="P101" i="45"/>
  <c r="Q101" i="45" s="1"/>
  <c r="N23" i="10"/>
  <c r="P23" i="10" s="1"/>
  <c r="N23" i="32"/>
  <c r="W12" i="32"/>
  <c r="W11" i="32"/>
  <c r="V15" i="32"/>
  <c r="M23" i="34"/>
  <c r="P101" i="37"/>
  <c r="Q101" i="37" s="1"/>
  <c r="O102" i="37"/>
  <c r="P102" i="37" s="1"/>
  <c r="Q102" i="37" s="1"/>
  <c r="O102" i="1"/>
  <c r="P102" i="1" s="1"/>
  <c r="Q102" i="1" s="1"/>
  <c r="M23" i="32"/>
  <c r="S23" i="32" s="1"/>
  <c r="C107" i="38"/>
  <c r="C106" i="38"/>
  <c r="C105" i="38"/>
  <c r="C104" i="38"/>
  <c r="C103" i="38"/>
  <c r="T2" i="37"/>
  <c r="I101" i="37"/>
  <c r="J101" i="37" s="1"/>
  <c r="W15" i="32"/>
  <c r="Z12" i="32"/>
  <c r="Z11" i="32"/>
  <c r="X4" i="31"/>
  <c r="X8" i="31" s="1"/>
  <c r="X9" i="31" s="1"/>
  <c r="C102" i="45"/>
  <c r="C102" i="44"/>
  <c r="C102" i="1"/>
  <c r="U20" i="32"/>
  <c r="U21" i="32" s="1"/>
  <c r="P101" i="1"/>
  <c r="Q101" i="1" s="1"/>
  <c r="T2" i="45"/>
  <c r="I101" i="45"/>
  <c r="J101" i="45" s="1"/>
  <c r="Y13" i="32"/>
  <c r="S2" i="3"/>
  <c r="W13" i="34"/>
  <c r="AK15" i="43"/>
  <c r="AL14" i="43"/>
  <c r="AU488" i="43"/>
  <c r="AZ485" i="43" l="1"/>
  <c r="BR482" i="43" s="1"/>
  <c r="BQ482" i="43" s="1"/>
  <c r="BB485" i="43"/>
  <c r="BA485" i="43"/>
  <c r="BX482" i="43" s="1"/>
  <c r="BW482" i="43" s="1"/>
  <c r="AN14" i="43"/>
  <c r="AW486" i="43" s="1"/>
  <c r="AP14" i="43"/>
  <c r="AX486" i="43" s="1"/>
  <c r="AO14" i="43"/>
  <c r="AV486" i="43" s="1"/>
  <c r="H102" i="1"/>
  <c r="I102" i="1" s="1"/>
  <c r="J102" i="1" s="1"/>
  <c r="K24" i="32"/>
  <c r="H102" i="45"/>
  <c r="I102" i="45" s="1"/>
  <c r="J102" i="45" s="1"/>
  <c r="W13" i="32"/>
  <c r="O23" i="10"/>
  <c r="L24" i="10"/>
  <c r="Z13" i="32"/>
  <c r="H102" i="37"/>
  <c r="I102" i="37" s="1"/>
  <c r="J102" i="37" s="1"/>
  <c r="P23" i="34"/>
  <c r="K24" i="34"/>
  <c r="O23" i="32"/>
  <c r="P23" i="32"/>
  <c r="T23" i="32"/>
  <c r="N24" i="34"/>
  <c r="L25" i="34" s="1"/>
  <c r="N25" i="34" s="1"/>
  <c r="T2" i="3"/>
  <c r="C103" i="44"/>
  <c r="C106" i="45"/>
  <c r="C107" i="44"/>
  <c r="C105" i="44"/>
  <c r="C107" i="45"/>
  <c r="C105" i="45"/>
  <c r="C104" i="45"/>
  <c r="C103" i="45"/>
  <c r="C106" i="44"/>
  <c r="C104" i="44"/>
  <c r="C107" i="1"/>
  <c r="C106" i="1"/>
  <c r="C105" i="1"/>
  <c r="C104" i="1"/>
  <c r="C103" i="1"/>
  <c r="V20" i="32"/>
  <c r="V21" i="32" s="1"/>
  <c r="L24" i="32"/>
  <c r="O23" i="34"/>
  <c r="AL15" i="43"/>
  <c r="AK16" i="43"/>
  <c r="AU485" i="43"/>
  <c r="BA486" i="43" l="1"/>
  <c r="BX483" i="43" s="1"/>
  <c r="BW483" i="43" s="1"/>
  <c r="AZ486" i="43"/>
  <c r="BR483" i="43" s="1"/>
  <c r="BQ483" i="43" s="1"/>
  <c r="BB486" i="43"/>
  <c r="AO15" i="43"/>
  <c r="AV477" i="43" s="1"/>
  <c r="AN15" i="43"/>
  <c r="AW477" i="43" s="1"/>
  <c r="AP15" i="43"/>
  <c r="AX477" i="43" s="1"/>
  <c r="M24" i="10"/>
  <c r="K25" i="10" s="1"/>
  <c r="M25" i="10" s="1"/>
  <c r="M24" i="32"/>
  <c r="S24" i="32" s="1"/>
  <c r="S200" i="45"/>
  <c r="H200" i="45"/>
  <c r="D200" i="45"/>
  <c r="P200" i="45"/>
  <c r="I200" i="45"/>
  <c r="R200" i="45"/>
  <c r="Q200" i="45"/>
  <c r="G200" i="45"/>
  <c r="F200" i="45"/>
  <c r="O200" i="45"/>
  <c r="E200" i="45"/>
  <c r="N200" i="45"/>
  <c r="U2" i="3"/>
  <c r="N24" i="32"/>
  <c r="F200" i="1"/>
  <c r="D200" i="1"/>
  <c r="H200" i="1"/>
  <c r="S200" i="1"/>
  <c r="I200" i="1"/>
  <c r="R200" i="1"/>
  <c r="N200" i="1"/>
  <c r="E200" i="1"/>
  <c r="Q200" i="1"/>
  <c r="P200" i="1"/>
  <c r="G200" i="1"/>
  <c r="O200" i="1"/>
  <c r="S200" i="44"/>
  <c r="Q200" i="44"/>
  <c r="E200" i="44"/>
  <c r="R200" i="44"/>
  <c r="N200" i="44"/>
  <c r="I200" i="44"/>
  <c r="F200" i="44"/>
  <c r="G200" i="44"/>
  <c r="H200" i="44"/>
  <c r="D200" i="44"/>
  <c r="O200" i="44"/>
  <c r="P200" i="44"/>
  <c r="Q200" i="37"/>
  <c r="I200" i="37"/>
  <c r="E200" i="37"/>
  <c r="P200" i="37"/>
  <c r="G200" i="37"/>
  <c r="D200" i="37"/>
  <c r="S200" i="37"/>
  <c r="O200" i="37"/>
  <c r="H200" i="37"/>
  <c r="R200" i="37"/>
  <c r="N200" i="37"/>
  <c r="F200" i="37"/>
  <c r="M24" i="34"/>
  <c r="O24" i="34" s="1"/>
  <c r="K25" i="32"/>
  <c r="N24" i="10"/>
  <c r="G2" i="3"/>
  <c r="H2" i="3" s="1"/>
  <c r="I2" i="3" s="1"/>
  <c r="J2" i="3" s="1"/>
  <c r="K2" i="3" s="1"/>
  <c r="AU486" i="43"/>
  <c r="AK17" i="43"/>
  <c r="AL16" i="43"/>
  <c r="F2" i="3" l="1"/>
  <c r="V2" i="3"/>
  <c r="W2" i="3" s="1"/>
  <c r="X2" i="3" s="1"/>
  <c r="AZ477" i="43"/>
  <c r="BR474" i="43" s="1"/>
  <c r="BQ474" i="43" s="1"/>
  <c r="BB477" i="43"/>
  <c r="BA477" i="43"/>
  <c r="BX474" i="43" s="1"/>
  <c r="BW474" i="43" s="1"/>
  <c r="O24" i="32"/>
  <c r="AP16" i="43"/>
  <c r="AX478" i="43" s="1"/>
  <c r="AO16" i="43"/>
  <c r="AV478" i="43" s="1"/>
  <c r="AN16" i="43"/>
  <c r="AW478" i="43" s="1"/>
  <c r="O24" i="10"/>
  <c r="K25" i="34"/>
  <c r="M25" i="34" s="1"/>
  <c r="P25" i="34" s="1"/>
  <c r="L25" i="10"/>
  <c r="N25" i="10" s="1"/>
  <c r="O25" i="10" s="1"/>
  <c r="T24" i="32"/>
  <c r="M25" i="32"/>
  <c r="P24" i="32"/>
  <c r="P24" i="34"/>
  <c r="P24" i="10"/>
  <c r="L25" i="32"/>
  <c r="AU477" i="43"/>
  <c r="AL17" i="43"/>
  <c r="AK18" i="43"/>
  <c r="BA478" i="43" l="1"/>
  <c r="BX475" i="43" s="1"/>
  <c r="BW475" i="43" s="1"/>
  <c r="AZ478" i="43"/>
  <c r="BR475" i="43" s="1"/>
  <c r="BQ475" i="43" s="1"/>
  <c r="BB478" i="43"/>
  <c r="AU478" i="43"/>
  <c r="AP17" i="43"/>
  <c r="AX491" i="43" s="1"/>
  <c r="AO17" i="43"/>
  <c r="AV491" i="43" s="1"/>
  <c r="AN17" i="43"/>
  <c r="AW491" i="43" s="1"/>
  <c r="O26" i="34"/>
  <c r="O25" i="34"/>
  <c r="O26" i="10"/>
  <c r="P25" i="10"/>
  <c r="N25" i="32"/>
  <c r="O25" i="32" s="1"/>
  <c r="M31" i="32"/>
  <c r="K33" i="32"/>
  <c r="Q34" i="32" s="1"/>
  <c r="S25" i="32"/>
  <c r="T31" i="32"/>
  <c r="AL18" i="43"/>
  <c r="AK19" i="43"/>
  <c r="BB491" i="43" l="1"/>
  <c r="BA491" i="43"/>
  <c r="BX488" i="43" s="1"/>
  <c r="BW488" i="43" s="1"/>
  <c r="AZ491" i="43"/>
  <c r="BR488" i="43" s="1"/>
  <c r="BQ488" i="43" s="1"/>
  <c r="AN18" i="43"/>
  <c r="AW487" i="43" s="1"/>
  <c r="AO18" i="43"/>
  <c r="AV487" i="43" s="1"/>
  <c r="AP18" i="43"/>
  <c r="AX487" i="43" s="1"/>
  <c r="U31" i="32"/>
  <c r="V31" i="32" s="1"/>
  <c r="O26" i="32"/>
  <c r="T25" i="32"/>
  <c r="P25" i="32"/>
  <c r="O31" i="32"/>
  <c r="Q31" i="32" s="1"/>
  <c r="AL19" i="43"/>
  <c r="AK20" i="43"/>
  <c r="AU491" i="43"/>
  <c r="BB487" i="43" l="1"/>
  <c r="BA487" i="43"/>
  <c r="BX484" i="43" s="1"/>
  <c r="BW484" i="43" s="1"/>
  <c r="AZ487" i="43"/>
  <c r="BR484" i="43" s="1"/>
  <c r="BQ484" i="43" s="1"/>
  <c r="AO19" i="43"/>
  <c r="AV482" i="43" s="1"/>
  <c r="AN19" i="43"/>
  <c r="AW482" i="43" s="1"/>
  <c r="AP19" i="43"/>
  <c r="AX482" i="43" s="1"/>
  <c r="Q33" i="32"/>
  <c r="Q35" i="32" s="1"/>
  <c r="Q32" i="32"/>
  <c r="AU487" i="43"/>
  <c r="AL20" i="43"/>
  <c r="AK21" i="43"/>
  <c r="BA482" i="43" l="1"/>
  <c r="BX479" i="43" s="1"/>
  <c r="BW479" i="43" s="1"/>
  <c r="AZ482" i="43"/>
  <c r="BR479" i="43" s="1"/>
  <c r="BQ479" i="43" s="1"/>
  <c r="BB482" i="43"/>
  <c r="AU482" i="43"/>
  <c r="AP20" i="43"/>
  <c r="AX479" i="43" s="1"/>
  <c r="AO20" i="43"/>
  <c r="AV479" i="43" s="1"/>
  <c r="AN20" i="43"/>
  <c r="AW479" i="43" s="1"/>
  <c r="AL21" i="43"/>
  <c r="AK22" i="43"/>
  <c r="BB479" i="43" l="1"/>
  <c r="BA479" i="43"/>
  <c r="BX476" i="43" s="1"/>
  <c r="BW476" i="43" s="1"/>
  <c r="AZ479" i="43"/>
  <c r="BR476" i="43" s="1"/>
  <c r="BQ476" i="43" s="1"/>
  <c r="AP21" i="43"/>
  <c r="AX473" i="43" s="1"/>
  <c r="AN21" i="43"/>
  <c r="AW473" i="43" s="1"/>
  <c r="AO21" i="43"/>
  <c r="AV473" i="43" s="1"/>
  <c r="AL22" i="43"/>
  <c r="AK23" i="43"/>
  <c r="AU479" i="43"/>
  <c r="AZ473" i="43" l="1"/>
  <c r="BR470" i="43" s="1"/>
  <c r="BQ470" i="43" s="1"/>
  <c r="BB473" i="43"/>
  <c r="BA473" i="43"/>
  <c r="BX470" i="43" s="1"/>
  <c r="BW470" i="43" s="1"/>
  <c r="AU473" i="43"/>
  <c r="AN22" i="43"/>
  <c r="AW483" i="43" s="1"/>
  <c r="AP22" i="43"/>
  <c r="AX483" i="43" s="1"/>
  <c r="AO22" i="43"/>
  <c r="AV483" i="43" s="1"/>
  <c r="AL23" i="43"/>
  <c r="AK24" i="43"/>
  <c r="BB483" i="43" l="1"/>
  <c r="BA483" i="43"/>
  <c r="BX480" i="43" s="1"/>
  <c r="BW480" i="43" s="1"/>
  <c r="AZ483" i="43"/>
  <c r="BR480" i="43" s="1"/>
  <c r="BQ480" i="43" s="1"/>
  <c r="AU483" i="43"/>
  <c r="AO23" i="43"/>
  <c r="AV467" i="43" s="1"/>
  <c r="AN23" i="43"/>
  <c r="AW467" i="43" s="1"/>
  <c r="AP23" i="43"/>
  <c r="AX467" i="43" s="1"/>
  <c r="AK25" i="43"/>
  <c r="AL24" i="43"/>
  <c r="BB467" i="43" l="1"/>
  <c r="BA467" i="43"/>
  <c r="BX464" i="43" s="1"/>
  <c r="BW464" i="43" s="1"/>
  <c r="AZ467" i="43"/>
  <c r="BR464" i="43" s="1"/>
  <c r="BQ464" i="43" s="1"/>
  <c r="AU467" i="43"/>
  <c r="AP24" i="43"/>
  <c r="AX484" i="43" s="1"/>
  <c r="AO24" i="43"/>
  <c r="AV484" i="43" s="1"/>
  <c r="AN24" i="43"/>
  <c r="AW484" i="43" s="1"/>
  <c r="AL25" i="43"/>
  <c r="AK26" i="43"/>
  <c r="BB484" i="43" l="1"/>
  <c r="BA484" i="43"/>
  <c r="BX481" i="43" s="1"/>
  <c r="BW481" i="43" s="1"/>
  <c r="AZ484" i="43"/>
  <c r="BR481" i="43" s="1"/>
  <c r="BQ481" i="43" s="1"/>
  <c r="AU484" i="43"/>
  <c r="AP25" i="43"/>
  <c r="AX474" i="43" s="1"/>
  <c r="AO25" i="43"/>
  <c r="AV474" i="43" s="1"/>
  <c r="AN25" i="43"/>
  <c r="AW474" i="43" s="1"/>
  <c r="AK27" i="43"/>
  <c r="AL26" i="43"/>
  <c r="BA474" i="43" l="1"/>
  <c r="BX471" i="43" s="1"/>
  <c r="BW471" i="43" s="1"/>
  <c r="AZ474" i="43"/>
  <c r="BR471" i="43" s="1"/>
  <c r="BQ471" i="43" s="1"/>
  <c r="BB474" i="43"/>
  <c r="AU474" i="43"/>
  <c r="AN26" i="43"/>
  <c r="AW476" i="43" s="1"/>
  <c r="AO26" i="43"/>
  <c r="AV476" i="43" s="1"/>
  <c r="AP26" i="43"/>
  <c r="AX476" i="43" s="1"/>
  <c r="AL27" i="43"/>
  <c r="AK28" i="43"/>
  <c r="BB476" i="43" l="1"/>
  <c r="BA476" i="43"/>
  <c r="BX473" i="43" s="1"/>
  <c r="BW473" i="43" s="1"/>
  <c r="AZ476" i="43"/>
  <c r="BR473" i="43" s="1"/>
  <c r="BQ473" i="43" s="1"/>
  <c r="AU476" i="43"/>
  <c r="AO27" i="43"/>
  <c r="AV475" i="43" s="1"/>
  <c r="AN27" i="43"/>
  <c r="AW475" i="43" s="1"/>
  <c r="AP27" i="43"/>
  <c r="AX475" i="43" s="1"/>
  <c r="AK29" i="43"/>
  <c r="AL28" i="43"/>
  <c r="BB475" i="43" l="1"/>
  <c r="BA475" i="43"/>
  <c r="BX472" i="43" s="1"/>
  <c r="BW472" i="43" s="1"/>
  <c r="AZ475" i="43"/>
  <c r="BR472" i="43" s="1"/>
  <c r="BQ472" i="43" s="1"/>
  <c r="AU475" i="43"/>
  <c r="AP28" i="43"/>
  <c r="AX462" i="43" s="1"/>
  <c r="AO28" i="43"/>
  <c r="AV462" i="43" s="1"/>
  <c r="AN28" i="43"/>
  <c r="AW462" i="43" s="1"/>
  <c r="AK30" i="43"/>
  <c r="AL29" i="43"/>
  <c r="BA462" i="43" l="1"/>
  <c r="BX459" i="43" s="1"/>
  <c r="BW459" i="43" s="1"/>
  <c r="AZ462" i="43"/>
  <c r="BR459" i="43" s="1"/>
  <c r="BQ459" i="43" s="1"/>
  <c r="BB462" i="43"/>
  <c r="AU462" i="43"/>
  <c r="AP29" i="43"/>
  <c r="AX471" i="43" s="1"/>
  <c r="AN29" i="43"/>
  <c r="AW471" i="43" s="1"/>
  <c r="AO29" i="43"/>
  <c r="AV471" i="43" s="1"/>
  <c r="AK31" i="43"/>
  <c r="AL30" i="43"/>
  <c r="BB471" i="43" l="1"/>
  <c r="BA471" i="43"/>
  <c r="BX468" i="43" s="1"/>
  <c r="BW468" i="43" s="1"/>
  <c r="AZ471" i="43"/>
  <c r="BR468" i="43" s="1"/>
  <c r="BQ468" i="43" s="1"/>
  <c r="AU471" i="43"/>
  <c r="AN30" i="43"/>
  <c r="AW464" i="43" s="1"/>
  <c r="AP30" i="43"/>
  <c r="AX464" i="43" s="1"/>
  <c r="AO30" i="43"/>
  <c r="AV464" i="43" s="1"/>
  <c r="AK32" i="43"/>
  <c r="AL31" i="43"/>
  <c r="BB464" i="43" l="1"/>
  <c r="BA464" i="43"/>
  <c r="BX461" i="43" s="1"/>
  <c r="BW461" i="43" s="1"/>
  <c r="AZ464" i="43"/>
  <c r="BR461" i="43" s="1"/>
  <c r="BQ461" i="43" s="1"/>
  <c r="AU464" i="43"/>
  <c r="AO31" i="43"/>
  <c r="AV481" i="43" s="1"/>
  <c r="AN31" i="43"/>
  <c r="AW481" i="43" s="1"/>
  <c r="AP31" i="43"/>
  <c r="AX481" i="43" s="1"/>
  <c r="AK33" i="43"/>
  <c r="AL32" i="43"/>
  <c r="AZ481" i="43" l="1"/>
  <c r="BR478" i="43" s="1"/>
  <c r="BQ478" i="43" s="1"/>
  <c r="BB481" i="43"/>
  <c r="BA481" i="43"/>
  <c r="BX478" i="43" s="1"/>
  <c r="BW478" i="43" s="1"/>
  <c r="AU481" i="43"/>
  <c r="AP32" i="43"/>
  <c r="AX463" i="43" s="1"/>
  <c r="AO32" i="43"/>
  <c r="AV463" i="43" s="1"/>
  <c r="AN32" i="43"/>
  <c r="AW463" i="43" s="1"/>
  <c r="AK34" i="43"/>
  <c r="AL33" i="43"/>
  <c r="BB463" i="43" l="1"/>
  <c r="BA463" i="43"/>
  <c r="BX460" i="43" s="1"/>
  <c r="BW460" i="43" s="1"/>
  <c r="AZ463" i="43"/>
  <c r="BR460" i="43" s="1"/>
  <c r="BQ460" i="43" s="1"/>
  <c r="AU463" i="43"/>
  <c r="AP33" i="43"/>
  <c r="AX461" i="43" s="1"/>
  <c r="AO33" i="43"/>
  <c r="AV461" i="43" s="1"/>
  <c r="AN33" i="43"/>
  <c r="AW461" i="43" s="1"/>
  <c r="AK35" i="43"/>
  <c r="AL34" i="43"/>
  <c r="AZ461" i="43" l="1"/>
  <c r="BR458" i="43" s="1"/>
  <c r="BQ458" i="43" s="1"/>
  <c r="BB461" i="43"/>
  <c r="BA461" i="43"/>
  <c r="BX458" i="43" s="1"/>
  <c r="BW458" i="43" s="1"/>
  <c r="AU461" i="43"/>
  <c r="AN34" i="43"/>
  <c r="AW458" i="43" s="1"/>
  <c r="AO34" i="43"/>
  <c r="AV458" i="43" s="1"/>
  <c r="AP34" i="43"/>
  <c r="AX458" i="43" s="1"/>
  <c r="AK36" i="43"/>
  <c r="AL35" i="43"/>
  <c r="BA458" i="43" l="1"/>
  <c r="BX455" i="43" s="1"/>
  <c r="BW455" i="43" s="1"/>
  <c r="AZ458" i="43"/>
  <c r="BR455" i="43" s="1"/>
  <c r="BQ455" i="43" s="1"/>
  <c r="BB458" i="43"/>
  <c r="AU458" i="43"/>
  <c r="AO35" i="43"/>
  <c r="AV459" i="43" s="1"/>
  <c r="AN35" i="43"/>
  <c r="AW459" i="43" s="1"/>
  <c r="AP35" i="43"/>
  <c r="AX459" i="43" s="1"/>
  <c r="AK37" i="43"/>
  <c r="AL36" i="43"/>
  <c r="BB459" i="43" l="1"/>
  <c r="BA459" i="43"/>
  <c r="BX456" i="43" s="1"/>
  <c r="BW456" i="43" s="1"/>
  <c r="AZ459" i="43"/>
  <c r="BR456" i="43" s="1"/>
  <c r="BQ456" i="43" s="1"/>
  <c r="AU459" i="43"/>
  <c r="AP36" i="43"/>
  <c r="AX455" i="43" s="1"/>
  <c r="AO36" i="43"/>
  <c r="AV455" i="43" s="1"/>
  <c r="AN36" i="43"/>
  <c r="AW455" i="43" s="1"/>
  <c r="AK38" i="43"/>
  <c r="AL37" i="43"/>
  <c r="BB455" i="43" l="1"/>
  <c r="BA455" i="43"/>
  <c r="BX452" i="43" s="1"/>
  <c r="BW452" i="43" s="1"/>
  <c r="AZ455" i="43"/>
  <c r="BR452" i="43" s="1"/>
  <c r="BQ452" i="43" s="1"/>
  <c r="AU455" i="43"/>
  <c r="AP37" i="43"/>
  <c r="AX457" i="43" s="1"/>
  <c r="AN37" i="43"/>
  <c r="AW457" i="43" s="1"/>
  <c r="AO37" i="43"/>
  <c r="AV457" i="43" s="1"/>
  <c r="AK39" i="43"/>
  <c r="AL38" i="43"/>
  <c r="AZ457" i="43" l="1"/>
  <c r="BR454" i="43" s="1"/>
  <c r="BQ454" i="43" s="1"/>
  <c r="BB457" i="43"/>
  <c r="BA457" i="43"/>
  <c r="BX454" i="43" s="1"/>
  <c r="BW454" i="43" s="1"/>
  <c r="AU457" i="43"/>
  <c r="AN38" i="43"/>
  <c r="AW435" i="43" s="1"/>
  <c r="AP38" i="43"/>
  <c r="AX435" i="43" s="1"/>
  <c r="AO38" i="43"/>
  <c r="AV435" i="43" s="1"/>
  <c r="AK40" i="43"/>
  <c r="AL39" i="43"/>
  <c r="BB435" i="43" l="1"/>
  <c r="BA435" i="43"/>
  <c r="BX432" i="43" s="1"/>
  <c r="BW432" i="43" s="1"/>
  <c r="AZ435" i="43"/>
  <c r="BR432" i="43" s="1"/>
  <c r="BQ432" i="43" s="1"/>
  <c r="AU435" i="43"/>
  <c r="AO39" i="43"/>
  <c r="AV460" i="43" s="1"/>
  <c r="AN39" i="43"/>
  <c r="AW460" i="43" s="1"/>
  <c r="AP39" i="43"/>
  <c r="AX460" i="43" s="1"/>
  <c r="AK41" i="43"/>
  <c r="AL40" i="43"/>
  <c r="BB460" i="43" l="1"/>
  <c r="BA460" i="43"/>
  <c r="BX457" i="43" s="1"/>
  <c r="BW457" i="43" s="1"/>
  <c r="AZ460" i="43"/>
  <c r="BR457" i="43" s="1"/>
  <c r="BQ457" i="43" s="1"/>
  <c r="AU460" i="43"/>
  <c r="AP40" i="43"/>
  <c r="AX451" i="43" s="1"/>
  <c r="AO40" i="43"/>
  <c r="AV451" i="43" s="1"/>
  <c r="AN40" i="43"/>
  <c r="AW451" i="43" s="1"/>
  <c r="AK42" i="43"/>
  <c r="AL41" i="43"/>
  <c r="BB451" i="43" l="1"/>
  <c r="BA451" i="43"/>
  <c r="BX448" i="43" s="1"/>
  <c r="BW448" i="43" s="1"/>
  <c r="AZ451" i="43"/>
  <c r="BR448" i="43" s="1"/>
  <c r="BQ448" i="43" s="1"/>
  <c r="AP41" i="43"/>
  <c r="AX453" i="43" s="1"/>
  <c r="AO41" i="43"/>
  <c r="AV453" i="43" s="1"/>
  <c r="AN41" i="43"/>
  <c r="AW453" i="43" s="1"/>
  <c r="AU451" i="43"/>
  <c r="AK43" i="43"/>
  <c r="AL42" i="43"/>
  <c r="AZ453" i="43" l="1"/>
  <c r="BR450" i="43" s="1"/>
  <c r="BQ450" i="43" s="1"/>
  <c r="BB453" i="43"/>
  <c r="BA453" i="43"/>
  <c r="BX450" i="43" s="1"/>
  <c r="BW450" i="43" s="1"/>
  <c r="AU453" i="43"/>
  <c r="AN42" i="43"/>
  <c r="AW452" i="43" s="1"/>
  <c r="AO42" i="43"/>
  <c r="AV452" i="43" s="1"/>
  <c r="AP42" i="43"/>
  <c r="AX452" i="43" s="1"/>
  <c r="AK44" i="43"/>
  <c r="AL43" i="43"/>
  <c r="BB452" i="43" l="1"/>
  <c r="BA452" i="43"/>
  <c r="BX449" i="43" s="1"/>
  <c r="BW449" i="43" s="1"/>
  <c r="AZ452" i="43"/>
  <c r="BR449" i="43" s="1"/>
  <c r="BQ449" i="43" s="1"/>
  <c r="AU452" i="43"/>
  <c r="AO43" i="43"/>
  <c r="AV448" i="43" s="1"/>
  <c r="AN43" i="43"/>
  <c r="AW448" i="43" s="1"/>
  <c r="AP43" i="43"/>
  <c r="AX448" i="43" s="1"/>
  <c r="AK45" i="43"/>
  <c r="AL44" i="43"/>
  <c r="BB448" i="43" l="1"/>
  <c r="BA448" i="43"/>
  <c r="BX445" i="43" s="1"/>
  <c r="BW445" i="43" s="1"/>
  <c r="AZ448" i="43"/>
  <c r="BR445" i="43" s="1"/>
  <c r="BQ445" i="43" s="1"/>
  <c r="AU448" i="43"/>
  <c r="AP44" i="43"/>
  <c r="AX446" i="43" s="1"/>
  <c r="AO44" i="43"/>
  <c r="AV446" i="43" s="1"/>
  <c r="AN44" i="43"/>
  <c r="AW446" i="43" s="1"/>
  <c r="AK46" i="43"/>
  <c r="AL45" i="43"/>
  <c r="BA446" i="43" l="1"/>
  <c r="BX443" i="43" s="1"/>
  <c r="BW443" i="43" s="1"/>
  <c r="AZ446" i="43"/>
  <c r="BR443" i="43" s="1"/>
  <c r="BQ443" i="43" s="1"/>
  <c r="BB446" i="43"/>
  <c r="AU446" i="43"/>
  <c r="AP45" i="43"/>
  <c r="AX427" i="43" s="1"/>
  <c r="AN45" i="43"/>
  <c r="AW427" i="43" s="1"/>
  <c r="AO45" i="43"/>
  <c r="AV427" i="43" s="1"/>
  <c r="AK47" i="43"/>
  <c r="AL46" i="43"/>
  <c r="BB427" i="43" l="1"/>
  <c r="BA427" i="43"/>
  <c r="BX424" i="43" s="1"/>
  <c r="BW424" i="43" s="1"/>
  <c r="AZ427" i="43"/>
  <c r="BR424" i="43" s="1"/>
  <c r="BQ424" i="43" s="1"/>
  <c r="AU427" i="43"/>
  <c r="AN46" i="43"/>
  <c r="AW439" i="43" s="1"/>
  <c r="AP46" i="43"/>
  <c r="AX439" i="43" s="1"/>
  <c r="AO46" i="43"/>
  <c r="AV439" i="43" s="1"/>
  <c r="AK48" i="43"/>
  <c r="AL47" i="43"/>
  <c r="BB439" i="43" l="1"/>
  <c r="BA439" i="43"/>
  <c r="BX436" i="43" s="1"/>
  <c r="BW436" i="43" s="1"/>
  <c r="AZ439" i="43"/>
  <c r="BR436" i="43" s="1"/>
  <c r="BQ436" i="43" s="1"/>
  <c r="AU439" i="43"/>
  <c r="AO47" i="43"/>
  <c r="AV442" i="43" s="1"/>
  <c r="AN47" i="43"/>
  <c r="AW442" i="43" s="1"/>
  <c r="AP47" i="43"/>
  <c r="AX442" i="43" s="1"/>
  <c r="AK49" i="43"/>
  <c r="AL48" i="43"/>
  <c r="BA442" i="43" l="1"/>
  <c r="BX439" i="43" s="1"/>
  <c r="BW439" i="43" s="1"/>
  <c r="AZ442" i="43"/>
  <c r="BR439" i="43" s="1"/>
  <c r="BQ439" i="43" s="1"/>
  <c r="BB442" i="43"/>
  <c r="AU442" i="43"/>
  <c r="AP48" i="43"/>
  <c r="AX450" i="43" s="1"/>
  <c r="AO48" i="43"/>
  <c r="AV450" i="43" s="1"/>
  <c r="AN48" i="43"/>
  <c r="AW450" i="43" s="1"/>
  <c r="AK50" i="43"/>
  <c r="AL49" i="43"/>
  <c r="BA450" i="43" l="1"/>
  <c r="BX447" i="43" s="1"/>
  <c r="BW447" i="43" s="1"/>
  <c r="AZ450" i="43"/>
  <c r="BR447" i="43" s="1"/>
  <c r="BQ447" i="43" s="1"/>
  <c r="BB450" i="43"/>
  <c r="AU450" i="43"/>
  <c r="AP49" i="43"/>
  <c r="AX456" i="43" s="1"/>
  <c r="AO49" i="43"/>
  <c r="AV456" i="43" s="1"/>
  <c r="AN49" i="43"/>
  <c r="AW456" i="43" s="1"/>
  <c r="AK51" i="43"/>
  <c r="AL50" i="43"/>
  <c r="BB456" i="43" l="1"/>
  <c r="BA456" i="43"/>
  <c r="BX453" i="43" s="1"/>
  <c r="BW453" i="43" s="1"/>
  <c r="AZ456" i="43"/>
  <c r="BR453" i="43" s="1"/>
  <c r="BQ453" i="43" s="1"/>
  <c r="AU456" i="43"/>
  <c r="AN50" i="43"/>
  <c r="AW445" i="43" s="1"/>
  <c r="AO50" i="43"/>
  <c r="AV445" i="43" s="1"/>
  <c r="AP50" i="43"/>
  <c r="AX445" i="43" s="1"/>
  <c r="AK52" i="43"/>
  <c r="AL51" i="43"/>
  <c r="AZ445" i="43" l="1"/>
  <c r="BR442" i="43" s="1"/>
  <c r="BQ442" i="43" s="1"/>
  <c r="BB445" i="43"/>
  <c r="BA445" i="43"/>
  <c r="BX442" i="43" s="1"/>
  <c r="BW442" i="43" s="1"/>
  <c r="AU445" i="43"/>
  <c r="AO51" i="43"/>
  <c r="AV440" i="43" s="1"/>
  <c r="AN51" i="43"/>
  <c r="AW440" i="43" s="1"/>
  <c r="AP51" i="43"/>
  <c r="AX440" i="43" s="1"/>
  <c r="AK53" i="43"/>
  <c r="AL52" i="43"/>
  <c r="BB440" i="43" l="1"/>
  <c r="BA440" i="43"/>
  <c r="BX437" i="43" s="1"/>
  <c r="BW437" i="43" s="1"/>
  <c r="AZ440" i="43"/>
  <c r="BR437" i="43" s="1"/>
  <c r="BQ437" i="43" s="1"/>
  <c r="AU440" i="43"/>
  <c r="AP52" i="43"/>
  <c r="AX441" i="43" s="1"/>
  <c r="AO52" i="43"/>
  <c r="AV441" i="43" s="1"/>
  <c r="AN52" i="43"/>
  <c r="AW441" i="43" s="1"/>
  <c r="AK54" i="43"/>
  <c r="AL53" i="43"/>
  <c r="AZ441" i="43" l="1"/>
  <c r="BR438" i="43" s="1"/>
  <c r="BQ438" i="43" s="1"/>
  <c r="BB441" i="43"/>
  <c r="BA441" i="43"/>
  <c r="BX438" i="43" s="1"/>
  <c r="BW438" i="43" s="1"/>
  <c r="AU441" i="43"/>
  <c r="AP53" i="43"/>
  <c r="AX454" i="43" s="1"/>
  <c r="AN53" i="43"/>
  <c r="AW454" i="43" s="1"/>
  <c r="AO53" i="43"/>
  <c r="AV454" i="43" s="1"/>
  <c r="AK55" i="43"/>
  <c r="AL54" i="43"/>
  <c r="BA454" i="43" l="1"/>
  <c r="BX451" i="43" s="1"/>
  <c r="BW451" i="43" s="1"/>
  <c r="AZ454" i="43"/>
  <c r="BR451" i="43" s="1"/>
  <c r="BQ451" i="43" s="1"/>
  <c r="BB454" i="43"/>
  <c r="AU454" i="43"/>
  <c r="AN54" i="43"/>
  <c r="AW443" i="43" s="1"/>
  <c r="AO54" i="43"/>
  <c r="AV443" i="43" s="1"/>
  <c r="AP54" i="43"/>
  <c r="AX443" i="43" s="1"/>
  <c r="AK56" i="43"/>
  <c r="AL55" i="43"/>
  <c r="BB443" i="43" l="1"/>
  <c r="BA443" i="43"/>
  <c r="BX440" i="43" s="1"/>
  <c r="BW440" i="43" s="1"/>
  <c r="AZ443" i="43"/>
  <c r="BR440" i="43" s="1"/>
  <c r="BQ440" i="43" s="1"/>
  <c r="AU443" i="43"/>
  <c r="AO55" i="43"/>
  <c r="AV444" i="43" s="1"/>
  <c r="AN55" i="43"/>
  <c r="AW444" i="43" s="1"/>
  <c r="AP55" i="43"/>
  <c r="AX444" i="43" s="1"/>
  <c r="AL56" i="43"/>
  <c r="AK57" i="43"/>
  <c r="BB444" i="43" l="1"/>
  <c r="BA444" i="43"/>
  <c r="BX441" i="43" s="1"/>
  <c r="BW441" i="43" s="1"/>
  <c r="AZ444" i="43"/>
  <c r="BR441" i="43" s="1"/>
  <c r="BQ441" i="43" s="1"/>
  <c r="AP56" i="43"/>
  <c r="AX431" i="43" s="1"/>
  <c r="AO56" i="43"/>
  <c r="AV431" i="43" s="1"/>
  <c r="AN56" i="43"/>
  <c r="AW431" i="43" s="1"/>
  <c r="AK58" i="43"/>
  <c r="AL57" i="43"/>
  <c r="AU444" i="43"/>
  <c r="BB431" i="43" l="1"/>
  <c r="BA431" i="43"/>
  <c r="BX428" i="43" s="1"/>
  <c r="BW428" i="43" s="1"/>
  <c r="AZ431" i="43"/>
  <c r="BR428" i="43" s="1"/>
  <c r="BQ428" i="43" s="1"/>
  <c r="AU431" i="43"/>
  <c r="AK59" i="43"/>
  <c r="AL58" i="43"/>
  <c r="AP58" i="43" l="1"/>
  <c r="AX433" i="43" s="1"/>
  <c r="AO58" i="43"/>
  <c r="AV433" i="43" s="1"/>
  <c r="AN58" i="43"/>
  <c r="AW433" i="43" s="1"/>
  <c r="AL59" i="43"/>
  <c r="AK60" i="43"/>
  <c r="AZ433" i="43" l="1"/>
  <c r="BR430" i="43" s="1"/>
  <c r="BQ430" i="43" s="1"/>
  <c r="BB433" i="43"/>
  <c r="BA433" i="43"/>
  <c r="BX430" i="43" s="1"/>
  <c r="BW430" i="43" s="1"/>
  <c r="AU433" i="43"/>
  <c r="AK61" i="43"/>
  <c r="AL60" i="43"/>
  <c r="AO60" i="43" l="1"/>
  <c r="AV449" i="43" s="1"/>
  <c r="AP60" i="43"/>
  <c r="AX449" i="43" s="1"/>
  <c r="AN60" i="43"/>
  <c r="AW449" i="43" s="1"/>
  <c r="AK62" i="43"/>
  <c r="AL61" i="43"/>
  <c r="AZ449" i="43" l="1"/>
  <c r="BR446" i="43" s="1"/>
  <c r="BQ446" i="43" s="1"/>
  <c r="BB449" i="43"/>
  <c r="BA449" i="43"/>
  <c r="BX446" i="43" s="1"/>
  <c r="BW446" i="43" s="1"/>
  <c r="AU449" i="43"/>
  <c r="AP61" i="43"/>
  <c r="AX436" i="43" s="1"/>
  <c r="AO61" i="43"/>
  <c r="AV436" i="43" s="1"/>
  <c r="AN61" i="43"/>
  <c r="AW436" i="43" s="1"/>
  <c r="AK63" i="43"/>
  <c r="AL62" i="43"/>
  <c r="BB436" i="43" l="1"/>
  <c r="BA436" i="43"/>
  <c r="BX433" i="43" s="1"/>
  <c r="BW433" i="43" s="1"/>
  <c r="AZ436" i="43"/>
  <c r="BR433" i="43" s="1"/>
  <c r="BQ433" i="43" s="1"/>
  <c r="AU436" i="43"/>
  <c r="AK64" i="43"/>
  <c r="AL63" i="43"/>
  <c r="AN63" i="43" l="1"/>
  <c r="AW432" i="43" s="1"/>
  <c r="AP63" i="43"/>
  <c r="AX432" i="43" s="1"/>
  <c r="AO63" i="43"/>
  <c r="AV432" i="43" s="1"/>
  <c r="AK65" i="43"/>
  <c r="AL64" i="43"/>
  <c r="BB432" i="43" l="1"/>
  <c r="BA432" i="43"/>
  <c r="BX429" i="43" s="1"/>
  <c r="BW429" i="43" s="1"/>
  <c r="AZ432" i="43"/>
  <c r="BR429" i="43" s="1"/>
  <c r="BQ429" i="43" s="1"/>
  <c r="AU432" i="43"/>
  <c r="AO64" i="43"/>
  <c r="AV429" i="43" s="1"/>
  <c r="AN64" i="43"/>
  <c r="AW429" i="43" s="1"/>
  <c r="AP64" i="43"/>
  <c r="AX429" i="43" s="1"/>
  <c r="AK66" i="43"/>
  <c r="AL65" i="43"/>
  <c r="AZ429" i="43" l="1"/>
  <c r="BR426" i="43" s="1"/>
  <c r="BQ426" i="43" s="1"/>
  <c r="BB429" i="43"/>
  <c r="BA429" i="43"/>
  <c r="BX426" i="43" s="1"/>
  <c r="BW426" i="43" s="1"/>
  <c r="AU429" i="43"/>
  <c r="AP65" i="43"/>
  <c r="AX428" i="43" s="1"/>
  <c r="AO65" i="43"/>
  <c r="AV428" i="43" s="1"/>
  <c r="AN65" i="43"/>
  <c r="AW428" i="43" s="1"/>
  <c r="AK67" i="43"/>
  <c r="AL66" i="43"/>
  <c r="BB428" i="43" l="1"/>
  <c r="BA428" i="43"/>
  <c r="BX425" i="43" s="1"/>
  <c r="BW425" i="43" s="1"/>
  <c r="AZ428" i="43"/>
  <c r="BR425" i="43" s="1"/>
  <c r="BQ425" i="43" s="1"/>
  <c r="AU428" i="43"/>
  <c r="AP66" i="43"/>
  <c r="AX430" i="43" s="1"/>
  <c r="AO66" i="43"/>
  <c r="AV430" i="43" s="1"/>
  <c r="AN66" i="43"/>
  <c r="AW430" i="43" s="1"/>
  <c r="AK68" i="43"/>
  <c r="AL67" i="43"/>
  <c r="BA430" i="43" l="1"/>
  <c r="BX427" i="43" s="1"/>
  <c r="BW427" i="43" s="1"/>
  <c r="AZ430" i="43"/>
  <c r="BR427" i="43" s="1"/>
  <c r="BQ427" i="43" s="1"/>
  <c r="BB430" i="43"/>
  <c r="AU430" i="43"/>
  <c r="AN67" i="43"/>
  <c r="AW438" i="43" s="1"/>
  <c r="AO67" i="43"/>
  <c r="AV438" i="43" s="1"/>
  <c r="AP67" i="43"/>
  <c r="AX438" i="43" s="1"/>
  <c r="AK69" i="43"/>
  <c r="AL68" i="43"/>
  <c r="BA438" i="43" l="1"/>
  <c r="BX435" i="43" s="1"/>
  <c r="BW435" i="43" s="1"/>
  <c r="AZ438" i="43"/>
  <c r="BR435" i="43" s="1"/>
  <c r="BQ435" i="43" s="1"/>
  <c r="BB438" i="43"/>
  <c r="AU438" i="43"/>
  <c r="AO68" i="43"/>
  <c r="AV426" i="43" s="1"/>
  <c r="AN68" i="43"/>
  <c r="AW426" i="43" s="1"/>
  <c r="AP68" i="43"/>
  <c r="AX426" i="43" s="1"/>
  <c r="AK70" i="43"/>
  <c r="AL69" i="43"/>
  <c r="BA426" i="43" l="1"/>
  <c r="BX423" i="43" s="1"/>
  <c r="BW423" i="43" s="1"/>
  <c r="AZ426" i="43"/>
  <c r="BR423" i="43" s="1"/>
  <c r="BQ423" i="43" s="1"/>
  <c r="BB426" i="43"/>
  <c r="AU426" i="43"/>
  <c r="AP69" i="43"/>
  <c r="AX425" i="43" s="1"/>
  <c r="AO69" i="43"/>
  <c r="AV425" i="43" s="1"/>
  <c r="AN69" i="43"/>
  <c r="AW425" i="43" s="1"/>
  <c r="AL70" i="43"/>
  <c r="AK71" i="43"/>
  <c r="AZ425" i="43" l="1"/>
  <c r="BR422" i="43" s="1"/>
  <c r="BQ422" i="43" s="1"/>
  <c r="BB425" i="43"/>
  <c r="BA425" i="43"/>
  <c r="BX422" i="43" s="1"/>
  <c r="BW422" i="43" s="1"/>
  <c r="AU425" i="43"/>
  <c r="AP70" i="43"/>
  <c r="AX424" i="43" s="1"/>
  <c r="AN70" i="43"/>
  <c r="AW424" i="43" s="1"/>
  <c r="AO70" i="43"/>
  <c r="AV424" i="43" s="1"/>
  <c r="AK72" i="43"/>
  <c r="AL71" i="43"/>
  <c r="BB424" i="43" l="1"/>
  <c r="BA424" i="43"/>
  <c r="BX421" i="43" s="1"/>
  <c r="BW421" i="43" s="1"/>
  <c r="AZ424" i="43"/>
  <c r="BR421" i="43" s="1"/>
  <c r="BQ421" i="43" s="1"/>
  <c r="AU424" i="43"/>
  <c r="AN71" i="43"/>
  <c r="AW423" i="43" s="1"/>
  <c r="AP71" i="43"/>
  <c r="AX423" i="43" s="1"/>
  <c r="AO71" i="43"/>
  <c r="AV423" i="43" s="1"/>
  <c r="AK73" i="43"/>
  <c r="AL72" i="43"/>
  <c r="BB423" i="43" l="1"/>
  <c r="BA423" i="43"/>
  <c r="BX420" i="43" s="1"/>
  <c r="BW420" i="43" s="1"/>
  <c r="AZ423" i="43"/>
  <c r="BR420" i="43" s="1"/>
  <c r="BQ420" i="43" s="1"/>
  <c r="AU423" i="43"/>
  <c r="AO72" i="43"/>
  <c r="AV421" i="43" s="1"/>
  <c r="AN72" i="43"/>
  <c r="AW421" i="43" s="1"/>
  <c r="AP72" i="43"/>
  <c r="AX421" i="43" s="1"/>
  <c r="AK74" i="43"/>
  <c r="AL73" i="43"/>
  <c r="AZ421" i="43" l="1"/>
  <c r="BR418" i="43" s="1"/>
  <c r="BQ418" i="43" s="1"/>
  <c r="BB421" i="43"/>
  <c r="BA421" i="43"/>
  <c r="BX418" i="43" s="1"/>
  <c r="BW418" i="43" s="1"/>
  <c r="AU421" i="43"/>
  <c r="AP73" i="43"/>
  <c r="AX422" i="43" s="1"/>
  <c r="AO73" i="43"/>
  <c r="AV422" i="43" s="1"/>
  <c r="AN73" i="43"/>
  <c r="AW422" i="43" s="1"/>
  <c r="AL74" i="43"/>
  <c r="AK75" i="43"/>
  <c r="BA422" i="43" l="1"/>
  <c r="BX419" i="43" s="1"/>
  <c r="BW419" i="43" s="1"/>
  <c r="AZ422" i="43"/>
  <c r="BR419" i="43" s="1"/>
  <c r="BQ419" i="43" s="1"/>
  <c r="BB422" i="43"/>
  <c r="AU422" i="43"/>
  <c r="AP74" i="43"/>
  <c r="AX418" i="43" s="1"/>
  <c r="AO74" i="43"/>
  <c r="AV418" i="43" s="1"/>
  <c r="AN74" i="43"/>
  <c r="AW418" i="43" s="1"/>
  <c r="AK76" i="43"/>
  <c r="AL75" i="43"/>
  <c r="BA418" i="43" l="1"/>
  <c r="BX415" i="43" s="1"/>
  <c r="BW415" i="43" s="1"/>
  <c r="AZ418" i="43"/>
  <c r="BR415" i="43" s="1"/>
  <c r="BQ415" i="43" s="1"/>
  <c r="BB418" i="43"/>
  <c r="AU418" i="43"/>
  <c r="AN75" i="43"/>
  <c r="AW417" i="43" s="1"/>
  <c r="AP75" i="43"/>
  <c r="AX417" i="43" s="1"/>
  <c r="AO75" i="43"/>
  <c r="AV417" i="43" s="1"/>
  <c r="AL76" i="43"/>
  <c r="AK77" i="43"/>
  <c r="AZ417" i="43" l="1"/>
  <c r="BR414" i="43" s="1"/>
  <c r="BQ414" i="43" s="1"/>
  <c r="BB417" i="43"/>
  <c r="BA417" i="43"/>
  <c r="BX414" i="43" s="1"/>
  <c r="BW414" i="43" s="1"/>
  <c r="AU417" i="43"/>
  <c r="AO76" i="43"/>
  <c r="AV419" i="43" s="1"/>
  <c r="AN76" i="43"/>
  <c r="AW419" i="43" s="1"/>
  <c r="AP76" i="43"/>
  <c r="AX419" i="43" s="1"/>
  <c r="AL77" i="43"/>
  <c r="AK78" i="43"/>
  <c r="BB419" i="43" l="1"/>
  <c r="BA419" i="43"/>
  <c r="BX416" i="43" s="1"/>
  <c r="BW416" i="43" s="1"/>
  <c r="AZ419" i="43"/>
  <c r="BR416" i="43" s="1"/>
  <c r="BQ416" i="43" s="1"/>
  <c r="AU419" i="43"/>
  <c r="AP77" i="43"/>
  <c r="AO77" i="43"/>
  <c r="AN77" i="43"/>
  <c r="AK79" i="43"/>
  <c r="AL78" i="43"/>
  <c r="AK80" i="43" l="1"/>
  <c r="AL79" i="43"/>
  <c r="AP79" i="43" l="1"/>
  <c r="AX415" i="43" s="1"/>
  <c r="AO79" i="43"/>
  <c r="AV415" i="43" s="1"/>
  <c r="AN79" i="43"/>
  <c r="AW415" i="43" s="1"/>
  <c r="AL80" i="43"/>
  <c r="AK81" i="43"/>
  <c r="BB415" i="43" l="1"/>
  <c r="BA415" i="43"/>
  <c r="BX412" i="43" s="1"/>
  <c r="BW412" i="43" s="1"/>
  <c r="AZ415" i="43"/>
  <c r="BR412" i="43" s="1"/>
  <c r="BQ412" i="43" s="1"/>
  <c r="AU415" i="43"/>
  <c r="AL81" i="43"/>
  <c r="AK82" i="43"/>
  <c r="AP81" i="43" l="1"/>
  <c r="AX407" i="43" s="1"/>
  <c r="AO81" i="43"/>
  <c r="AV407" i="43" s="1"/>
  <c r="AN81" i="43"/>
  <c r="AW407" i="43" s="1"/>
  <c r="AK83" i="43"/>
  <c r="AL82" i="43"/>
  <c r="BB407" i="43" l="1"/>
  <c r="BA407" i="43"/>
  <c r="BX404" i="43" s="1"/>
  <c r="BW404" i="43" s="1"/>
  <c r="AZ407" i="43"/>
  <c r="BR404" i="43" s="1"/>
  <c r="BQ404" i="43" s="1"/>
  <c r="AU407" i="43"/>
  <c r="AK84" i="43"/>
  <c r="AL83" i="43"/>
  <c r="AP83" i="43" l="1"/>
  <c r="AX406" i="43" s="1"/>
  <c r="AO83" i="43"/>
  <c r="AV406" i="43" s="1"/>
  <c r="AN83" i="43"/>
  <c r="AW406" i="43" s="1"/>
  <c r="AL84" i="43"/>
  <c r="AK85" i="43"/>
  <c r="BA406" i="43" l="1"/>
  <c r="BX403" i="43" s="1"/>
  <c r="BW403" i="43" s="1"/>
  <c r="AZ406" i="43"/>
  <c r="BR403" i="43" s="1"/>
  <c r="BQ403" i="43" s="1"/>
  <c r="BB406" i="43"/>
  <c r="AU406" i="43"/>
  <c r="AN84" i="43"/>
  <c r="AW416" i="43" s="1"/>
  <c r="AP84" i="43"/>
  <c r="AX416" i="43" s="1"/>
  <c r="AO84" i="43"/>
  <c r="AV416" i="43" s="1"/>
  <c r="AK86" i="43"/>
  <c r="AL85" i="43"/>
  <c r="BB416" i="43" l="1"/>
  <c r="BA416" i="43"/>
  <c r="BX413" i="43" s="1"/>
  <c r="BW413" i="43" s="1"/>
  <c r="AZ416" i="43"/>
  <c r="BR413" i="43" s="1"/>
  <c r="BQ413" i="43" s="1"/>
  <c r="AU416" i="43"/>
  <c r="AO85" i="43"/>
  <c r="AV414" i="43" s="1"/>
  <c r="AN85" i="43"/>
  <c r="AW414" i="43" s="1"/>
  <c r="AP85" i="43"/>
  <c r="AX414" i="43" s="1"/>
  <c r="AK87" i="43"/>
  <c r="AL86" i="43"/>
  <c r="BA414" i="43" l="1"/>
  <c r="BX411" i="43" s="1"/>
  <c r="BW411" i="43" s="1"/>
  <c r="AZ414" i="43"/>
  <c r="BR411" i="43" s="1"/>
  <c r="BQ411" i="43" s="1"/>
  <c r="BB414" i="43"/>
  <c r="AU414" i="43"/>
  <c r="AP86" i="43"/>
  <c r="AX409" i="43" s="1"/>
  <c r="AO86" i="43"/>
  <c r="AV409" i="43" s="1"/>
  <c r="AN86" i="43"/>
  <c r="AW409" i="43" s="1"/>
  <c r="AK88" i="43"/>
  <c r="AL87" i="43"/>
  <c r="AZ409" i="43" l="1"/>
  <c r="BR406" i="43" s="1"/>
  <c r="BQ406" i="43" s="1"/>
  <c r="BB409" i="43"/>
  <c r="BA409" i="43"/>
  <c r="BX406" i="43" s="1"/>
  <c r="BW406" i="43" s="1"/>
  <c r="AU409" i="43"/>
  <c r="AP87" i="43"/>
  <c r="AX405" i="43" s="1"/>
  <c r="AO87" i="43"/>
  <c r="AV405" i="43" s="1"/>
  <c r="AN87" i="43"/>
  <c r="AW405" i="43" s="1"/>
  <c r="AL88" i="43"/>
  <c r="AK89" i="43"/>
  <c r="AZ405" i="43" l="1"/>
  <c r="BR402" i="43" s="1"/>
  <c r="BQ402" i="43" s="1"/>
  <c r="BB405" i="43"/>
  <c r="BA405" i="43"/>
  <c r="BX402" i="43" s="1"/>
  <c r="BW402" i="43" s="1"/>
  <c r="AU405" i="43"/>
  <c r="AN88" i="43"/>
  <c r="AW413" i="43" s="1"/>
  <c r="AP88" i="43"/>
  <c r="AX413" i="43" s="1"/>
  <c r="AO88" i="43"/>
  <c r="AV413" i="43" s="1"/>
  <c r="AK90" i="43"/>
  <c r="AL89" i="43"/>
  <c r="AZ413" i="43" l="1"/>
  <c r="BR410" i="43" s="1"/>
  <c r="BQ410" i="43" s="1"/>
  <c r="BB413" i="43"/>
  <c r="BA413" i="43"/>
  <c r="BX410" i="43" s="1"/>
  <c r="BW410" i="43" s="1"/>
  <c r="AU413" i="43"/>
  <c r="AO89" i="43"/>
  <c r="AV408" i="43" s="1"/>
  <c r="AN89" i="43"/>
  <c r="AW408" i="43" s="1"/>
  <c r="AP89" i="43"/>
  <c r="AX408" i="43" s="1"/>
  <c r="AL90" i="43"/>
  <c r="AK91" i="43"/>
  <c r="BB408" i="43" l="1"/>
  <c r="BA408" i="43"/>
  <c r="BX405" i="43" s="1"/>
  <c r="BW405" i="43" s="1"/>
  <c r="AZ408" i="43"/>
  <c r="BR405" i="43" s="1"/>
  <c r="BQ405" i="43" s="1"/>
  <c r="AU408" i="43"/>
  <c r="AP90" i="43"/>
  <c r="AX411" i="43" s="1"/>
  <c r="AO90" i="43"/>
  <c r="AV411" i="43" s="1"/>
  <c r="AN90" i="43"/>
  <c r="AW411" i="43" s="1"/>
  <c r="AK92" i="43"/>
  <c r="AL91" i="43"/>
  <c r="BB411" i="43" l="1"/>
  <c r="BA411" i="43"/>
  <c r="BX408" i="43" s="1"/>
  <c r="BW408" i="43" s="1"/>
  <c r="AZ411" i="43"/>
  <c r="BR408" i="43" s="1"/>
  <c r="BQ408" i="43" s="1"/>
  <c r="AU411" i="43"/>
  <c r="AP91" i="43"/>
  <c r="AX403" i="43" s="1"/>
  <c r="AO91" i="43"/>
  <c r="AV403" i="43" s="1"/>
  <c r="AN91" i="43"/>
  <c r="AW403" i="43" s="1"/>
  <c r="AK93" i="43"/>
  <c r="AL92" i="43"/>
  <c r="BB403" i="43" l="1"/>
  <c r="BA403" i="43"/>
  <c r="BX400" i="43" s="1"/>
  <c r="BW400" i="43" s="1"/>
  <c r="AZ403" i="43"/>
  <c r="BR400" i="43" s="1"/>
  <c r="BQ400" i="43" s="1"/>
  <c r="AU403" i="43"/>
  <c r="AN92" i="43"/>
  <c r="AW410" i="43" s="1"/>
  <c r="AP92" i="43"/>
  <c r="AX410" i="43" s="1"/>
  <c r="AO92" i="43"/>
  <c r="AV410" i="43" s="1"/>
  <c r="AK94" i="43"/>
  <c r="AL93" i="43"/>
  <c r="BA410" i="43" l="1"/>
  <c r="BX407" i="43" s="1"/>
  <c r="BW407" i="43" s="1"/>
  <c r="AZ410" i="43"/>
  <c r="BR407" i="43" s="1"/>
  <c r="BQ407" i="43" s="1"/>
  <c r="BB410" i="43"/>
  <c r="AU410" i="43"/>
  <c r="AO93" i="43"/>
  <c r="AV404" i="43" s="1"/>
  <c r="AN93" i="43"/>
  <c r="AW404" i="43" s="1"/>
  <c r="AP93" i="43"/>
  <c r="AX404" i="43" s="1"/>
  <c r="AL94" i="43"/>
  <c r="AK95" i="43"/>
  <c r="BB404" i="43" l="1"/>
  <c r="BA404" i="43"/>
  <c r="BX401" i="43" s="1"/>
  <c r="BW401" i="43" s="1"/>
  <c r="AZ404" i="43"/>
  <c r="BR401" i="43" s="1"/>
  <c r="BQ401" i="43" s="1"/>
  <c r="AU404" i="43"/>
  <c r="AP94" i="43"/>
  <c r="AX394" i="43" s="1"/>
  <c r="AO94" i="43"/>
  <c r="AV394" i="43" s="1"/>
  <c r="AN94" i="43"/>
  <c r="AW394" i="43" s="1"/>
  <c r="AK96" i="43"/>
  <c r="AL95" i="43"/>
  <c r="BA394" i="43" l="1"/>
  <c r="BX391" i="43" s="1"/>
  <c r="BW391" i="43" s="1"/>
  <c r="AZ394" i="43"/>
  <c r="BR391" i="43" s="1"/>
  <c r="BQ391" i="43" s="1"/>
  <c r="BB394" i="43"/>
  <c r="AU394" i="43"/>
  <c r="AP95" i="43"/>
  <c r="AX398" i="43" s="1"/>
  <c r="AO95" i="43"/>
  <c r="AV398" i="43" s="1"/>
  <c r="AN95" i="43"/>
  <c r="AW398" i="43" s="1"/>
  <c r="AK97" i="43"/>
  <c r="AL96" i="43"/>
  <c r="BA398" i="43" l="1"/>
  <c r="BX395" i="43" s="1"/>
  <c r="BW395" i="43" s="1"/>
  <c r="AZ398" i="43"/>
  <c r="BR395" i="43" s="1"/>
  <c r="BQ395" i="43" s="1"/>
  <c r="BB398" i="43"/>
  <c r="AU398" i="43"/>
  <c r="AN96" i="43"/>
  <c r="AW401" i="43" s="1"/>
  <c r="AP96" i="43"/>
  <c r="AX401" i="43" s="1"/>
  <c r="AO96" i="43"/>
  <c r="AV401" i="43" s="1"/>
  <c r="AK98" i="43"/>
  <c r="AL97" i="43"/>
  <c r="AZ401" i="43" l="1"/>
  <c r="BR398" i="43" s="1"/>
  <c r="BQ398" i="43" s="1"/>
  <c r="BB401" i="43"/>
  <c r="BA401" i="43"/>
  <c r="BX398" i="43" s="1"/>
  <c r="BW398" i="43" s="1"/>
  <c r="AU401" i="43"/>
  <c r="AO97" i="43"/>
  <c r="AV399" i="43" s="1"/>
  <c r="AN97" i="43"/>
  <c r="AW399" i="43" s="1"/>
  <c r="AP97" i="43"/>
  <c r="AX399" i="43" s="1"/>
  <c r="AK99" i="43"/>
  <c r="AL98" i="43"/>
  <c r="BB399" i="43" l="1"/>
  <c r="BA399" i="43"/>
  <c r="BX396" i="43" s="1"/>
  <c r="BW396" i="43" s="1"/>
  <c r="AZ399" i="43"/>
  <c r="BR396" i="43" s="1"/>
  <c r="BQ396" i="43" s="1"/>
  <c r="AU399" i="43"/>
  <c r="AP98" i="43"/>
  <c r="AX402" i="43" s="1"/>
  <c r="AO98" i="43"/>
  <c r="AV402" i="43" s="1"/>
  <c r="AN98" i="43"/>
  <c r="AW402" i="43" s="1"/>
  <c r="AK100" i="43"/>
  <c r="AL99" i="43"/>
  <c r="BA402" i="43" l="1"/>
  <c r="BX399" i="43" s="1"/>
  <c r="BW399" i="43" s="1"/>
  <c r="AZ402" i="43"/>
  <c r="BR399" i="43" s="1"/>
  <c r="BQ399" i="43" s="1"/>
  <c r="BB402" i="43"/>
  <c r="AU402" i="43"/>
  <c r="AP99" i="43"/>
  <c r="AX396" i="43" s="1"/>
  <c r="AO99" i="43"/>
  <c r="AV396" i="43" s="1"/>
  <c r="AN99" i="43"/>
  <c r="AW396" i="43" s="1"/>
  <c r="AL100" i="43"/>
  <c r="AK101" i="43"/>
  <c r="BB396" i="43" l="1"/>
  <c r="BA396" i="43"/>
  <c r="BX393" i="43" s="1"/>
  <c r="BW393" i="43" s="1"/>
  <c r="AZ396" i="43"/>
  <c r="BR393" i="43" s="1"/>
  <c r="BQ393" i="43" s="1"/>
  <c r="AU396" i="43"/>
  <c r="AN100" i="43"/>
  <c r="AW397" i="43" s="1"/>
  <c r="AP100" i="43"/>
  <c r="AX397" i="43" s="1"/>
  <c r="AO100" i="43"/>
  <c r="AV397" i="43" s="1"/>
  <c r="AK102" i="43"/>
  <c r="AL102" i="43" s="1"/>
  <c r="AL101" i="43"/>
  <c r="AZ397" i="43" l="1"/>
  <c r="BR394" i="43" s="1"/>
  <c r="BQ394" i="43" s="1"/>
  <c r="BB397" i="43"/>
  <c r="BA397" i="43"/>
  <c r="BX394" i="43" s="1"/>
  <c r="BW394" i="43" s="1"/>
  <c r="AU397" i="43"/>
  <c r="AO101" i="43"/>
  <c r="AV400" i="43" s="1"/>
  <c r="AN101" i="43"/>
  <c r="AW400" i="43" s="1"/>
  <c r="AP101" i="43"/>
  <c r="AX400" i="43" s="1"/>
  <c r="AP102" i="43"/>
  <c r="AX395" i="43" s="1"/>
  <c r="AO102" i="43"/>
  <c r="AV395" i="43" s="1"/>
  <c r="AN102" i="43"/>
  <c r="AW395" i="43" s="1"/>
  <c r="BB400" i="43" l="1"/>
  <c r="BA400" i="43"/>
  <c r="BX397" i="43" s="1"/>
  <c r="BW397" i="43" s="1"/>
  <c r="AZ400" i="43"/>
  <c r="BR397" i="43" s="1"/>
  <c r="BQ397" i="43" s="1"/>
  <c r="BB395" i="43"/>
  <c r="BA395" i="43"/>
  <c r="BX392" i="43" s="1"/>
  <c r="BW392" i="43" s="1"/>
  <c r="AZ395" i="43"/>
  <c r="BR392" i="43" s="1"/>
  <c r="BQ392" i="43" s="1"/>
  <c r="AU395" i="43"/>
  <c r="AU400" i="43"/>
</calcChain>
</file>

<file path=xl/comments1.xml><?xml version="1.0" encoding="utf-8"?>
<comments xmlns="http://schemas.openxmlformats.org/spreadsheetml/2006/main">
  <authors>
    <author>Peter</author>
  </authors>
  <commentList>
    <comment ref="A1" authorId="0" shapeId="0">
      <text>
        <r>
          <rPr>
            <b/>
            <sz val="9"/>
            <color indexed="81"/>
            <rFont val="Tahoma"/>
            <family val="2"/>
          </rPr>
          <t>Peter:</t>
        </r>
        <r>
          <rPr>
            <sz val="9"/>
            <color indexed="81"/>
            <rFont val="Tahoma"/>
            <family val="2"/>
          </rPr>
          <t xml:space="preserve">
This version excludes the potential for repeat spawning by adult steelhead...</t>
        </r>
      </text>
    </comment>
    <comment ref="C10" authorId="0" shapeId="0">
      <text>
        <r>
          <rPr>
            <b/>
            <sz val="9"/>
            <color indexed="81"/>
            <rFont val="Tahoma"/>
            <family val="2"/>
          </rPr>
          <t>Peter:</t>
        </r>
        <r>
          <rPr>
            <sz val="9"/>
            <color indexed="81"/>
            <rFont val="Tahoma"/>
            <family val="2"/>
          </rPr>
          <t xml:space="preserve">
Capacity estimates are now in whole pop values, no length scaing required.</t>
        </r>
      </text>
    </comment>
    <comment ref="A45" authorId="0" shapeId="0">
      <text>
        <r>
          <rPr>
            <b/>
            <sz val="9"/>
            <color indexed="81"/>
            <rFont val="Tahoma"/>
            <family val="2"/>
          </rPr>
          <t>Peter:</t>
        </r>
        <r>
          <rPr>
            <sz val="9"/>
            <color indexed="81"/>
            <rFont val="Tahoma"/>
            <family val="2"/>
          </rPr>
          <t xml:space="preserve">
Set to 0 if base, 1 if HeatSource, 2 … , etc.</t>
        </r>
      </text>
    </comment>
    <comment ref="C45" authorId="0" shapeId="0">
      <text>
        <r>
          <rPr>
            <b/>
            <sz val="9"/>
            <color indexed="81"/>
            <rFont val="Tahoma"/>
            <family val="2"/>
          </rPr>
          <t>Peter:</t>
        </r>
        <r>
          <rPr>
            <sz val="9"/>
            <color indexed="81"/>
            <rFont val="Tahoma"/>
            <family val="2"/>
          </rPr>
          <t xml:space="preserve">
This is basin-total egg capacity, i.e., redds-per-meter x average fecudity (i.e., age comp * fec by size/age).</t>
        </r>
      </text>
    </comment>
    <comment ref="D45" authorId="0" shapeId="0">
      <text>
        <r>
          <rPr>
            <b/>
            <sz val="9"/>
            <color indexed="81"/>
            <rFont val="Tahoma"/>
            <family val="2"/>
          </rPr>
          <t>Peter:</t>
        </r>
        <r>
          <rPr>
            <sz val="9"/>
            <color indexed="81"/>
            <rFont val="Tahoma"/>
            <family val="2"/>
          </rPr>
          <t xml:space="preserve">
modeled as infinitely large.</t>
        </r>
      </text>
    </comment>
    <comment ref="G45" authorId="0" shapeId="0">
      <text>
        <r>
          <rPr>
            <b/>
            <sz val="9"/>
            <color indexed="81"/>
            <rFont val="Tahoma"/>
            <family val="2"/>
          </rPr>
          <t>Peter:</t>
        </r>
        <r>
          <rPr>
            <sz val="9"/>
            <color indexed="81"/>
            <rFont val="Tahoma"/>
            <family val="2"/>
          </rPr>
          <t xml:space="preserve">
modeled as infinitely large.</t>
        </r>
      </text>
    </comment>
    <comment ref="D80" authorId="0" shapeId="0">
      <text>
        <r>
          <rPr>
            <b/>
            <sz val="9"/>
            <color indexed="81"/>
            <rFont val="Tahoma"/>
            <family val="2"/>
          </rPr>
          <t>Peter:</t>
        </r>
        <r>
          <rPr>
            <sz val="9"/>
            <color indexed="81"/>
            <rFont val="Tahoma"/>
            <family val="2"/>
          </rPr>
          <t xml:space="preserve">
This is modeled as 100% to avoid applying mainstem mort to resident rainbows; BON-trib losses are now modeled as harvest below.</t>
        </r>
      </text>
    </comment>
    <comment ref="D81" authorId="0" shapeId="0">
      <text>
        <r>
          <rPr>
            <b/>
            <sz val="9"/>
            <color indexed="81"/>
            <rFont val="Tahoma"/>
            <family val="2"/>
          </rPr>
          <t>Peter:</t>
        </r>
        <r>
          <rPr>
            <sz val="9"/>
            <color indexed="81"/>
            <rFont val="Tahoma"/>
            <family val="2"/>
          </rPr>
          <t xml:space="preserve">
This is set to 1.00 given that any separation of egg-to-parr will be arbitrayr; thus N[4] will soak up egg-to-parr in its </t>
        </r>
      </text>
    </comment>
    <comment ref="D82" authorId="0" shapeId="0">
      <text>
        <r>
          <rPr>
            <b/>
            <sz val="9"/>
            <color indexed="81"/>
            <rFont val="Tahoma"/>
            <family val="2"/>
          </rPr>
          <t>Peter:</t>
        </r>
        <r>
          <rPr>
            <sz val="9"/>
            <color indexed="81"/>
            <rFont val="Tahoma"/>
            <family val="2"/>
          </rPr>
          <t xml:space="preserve">
this is combined egg-to-parr survival backed out given observed smolts/spawner, spawner abundance (sex ratio, fecundity too), and parr/presmolt survival.
Currently, we use proxy values based on SF productivity given the MF productivity appears biased low.</t>
        </r>
      </text>
    </comment>
    <comment ref="D84" authorId="0" shapeId="0">
      <text>
        <r>
          <rPr>
            <b/>
            <sz val="9"/>
            <color indexed="81"/>
            <rFont val="Tahoma"/>
            <family val="2"/>
          </rPr>
          <t>Peter:</t>
        </r>
        <r>
          <rPr>
            <sz val="9"/>
            <color indexed="81"/>
            <rFont val="Tahoma"/>
            <family val="2"/>
          </rPr>
          <t xml:space="preserve">
2004-2013 mean CJS estimate from MFJD trap to JD dam.</t>
        </r>
      </text>
    </comment>
    <comment ref="D85" authorId="0" shapeId="0">
      <text>
        <r>
          <rPr>
            <b/>
            <sz val="9"/>
            <color indexed="81"/>
            <rFont val="Tahoma"/>
            <family val="2"/>
          </rPr>
          <t>Peter:</t>
        </r>
        <r>
          <rPr>
            <sz val="9"/>
            <color indexed="81"/>
            <rFont val="Tahoma"/>
            <family val="2"/>
          </rPr>
          <t xml:space="preserve">
this is applied in same time step as smolt, must be survival through dams whereas Sr[6] is to mainstem…
Here we model a single trib to JDA value; the use SARs to get  back to BON...</t>
        </r>
      </text>
    </comment>
    <comment ref="D86" authorId="0" shapeId="0">
      <text>
        <r>
          <rPr>
            <b/>
            <sz val="9"/>
            <color indexed="81"/>
            <rFont val="Tahoma"/>
            <family val="2"/>
          </rPr>
          <t>Peter:</t>
        </r>
        <r>
          <rPr>
            <sz val="9"/>
            <color indexed="81"/>
            <rFont val="Tahoma"/>
            <family val="2"/>
          </rPr>
          <t xml:space="preserve">
these were generated via MCMC/Bayesian estimation in WinBUGS…
together they produce JDA to BON SARs that are on average consistent with what's seen on the ground (CSS ests)</t>
        </r>
      </text>
    </comment>
    <comment ref="D89" authorId="0" shapeId="0">
      <text>
        <r>
          <rPr>
            <b/>
            <sz val="9"/>
            <color indexed="81"/>
            <rFont val="Tahoma"/>
            <family val="2"/>
          </rPr>
          <t>Peter:</t>
        </r>
        <r>
          <rPr>
            <sz val="9"/>
            <color indexed="81"/>
            <rFont val="Tahoma"/>
            <family val="2"/>
          </rPr>
          <t xml:space="preserve">
assume constant after OA3, but it doesn't really matter given the way the model processes repeat spawners.</t>
        </r>
      </text>
    </comment>
    <comment ref="B100" authorId="0" shapeId="0">
      <text>
        <r>
          <rPr>
            <b/>
            <sz val="9"/>
            <color indexed="81"/>
            <rFont val="Tahoma"/>
            <family val="2"/>
          </rPr>
          <t>Peter:</t>
        </r>
        <r>
          <rPr>
            <sz val="9"/>
            <color indexed="81"/>
            <rFont val="Tahoma"/>
            <family val="2"/>
          </rPr>
          <t xml:space="preserve">
number is actually true age - 1 (i.e., years spent as presmolt)</t>
        </r>
      </text>
    </comment>
    <comment ref="H101" authorId="0" shapeId="0">
      <text>
        <r>
          <rPr>
            <b/>
            <sz val="9"/>
            <color indexed="81"/>
            <rFont val="Tahoma"/>
            <family val="2"/>
          </rPr>
          <t>Peter:</t>
        </r>
        <r>
          <rPr>
            <sz val="9"/>
            <color indexed="81"/>
            <rFont val="Tahoma"/>
            <family val="2"/>
          </rPr>
          <t xml:space="preserve">
See workup on e and f sheets for full details on sourcing and gender bias in calc's</t>
        </r>
      </text>
    </comment>
    <comment ref="H103" authorId="0" shapeId="0">
      <text>
        <r>
          <rPr>
            <b/>
            <sz val="9"/>
            <color indexed="81"/>
            <rFont val="Tahoma"/>
            <family val="2"/>
          </rPr>
          <t>Peter:</t>
        </r>
        <r>
          <rPr>
            <sz val="9"/>
            <color indexed="81"/>
            <rFont val="Tahoma"/>
            <family val="2"/>
          </rPr>
          <t xml:space="preserve">
smolting ends at age 3 for MFJD (4s occur but are rare)</t>
        </r>
      </text>
    </comment>
    <comment ref="C104" authorId="0" shapeId="0">
      <text>
        <r>
          <rPr>
            <b/>
            <sz val="9"/>
            <color indexed="81"/>
            <rFont val="Tahoma"/>
            <family val="2"/>
          </rPr>
          <t>Peter:</t>
        </r>
        <r>
          <rPr>
            <sz val="9"/>
            <color indexed="81"/>
            <rFont val="Tahoma"/>
            <family val="2"/>
          </rPr>
          <t xml:space="preserve">
assume constant survival after age 3 but that everyone dies at age 6.</t>
        </r>
      </text>
    </comment>
    <comment ref="D116" authorId="0" shapeId="0">
      <text>
        <r>
          <rPr>
            <b/>
            <sz val="9"/>
            <color indexed="81"/>
            <rFont val="Tahoma"/>
            <family val="2"/>
          </rPr>
          <t>Peter:</t>
        </r>
        <r>
          <rPr>
            <sz val="9"/>
            <color indexed="81"/>
            <rFont val="Tahoma"/>
            <family val="2"/>
          </rPr>
          <t xml:space="preserve">
these are estimates derived in conjunction with ocean survivals...</t>
        </r>
      </text>
    </comment>
    <comment ref="I116" authorId="0" shapeId="0">
      <text>
        <r>
          <rPr>
            <b/>
            <sz val="9"/>
            <color indexed="81"/>
            <rFont val="Tahoma"/>
            <family val="2"/>
          </rPr>
          <t>Peter:</t>
        </r>
        <r>
          <rPr>
            <sz val="9"/>
            <color indexed="81"/>
            <rFont val="Tahoma"/>
            <family val="2"/>
          </rPr>
          <t xml:space="preserve">
these are estimates derived in conjunction with ocean survivals...</t>
        </r>
      </text>
    </comment>
    <comment ref="N116" authorId="0" shapeId="0">
      <text>
        <r>
          <rPr>
            <b/>
            <sz val="9"/>
            <color indexed="81"/>
            <rFont val="Tahoma"/>
            <family val="2"/>
          </rPr>
          <t>Peter:</t>
        </r>
        <r>
          <rPr>
            <sz val="9"/>
            <color indexed="81"/>
            <rFont val="Tahoma"/>
            <family val="2"/>
          </rPr>
          <t xml:space="preserve">
modeled as infinitely large for now…
</t>
        </r>
      </text>
    </comment>
    <comment ref="N117" authorId="0" shapeId="0">
      <text>
        <r>
          <rPr>
            <b/>
            <sz val="9"/>
            <color indexed="81"/>
            <rFont val="Tahoma"/>
            <family val="2"/>
          </rPr>
          <t>Peter:</t>
        </r>
        <r>
          <rPr>
            <sz val="9"/>
            <color indexed="81"/>
            <rFont val="Tahoma"/>
            <family val="2"/>
          </rPr>
          <t xml:space="preserve">
modeled as infinitely large for now…
</t>
        </r>
      </text>
    </comment>
    <comment ref="N118" authorId="0" shapeId="0">
      <text>
        <r>
          <rPr>
            <b/>
            <sz val="9"/>
            <color indexed="81"/>
            <rFont val="Tahoma"/>
            <family val="2"/>
          </rPr>
          <t>Peter:</t>
        </r>
        <r>
          <rPr>
            <sz val="9"/>
            <color indexed="81"/>
            <rFont val="Tahoma"/>
            <family val="2"/>
          </rPr>
          <t xml:space="preserve">
modeled as infinitely large for now…
</t>
        </r>
      </text>
    </comment>
    <comment ref="N119" authorId="0" shapeId="0">
      <text>
        <r>
          <rPr>
            <b/>
            <sz val="9"/>
            <color indexed="81"/>
            <rFont val="Tahoma"/>
            <family val="2"/>
          </rPr>
          <t>Peter:</t>
        </r>
        <r>
          <rPr>
            <sz val="9"/>
            <color indexed="81"/>
            <rFont val="Tahoma"/>
            <family val="2"/>
          </rPr>
          <t xml:space="preserve">
modeled as infinitely large for now…
</t>
        </r>
      </text>
    </comment>
    <comment ref="N120" authorId="0" shapeId="0">
      <text>
        <r>
          <rPr>
            <b/>
            <sz val="9"/>
            <color indexed="81"/>
            <rFont val="Tahoma"/>
            <family val="2"/>
          </rPr>
          <t>Peter:</t>
        </r>
        <r>
          <rPr>
            <sz val="9"/>
            <color indexed="81"/>
            <rFont val="Tahoma"/>
            <family val="2"/>
          </rPr>
          <t xml:space="preserve">
modeled as infinitely large for now…
</t>
        </r>
      </text>
    </comment>
    <comment ref="N121" authorId="0" shapeId="0">
      <text>
        <r>
          <rPr>
            <b/>
            <sz val="9"/>
            <color indexed="81"/>
            <rFont val="Tahoma"/>
            <family val="2"/>
          </rPr>
          <t>Peter:</t>
        </r>
        <r>
          <rPr>
            <sz val="9"/>
            <color indexed="81"/>
            <rFont val="Tahoma"/>
            <family val="2"/>
          </rPr>
          <t xml:space="preserve">
modeled as infinitely large for now…
</t>
        </r>
      </text>
    </comment>
    <comment ref="N122" authorId="0" shapeId="0">
      <text>
        <r>
          <rPr>
            <b/>
            <sz val="9"/>
            <color indexed="81"/>
            <rFont val="Tahoma"/>
            <family val="2"/>
          </rPr>
          <t>Peter:</t>
        </r>
        <r>
          <rPr>
            <sz val="9"/>
            <color indexed="81"/>
            <rFont val="Tahoma"/>
            <family val="2"/>
          </rPr>
          <t xml:space="preserve">
modeled as infinitely large for now…
</t>
        </r>
      </text>
    </comment>
    <comment ref="N123" authorId="0" shapeId="0">
      <text>
        <r>
          <rPr>
            <b/>
            <sz val="9"/>
            <color indexed="81"/>
            <rFont val="Tahoma"/>
            <family val="2"/>
          </rPr>
          <t>Peter:</t>
        </r>
        <r>
          <rPr>
            <sz val="9"/>
            <color indexed="81"/>
            <rFont val="Tahoma"/>
            <family val="2"/>
          </rPr>
          <t xml:space="preserve">
modeled as infinitely large for now…
</t>
        </r>
      </text>
    </comment>
    <comment ref="N124" authorId="0" shapeId="0">
      <text>
        <r>
          <rPr>
            <b/>
            <sz val="9"/>
            <color indexed="81"/>
            <rFont val="Tahoma"/>
            <family val="2"/>
          </rPr>
          <t>Peter:</t>
        </r>
        <r>
          <rPr>
            <sz val="9"/>
            <color indexed="81"/>
            <rFont val="Tahoma"/>
            <family val="2"/>
          </rPr>
          <t xml:space="preserve">
modeled as infinitely large for now…
</t>
        </r>
      </text>
    </comment>
    <comment ref="N125" authorId="0" shapeId="0">
      <text>
        <r>
          <rPr>
            <b/>
            <sz val="9"/>
            <color indexed="81"/>
            <rFont val="Tahoma"/>
            <family val="2"/>
          </rPr>
          <t>Peter:</t>
        </r>
        <r>
          <rPr>
            <sz val="9"/>
            <color indexed="81"/>
            <rFont val="Tahoma"/>
            <family val="2"/>
          </rPr>
          <t xml:space="preserve">
modeled as infinitely large for now…
</t>
        </r>
      </text>
    </comment>
    <comment ref="C140" authorId="0" shapeId="0">
      <text>
        <r>
          <rPr>
            <b/>
            <sz val="9"/>
            <color indexed="81"/>
            <rFont val="Tahoma"/>
            <family val="2"/>
          </rPr>
          <t>Peter:</t>
        </r>
        <r>
          <rPr>
            <sz val="9"/>
            <color indexed="81"/>
            <rFont val="Tahoma"/>
            <family val="2"/>
          </rPr>
          <t xml:space="preserve">
Ruzycki and Tattam estimate from 2013 RR, conversion between BON and spawning grounds; includes harvest-related losses in Zone 6 but not incidental mort in L Col spt.
For convenience, this is modeled here to ensure that resident rainbows don't get hit with mainstem mortality.</t>
        </r>
      </text>
    </comment>
    <comment ref="F169" authorId="0" shapeId="0">
      <text>
        <r>
          <rPr>
            <b/>
            <sz val="9"/>
            <color indexed="81"/>
            <rFont val="Tahoma"/>
            <family val="2"/>
          </rPr>
          <t>Peter:</t>
        </r>
        <r>
          <rPr>
            <sz val="9"/>
            <color indexed="81"/>
            <rFont val="Tahoma"/>
            <family val="2"/>
          </rPr>
          <t xml:space="preserve">
These are quite large fecundities but they're consistent with some hatchery data from within the CRB...</t>
        </r>
      </text>
    </comment>
    <comment ref="G185" authorId="0" shapeId="0">
      <text>
        <r>
          <rPr>
            <b/>
            <sz val="9"/>
            <color indexed="81"/>
            <rFont val="Tahoma"/>
            <family val="2"/>
          </rPr>
          <t>Peter:</t>
        </r>
        <r>
          <rPr>
            <sz val="9"/>
            <color indexed="81"/>
            <rFont val="Tahoma"/>
            <family val="2"/>
          </rPr>
          <t xml:space="preserve">
Assume fish of any age can repeat spawn, multiple repeats are possible given the structure of the model but will be rare by virtue of the BON-BON rate...</t>
        </r>
      </text>
    </comment>
  </commentList>
</comments>
</file>

<file path=xl/comments10.xml><?xml version="1.0" encoding="utf-8"?>
<comments xmlns="http://schemas.openxmlformats.org/spreadsheetml/2006/main">
  <authors>
    <author>Pete</author>
    <author>Peter</author>
  </authors>
  <commentList>
    <comment ref="L3" authorId="0" shapeId="0">
      <text>
        <r>
          <rPr>
            <b/>
            <sz val="9"/>
            <color indexed="81"/>
            <rFont val="Tahoma"/>
            <family val="2"/>
          </rPr>
          <t>Pete:</t>
        </r>
        <r>
          <rPr>
            <sz val="9"/>
            <color indexed="81"/>
            <rFont val="Tahoma"/>
            <family val="2"/>
          </rPr>
          <t xml:space="preserve">
Is N3+N4</t>
        </r>
      </text>
    </comment>
    <comment ref="V3" authorId="1" shapeId="0">
      <text>
        <r>
          <rPr>
            <b/>
            <sz val="9"/>
            <color indexed="81"/>
            <rFont val="Tahoma"/>
            <family val="2"/>
          </rPr>
          <t>Peter:</t>
        </r>
        <r>
          <rPr>
            <sz val="9"/>
            <color indexed="81"/>
            <rFont val="Tahoma"/>
            <family val="2"/>
          </rPr>
          <t xml:space="preserve">
collapsed into single age given rarity of age 4.</t>
        </r>
      </text>
    </comment>
    <comment ref="G11" authorId="1" shapeId="0">
      <text>
        <r>
          <rPr>
            <b/>
            <sz val="9"/>
            <color indexed="81"/>
            <rFont val="Tahoma"/>
            <family val="2"/>
          </rPr>
          <t>Peter:</t>
        </r>
        <r>
          <rPr>
            <sz val="9"/>
            <color indexed="81"/>
            <rFont val="Tahoma"/>
            <family val="2"/>
          </rPr>
          <t xml:space="preserve">
Is equivalent to MF spawners * SF sm / sp for brood year.</t>
        </r>
      </text>
    </comment>
    <comment ref="R15" authorId="1" shapeId="0">
      <text>
        <r>
          <rPr>
            <b/>
            <sz val="9"/>
            <color indexed="81"/>
            <rFont val="Tahoma"/>
            <family val="2"/>
          </rPr>
          <t>Peter:</t>
        </r>
        <r>
          <rPr>
            <sz val="9"/>
            <color indexed="81"/>
            <rFont val="Tahoma"/>
            <family val="2"/>
          </rPr>
          <t xml:space="preserve">
Uses MF age comp but estimates of smolts based on SF sm/sp (backed from BY spawners).</t>
        </r>
      </text>
    </comment>
  </commentList>
</comments>
</file>

<file path=xl/comments11.xml><?xml version="1.0" encoding="utf-8"?>
<comments xmlns="http://schemas.openxmlformats.org/spreadsheetml/2006/main">
  <authors>
    <author>Peter</author>
    <author>Pete</author>
  </authors>
  <commentList>
    <comment ref="O12" authorId="0" shapeId="0">
      <text>
        <r>
          <rPr>
            <b/>
            <sz val="9"/>
            <color indexed="81"/>
            <rFont val="Tahoma"/>
            <family val="2"/>
          </rPr>
          <t>Peter:</t>
        </r>
        <r>
          <rPr>
            <sz val="9"/>
            <color indexed="81"/>
            <rFont val="Tahoma"/>
            <family val="2"/>
          </rPr>
          <t xml:space="preserve">
expected age 3-salt fish given 1s and 2s and average 3/(1+2) ratio</t>
        </r>
      </text>
    </comment>
    <comment ref="R12" authorId="0" shapeId="0">
      <text>
        <r>
          <rPr>
            <b/>
            <sz val="9"/>
            <color indexed="81"/>
            <rFont val="Tahoma"/>
            <family val="2"/>
          </rPr>
          <t>Peter:</t>
        </r>
        <r>
          <rPr>
            <sz val="9"/>
            <color indexed="81"/>
            <rFont val="Tahoma"/>
            <family val="2"/>
          </rPr>
          <t xml:space="preserve">
average value...</t>
        </r>
      </text>
    </comment>
    <comment ref="A17" authorId="0" shapeId="0">
      <text>
        <r>
          <rPr>
            <b/>
            <sz val="9"/>
            <color indexed="81"/>
            <rFont val="Tahoma"/>
            <family val="2"/>
          </rPr>
          <t>Peter:</t>
        </r>
        <r>
          <rPr>
            <sz val="9"/>
            <color indexed="81"/>
            <rFont val="Tahoma"/>
            <family val="2"/>
          </rPr>
          <t xml:space="preserve">
Is the year they'll spawn in, not BY of origin</t>
        </r>
      </text>
    </comment>
    <comment ref="B17" authorId="1" shapeId="0">
      <text>
        <r>
          <rPr>
            <b/>
            <sz val="9"/>
            <color indexed="81"/>
            <rFont val="Tahoma"/>
            <family val="2"/>
          </rPr>
          <t>Pete:</t>
        </r>
        <r>
          <rPr>
            <sz val="9"/>
            <color indexed="81"/>
            <rFont val="Tahoma"/>
            <family val="2"/>
          </rPr>
          <t xml:space="preserve">
Is summer/fall adult returned in, not spawning year; that's Year + 1</t>
        </r>
      </text>
    </comment>
    <comment ref="M23" authorId="0" shapeId="0">
      <text>
        <r>
          <rPr>
            <b/>
            <sz val="9"/>
            <color indexed="81"/>
            <rFont val="Tahoma"/>
            <family val="2"/>
          </rPr>
          <t>Peter:</t>
        </r>
        <r>
          <rPr>
            <sz val="9"/>
            <color indexed="81"/>
            <rFont val="Tahoma"/>
            <family val="2"/>
          </rPr>
          <t xml:space="preserve">
Is estimated outmigrants at trap * trap to JDA surv * SAR</t>
        </r>
      </text>
    </comment>
    <comment ref="B25" authorId="1" shapeId="0">
      <text>
        <r>
          <rPr>
            <b/>
            <sz val="9"/>
            <color indexed="81"/>
            <rFont val="Tahoma"/>
            <family val="2"/>
          </rPr>
          <t>Pete:</t>
        </r>
        <r>
          <rPr>
            <sz val="9"/>
            <color indexed="81"/>
            <rFont val="Tahoma"/>
            <family val="2"/>
          </rPr>
          <t xml:space="preserve">
relative consistency in FL by OA suggests mean is reasonable</t>
        </r>
      </text>
    </comment>
    <comment ref="L25" authorId="0" shapeId="0">
      <text>
        <r>
          <rPr>
            <b/>
            <sz val="9"/>
            <color indexed="81"/>
            <rFont val="Tahoma"/>
            <family val="2"/>
          </rPr>
          <t>Peter:</t>
        </r>
        <r>
          <rPr>
            <sz val="9"/>
            <color indexed="81"/>
            <rFont val="Tahoma"/>
            <family val="2"/>
          </rPr>
          <t xml:space="preserve">
Is first year of MFJD trapping.</t>
        </r>
      </text>
    </comment>
    <comment ref="U26" authorId="0" shapeId="0">
      <text>
        <r>
          <rPr>
            <b/>
            <sz val="9"/>
            <color indexed="81"/>
            <rFont val="Tahoma"/>
            <family val="2"/>
          </rPr>
          <t>Peter:</t>
        </r>
        <r>
          <rPr>
            <sz val="9"/>
            <color indexed="81"/>
            <rFont val="Tahoma"/>
            <family val="2"/>
          </rPr>
          <t xml:space="preserve">
Is the year they'll spawn in, not BY of origin</t>
        </r>
      </text>
    </comment>
    <comment ref="Y26" authorId="0" shapeId="0">
      <text>
        <r>
          <rPr>
            <b/>
            <sz val="9"/>
            <color indexed="81"/>
            <rFont val="Tahoma"/>
            <family val="2"/>
          </rPr>
          <t>Peter:</t>
        </r>
        <r>
          <rPr>
            <sz val="9"/>
            <color indexed="81"/>
            <rFont val="Tahoma"/>
            <family val="2"/>
          </rPr>
          <t xml:space="preserve">
assumes is negligible and uses average (no trapping in 2003)</t>
        </r>
      </text>
    </comment>
    <comment ref="A29" authorId="0" shapeId="0">
      <text>
        <r>
          <rPr>
            <b/>
            <sz val="9"/>
            <color indexed="81"/>
            <rFont val="Tahoma"/>
            <family val="2"/>
          </rPr>
          <t>Peter:</t>
        </r>
        <r>
          <rPr>
            <sz val="9"/>
            <color indexed="81"/>
            <rFont val="Tahoma"/>
            <family val="2"/>
          </rPr>
          <t xml:space="preserve">
Is the year they'll spawn in, not BY of origin</t>
        </r>
      </text>
    </comment>
    <comment ref="B29" authorId="1" shapeId="0">
      <text>
        <r>
          <rPr>
            <b/>
            <sz val="9"/>
            <color indexed="81"/>
            <rFont val="Tahoma"/>
            <family val="2"/>
          </rPr>
          <t>Pete:</t>
        </r>
        <r>
          <rPr>
            <sz val="9"/>
            <color indexed="81"/>
            <rFont val="Tahoma"/>
            <family val="2"/>
          </rPr>
          <t xml:space="preserve">
Is summer/fall adult returned in, not spawning year; that's Year + 1</t>
        </r>
      </text>
    </comment>
    <comment ref="F29" authorId="1" shapeId="0">
      <text>
        <r>
          <rPr>
            <b/>
            <sz val="9"/>
            <color indexed="81"/>
            <rFont val="Tahoma"/>
            <family val="2"/>
          </rPr>
          <t>Pete:</t>
        </r>
        <r>
          <rPr>
            <sz val="9"/>
            <color indexed="81"/>
            <rFont val="Tahoma"/>
            <family val="2"/>
          </rPr>
          <t xml:space="preserve">
just to get an idea if we should be modifying due to an exceptional 3 salt component</t>
        </r>
      </text>
    </comment>
    <comment ref="P31" authorId="0" shapeId="0">
      <text>
        <r>
          <rPr>
            <b/>
            <sz val="9"/>
            <color indexed="81"/>
            <rFont val="Tahoma"/>
            <family val="2"/>
          </rPr>
          <t>Peter:</t>
        </r>
        <r>
          <rPr>
            <sz val="9"/>
            <color indexed="81"/>
            <rFont val="Tahoma"/>
            <family val="2"/>
          </rPr>
          <t xml:space="preserve">
expected age 3-salt fish given 1s and 2s and average 3/(1+2) ratio</t>
        </r>
      </text>
    </comment>
    <comment ref="S31" authorId="0" shapeId="0">
      <text>
        <r>
          <rPr>
            <b/>
            <sz val="9"/>
            <color indexed="81"/>
            <rFont val="Tahoma"/>
            <family val="2"/>
          </rPr>
          <t>Peter:</t>
        </r>
        <r>
          <rPr>
            <sz val="9"/>
            <color indexed="81"/>
            <rFont val="Tahoma"/>
            <family val="2"/>
          </rPr>
          <t xml:space="preserve">
average value...</t>
        </r>
      </text>
    </comment>
  </commentList>
</comments>
</file>

<file path=xl/comments12.xml><?xml version="1.0" encoding="utf-8"?>
<comments xmlns="http://schemas.openxmlformats.org/spreadsheetml/2006/main">
  <authors>
    <author>Peter</author>
  </authors>
  <commentList>
    <comment ref="J18" authorId="0" shapeId="0">
      <text>
        <r>
          <rPr>
            <b/>
            <sz val="9"/>
            <color indexed="81"/>
            <rFont val="Tahoma"/>
            <family val="2"/>
          </rPr>
          <t>Peter:</t>
        </r>
        <r>
          <rPr>
            <sz val="9"/>
            <color indexed="81"/>
            <rFont val="Tahoma"/>
            <family val="2"/>
          </rPr>
          <t xml:space="preserve">
We may ultimately want to have gender specific post-spawn survival/kelting probs...</t>
        </r>
      </text>
    </comment>
    <comment ref="B22" authorId="0" shapeId="0">
      <text>
        <r>
          <rPr>
            <b/>
            <sz val="9"/>
            <color indexed="81"/>
            <rFont val="Tahoma"/>
            <family val="2"/>
          </rPr>
          <t>Peter:</t>
        </r>
        <r>
          <rPr>
            <sz val="9"/>
            <color indexed="81"/>
            <rFont val="Tahoma"/>
            <family val="2"/>
          </rPr>
          <t xml:space="preserve">
This doesn't aaccount for tag loss.</t>
        </r>
      </text>
    </comment>
    <comment ref="F22" authorId="0" shapeId="0">
      <text>
        <r>
          <rPr>
            <b/>
            <sz val="9"/>
            <color indexed="81"/>
            <rFont val="Tahoma"/>
            <family val="2"/>
          </rPr>
          <t>Peter:</t>
        </r>
        <r>
          <rPr>
            <sz val="9"/>
            <color indexed="81"/>
            <rFont val="Tahoma"/>
            <family val="2"/>
          </rPr>
          <t xml:space="preserve">
This is after accounting for post-spawn tag loss.</t>
        </r>
      </text>
    </comment>
    <comment ref="G22" authorId="0" shapeId="0">
      <text>
        <r>
          <rPr>
            <b/>
            <sz val="9"/>
            <color indexed="81"/>
            <rFont val="Tahoma"/>
            <family val="2"/>
          </rPr>
          <t>Peter:</t>
        </r>
        <r>
          <rPr>
            <sz val="9"/>
            <color indexed="81"/>
            <rFont val="Tahoma"/>
            <family val="2"/>
          </rPr>
          <t xml:space="preserve">
This is without accounting for post-spawn tag loss.</t>
        </r>
      </text>
    </comment>
    <comment ref="A27" authorId="0" shapeId="0">
      <text>
        <r>
          <rPr>
            <b/>
            <sz val="9"/>
            <color indexed="81"/>
            <rFont val="Tahoma"/>
            <family val="2"/>
          </rPr>
          <t>Peter:</t>
        </r>
        <r>
          <rPr>
            <sz val="9"/>
            <color indexed="81"/>
            <rFont val="Tahoma"/>
            <family val="2"/>
          </rPr>
          <t xml:space="preserve">
These are P sg-bon divided by age specific mat prob so that mat prob cancels out.</t>
        </r>
      </text>
    </comment>
    <comment ref="A29" authorId="0" shapeId="0">
      <text>
        <r>
          <rPr>
            <b/>
            <sz val="9"/>
            <color indexed="81"/>
            <rFont val="Tahoma"/>
            <family val="2"/>
          </rPr>
          <t>Peter:</t>
        </r>
        <r>
          <rPr>
            <sz val="9"/>
            <color indexed="81"/>
            <rFont val="Tahoma"/>
            <family val="2"/>
          </rPr>
          <t xml:space="preserve">
actuall all-catchment value is 0.74, but this is a round number that is used for approximation.</t>
        </r>
      </text>
    </comment>
  </commentList>
</comments>
</file>

<file path=xl/comments13.xml><?xml version="1.0" encoding="utf-8"?>
<comments xmlns="http://schemas.openxmlformats.org/spreadsheetml/2006/main">
  <authors>
    <author>Peter</author>
    <author>Pete</author>
  </authors>
  <commentList>
    <comment ref="D4" authorId="0" shapeId="0">
      <text>
        <r>
          <rPr>
            <b/>
            <sz val="9"/>
            <color indexed="81"/>
            <rFont val="Tahoma"/>
            <family val="2"/>
          </rPr>
          <t>Peter:</t>
        </r>
        <r>
          <rPr>
            <sz val="9"/>
            <color indexed="81"/>
            <rFont val="Tahoma"/>
            <family val="2"/>
          </rPr>
          <t xml:space="preserve">
these are first fall through next summer when fish are expected to be 1+ presmolts</t>
        </r>
      </text>
    </comment>
    <comment ref="L4" authorId="0" shapeId="0">
      <text>
        <r>
          <rPr>
            <b/>
            <sz val="9"/>
            <color indexed="81"/>
            <rFont val="Tahoma"/>
            <family val="2"/>
          </rPr>
          <t>Peter:</t>
        </r>
        <r>
          <rPr>
            <sz val="9"/>
            <color indexed="81"/>
            <rFont val="Tahoma"/>
            <family val="2"/>
          </rPr>
          <t xml:space="preserve">
these guys are all gone...</t>
        </r>
      </text>
    </comment>
    <comment ref="C6" authorId="1" shapeId="0">
      <text>
        <r>
          <rPr>
            <b/>
            <sz val="9"/>
            <color indexed="81"/>
            <rFont val="Tahoma"/>
            <family val="2"/>
          </rPr>
          <t>Pete:</t>
        </r>
        <r>
          <rPr>
            <sz val="9"/>
            <color indexed="81"/>
            <rFont val="Tahoma"/>
            <family val="2"/>
          </rPr>
          <t xml:space="preserve">
this is egg to first fall (before Barker kicks in); this includes egg-to-fry and fry-to-parr; we can back out as needed the components using, e.g., CHaMP fines data and the relationship between fines and survival from Jensen et al. 2009.</t>
        </r>
      </text>
    </comment>
    <comment ref="U6" authorId="0" shapeId="0">
      <text>
        <r>
          <rPr>
            <b/>
            <sz val="9"/>
            <color indexed="81"/>
            <rFont val="Tahoma"/>
            <family val="2"/>
          </rPr>
          <t>Peter:</t>
        </r>
        <r>
          <rPr>
            <sz val="9"/>
            <color indexed="81"/>
            <rFont val="Tahoma"/>
            <family val="2"/>
          </rPr>
          <t xml:space="preserve">
Note, this is an 8 month period as opposed to 12 months for s2 and s3</t>
        </r>
      </text>
    </comment>
    <comment ref="AB12" authorId="0" shapeId="0">
      <text>
        <r>
          <rPr>
            <b/>
            <sz val="9"/>
            <color indexed="81"/>
            <rFont val="Tahoma"/>
            <family val="2"/>
          </rPr>
          <t>Peter:</t>
        </r>
        <r>
          <rPr>
            <sz val="9"/>
            <color indexed="81"/>
            <rFont val="Tahoma"/>
            <family val="2"/>
          </rPr>
          <t xml:space="preserve">
this is what the model sm/sp will tend towards.</t>
        </r>
      </text>
    </comment>
    <comment ref="E22" authorId="0" shapeId="0">
      <text>
        <r>
          <rPr>
            <b/>
            <sz val="9"/>
            <color indexed="81"/>
            <rFont val="Tahoma"/>
            <family val="2"/>
          </rPr>
          <t>Peter:</t>
        </r>
        <r>
          <rPr>
            <sz val="9"/>
            <color indexed="81"/>
            <rFont val="Tahoma"/>
            <family val="2"/>
          </rPr>
          <t xml:space="preserve">
paste me here</t>
        </r>
      </text>
    </comment>
    <comment ref="D24" authorId="0" shapeId="0">
      <text>
        <r>
          <rPr>
            <b/>
            <sz val="9"/>
            <color indexed="81"/>
            <rFont val="Tahoma"/>
            <family val="2"/>
          </rPr>
          <t>Peter:</t>
        </r>
        <r>
          <rPr>
            <sz val="9"/>
            <color indexed="81"/>
            <rFont val="Tahoma"/>
            <family val="2"/>
          </rPr>
          <t xml:space="preserve">
This is the female smolt prob value; male is going to be half of the female...</t>
        </r>
      </text>
    </comment>
    <comment ref="D25" authorId="0" shapeId="0">
      <text>
        <r>
          <rPr>
            <b/>
            <sz val="9"/>
            <color indexed="81"/>
            <rFont val="Tahoma"/>
            <family val="2"/>
          </rPr>
          <t>Peter:</t>
        </r>
        <r>
          <rPr>
            <sz val="9"/>
            <color indexed="81"/>
            <rFont val="Tahoma"/>
            <family val="2"/>
          </rPr>
          <t xml:space="preserve">
Per the MFJD trap data, we'll keep all age 4+ as residents (there are very few age 4 ever observed).</t>
        </r>
      </text>
    </comment>
    <comment ref="F26" authorId="0" shapeId="0">
      <text>
        <r>
          <rPr>
            <b/>
            <sz val="9"/>
            <color indexed="81"/>
            <rFont val="Tahoma"/>
            <family val="2"/>
          </rPr>
          <t>Peter:</t>
        </r>
        <r>
          <rPr>
            <sz val="9"/>
            <color indexed="81"/>
            <rFont val="Tahoma"/>
            <family val="2"/>
          </rPr>
          <t xml:space="preserve">
We'll let 2% (guesstimate) stay as residents.</t>
        </r>
      </text>
    </comment>
  </commentList>
</comments>
</file>

<file path=xl/comments14.xml><?xml version="1.0" encoding="utf-8"?>
<comments xmlns="http://schemas.openxmlformats.org/spreadsheetml/2006/main">
  <authors>
    <author>Peter</author>
  </authors>
  <commentList>
    <comment ref="A1" authorId="0" shapeId="0">
      <text>
        <r>
          <rPr>
            <b/>
            <sz val="9"/>
            <color indexed="81"/>
            <rFont val="Tahoma"/>
            <family val="2"/>
          </rPr>
          <t>Peter:</t>
        </r>
        <r>
          <rPr>
            <sz val="9"/>
            <color indexed="81"/>
            <rFont val="Tahoma"/>
            <family val="2"/>
          </rPr>
          <t xml:space="preserve">
See inputs and associated outputs for estimates generated using the WinBUGS model detailed below...</t>
        </r>
      </text>
    </comment>
    <comment ref="E14" authorId="0" shapeId="0">
      <text>
        <r>
          <rPr>
            <b/>
            <sz val="9"/>
            <color indexed="81"/>
            <rFont val="Tahoma"/>
            <family val="2"/>
          </rPr>
          <t>Peter:</t>
        </r>
        <r>
          <rPr>
            <sz val="9"/>
            <color indexed="81"/>
            <rFont val="Tahoma"/>
            <family val="2"/>
          </rPr>
          <t xml:space="preserve">
These are set to an arbitrarily low value given that 0s goof up calculations...</t>
        </r>
      </text>
    </comment>
    <comment ref="J14" authorId="0" shapeId="0">
      <text>
        <r>
          <rPr>
            <b/>
            <sz val="9"/>
            <color indexed="81"/>
            <rFont val="Tahoma"/>
            <family val="2"/>
          </rPr>
          <t>Peter:</t>
        </r>
        <r>
          <rPr>
            <sz val="9"/>
            <color indexed="81"/>
            <rFont val="Tahoma"/>
            <family val="2"/>
          </rPr>
          <t xml:space="preserve">
All survivals are measured from JDA (as juve) back to BON (as adults)</t>
        </r>
      </text>
    </comment>
    <comment ref="F15" authorId="0" shapeId="0">
      <text>
        <r>
          <rPr>
            <b/>
            <sz val="9"/>
            <color indexed="81"/>
            <rFont val="Tahoma"/>
            <family val="2"/>
          </rPr>
          <t>Peter:</t>
        </r>
        <r>
          <rPr>
            <sz val="9"/>
            <color indexed="81"/>
            <rFont val="Tahoma"/>
            <family val="2"/>
          </rPr>
          <t xml:space="preserve">
Is estimated outmigrants at trap * trap to JDA surv * SAR</t>
        </r>
      </text>
    </comment>
    <comment ref="O15" authorId="0" shapeId="0">
      <text>
        <r>
          <rPr>
            <b/>
            <sz val="9"/>
            <color indexed="81"/>
            <rFont val="Tahoma"/>
            <family val="2"/>
          </rPr>
          <t>Peter:</t>
        </r>
        <r>
          <rPr>
            <sz val="9"/>
            <color indexed="81"/>
            <rFont val="Tahoma"/>
            <family val="2"/>
          </rPr>
          <t xml:space="preserve">
assume this should be 100%, fixed.</t>
        </r>
      </text>
    </comment>
    <comment ref="J16" authorId="0" shapeId="0">
      <text>
        <r>
          <rPr>
            <b/>
            <sz val="9"/>
            <color indexed="81"/>
            <rFont val="Tahoma"/>
            <family val="2"/>
          </rPr>
          <t>Peter:</t>
        </r>
        <r>
          <rPr>
            <sz val="9"/>
            <color indexed="81"/>
            <rFont val="Tahoma"/>
            <family val="2"/>
          </rPr>
          <t xml:space="preserve">
set to be &lt; 20% given literature info on early marine survival (POST array)</t>
        </r>
      </text>
    </comment>
    <comment ref="A17" authorId="0" shapeId="0">
      <text>
        <r>
          <rPr>
            <b/>
            <sz val="9"/>
            <color indexed="81"/>
            <rFont val="Tahoma"/>
            <family val="2"/>
          </rPr>
          <t>Peter:</t>
        </r>
        <r>
          <rPr>
            <sz val="9"/>
            <color indexed="81"/>
            <rFont val="Tahoma"/>
            <family val="2"/>
          </rPr>
          <t xml:space="preserve">
Is first year of MFJD trapping.</t>
        </r>
      </text>
    </comment>
    <comment ref="E23" authorId="0" shapeId="0">
      <text>
        <r>
          <rPr>
            <b/>
            <sz val="9"/>
            <color indexed="81"/>
            <rFont val="Tahoma"/>
            <family val="2"/>
          </rPr>
          <t>Peter:</t>
        </r>
        <r>
          <rPr>
            <sz val="9"/>
            <color indexed="81"/>
            <rFont val="Tahoma"/>
            <family val="2"/>
          </rPr>
          <t xml:space="preserve">
expected age 3-salt fish given 1s and 2s and average 3/(1+2) ratio</t>
        </r>
      </text>
    </comment>
    <comment ref="I23" authorId="0" shapeId="0">
      <text>
        <r>
          <rPr>
            <b/>
            <sz val="9"/>
            <color indexed="81"/>
            <rFont val="Tahoma"/>
            <family val="2"/>
          </rPr>
          <t>Peter:</t>
        </r>
        <r>
          <rPr>
            <sz val="9"/>
            <color indexed="81"/>
            <rFont val="Tahoma"/>
            <family val="2"/>
          </rPr>
          <t xml:space="preserve">
average value...</t>
        </r>
      </text>
    </comment>
  </commentList>
</comments>
</file>

<file path=xl/comments15.xml><?xml version="1.0" encoding="utf-8"?>
<comments xmlns="http://schemas.openxmlformats.org/spreadsheetml/2006/main">
  <authors>
    <author>Peter</author>
  </authors>
  <commentList>
    <comment ref="A4" authorId="0" shapeId="0">
      <text>
        <r>
          <rPr>
            <b/>
            <sz val="9"/>
            <color indexed="81"/>
            <rFont val="Tahoma"/>
            <family val="2"/>
          </rPr>
          <t>Peter:</t>
        </r>
        <r>
          <rPr>
            <sz val="9"/>
            <color indexed="81"/>
            <rFont val="Tahoma"/>
            <family val="2"/>
          </rPr>
          <t xml:space="preserve">
There are others, but these might be reasonable starting points for JD (arid interior)</t>
        </r>
      </text>
    </comment>
    <comment ref="B10" authorId="0" shapeId="0">
      <text>
        <r>
          <rPr>
            <b/>
            <sz val="9"/>
            <color indexed="81"/>
            <rFont val="Tahoma"/>
            <family val="2"/>
          </rPr>
          <t>Peter:</t>
        </r>
        <r>
          <rPr>
            <sz val="9"/>
            <color indexed="81"/>
            <rFont val="Tahoma"/>
            <family val="2"/>
          </rPr>
          <t xml:space="preserve">
See S.AdOcn for FL details (average at BON)</t>
        </r>
      </text>
    </comment>
    <comment ref="B16" authorId="0" shapeId="0">
      <text>
        <r>
          <rPr>
            <b/>
            <sz val="9"/>
            <color indexed="81"/>
            <rFont val="Tahoma"/>
            <family val="2"/>
          </rPr>
          <t>Peter:</t>
        </r>
        <r>
          <rPr>
            <sz val="9"/>
            <color indexed="81"/>
            <rFont val="Tahoma"/>
            <family val="2"/>
          </rPr>
          <t xml:space="preserve">
Mean length at age from ODFW report (CHaMP reaches, all subbasins)</t>
        </r>
      </text>
    </comment>
  </commentList>
</comments>
</file>

<file path=xl/comments16.xml><?xml version="1.0" encoding="utf-8"?>
<comments xmlns="http://schemas.openxmlformats.org/spreadsheetml/2006/main">
  <authors>
    <author>Peter</author>
    <author>Pete</author>
  </authors>
  <commentList>
    <comment ref="D4" authorId="0" shapeId="0">
      <text>
        <r>
          <rPr>
            <b/>
            <sz val="9"/>
            <color indexed="81"/>
            <rFont val="Tahoma"/>
            <family val="2"/>
          </rPr>
          <t>Peter:</t>
        </r>
        <r>
          <rPr>
            <sz val="9"/>
            <color indexed="81"/>
            <rFont val="Tahoma"/>
            <family val="2"/>
          </rPr>
          <t xml:space="preserve">
these are first fall through next summer when fish are expected to be 1+ presmolts</t>
        </r>
      </text>
    </comment>
    <comment ref="L4" authorId="0" shapeId="0">
      <text>
        <r>
          <rPr>
            <b/>
            <sz val="9"/>
            <color indexed="81"/>
            <rFont val="Tahoma"/>
            <family val="2"/>
          </rPr>
          <t>Peter:</t>
        </r>
        <r>
          <rPr>
            <sz val="9"/>
            <color indexed="81"/>
            <rFont val="Tahoma"/>
            <family val="2"/>
          </rPr>
          <t xml:space="preserve">
these guys are all gone...</t>
        </r>
      </text>
    </comment>
    <comment ref="C6" authorId="1" shapeId="0">
      <text>
        <r>
          <rPr>
            <b/>
            <sz val="9"/>
            <color indexed="81"/>
            <rFont val="Tahoma"/>
            <family val="2"/>
          </rPr>
          <t>Pete:</t>
        </r>
        <r>
          <rPr>
            <sz val="9"/>
            <color indexed="81"/>
            <rFont val="Tahoma"/>
            <family val="2"/>
          </rPr>
          <t xml:space="preserve">
this is egg to first fall (before Barker kicks in); this includes egg-to-fry and fry-to-parr; we can back out as needed the components using, e.g., CHaMP fines data and the relationship between fines and survival from Jensen et al. 2009.</t>
        </r>
      </text>
    </comment>
    <comment ref="U6" authorId="0" shapeId="0">
      <text>
        <r>
          <rPr>
            <b/>
            <sz val="9"/>
            <color indexed="81"/>
            <rFont val="Tahoma"/>
            <family val="2"/>
          </rPr>
          <t>Peter:</t>
        </r>
        <r>
          <rPr>
            <sz val="9"/>
            <color indexed="81"/>
            <rFont val="Tahoma"/>
            <family val="2"/>
          </rPr>
          <t xml:space="preserve">
Note, this is an 8 month period as opposed to 12 months for s2 and s3</t>
        </r>
      </text>
    </comment>
    <comment ref="A9" authorId="0" shapeId="0">
      <text>
        <r>
          <rPr>
            <b/>
            <sz val="9"/>
            <color indexed="81"/>
            <rFont val="Tahoma"/>
            <family val="2"/>
          </rPr>
          <t>Peter:</t>
        </r>
        <r>
          <rPr>
            <sz val="9"/>
            <color indexed="81"/>
            <rFont val="Tahoma"/>
            <family val="2"/>
          </rPr>
          <t xml:space="preserve">
At present, I cannot make this work with the projected egg-fry survival, juvenile survivals, obs'd egg deposition, and smolt estimates…thus 2010 is going to be excluded from the final calc's</t>
        </r>
      </text>
    </comment>
    <comment ref="AB12" authorId="0" shapeId="0">
      <text>
        <r>
          <rPr>
            <b/>
            <sz val="9"/>
            <color indexed="81"/>
            <rFont val="Tahoma"/>
            <family val="2"/>
          </rPr>
          <t>Peter:</t>
        </r>
        <r>
          <rPr>
            <sz val="9"/>
            <color indexed="81"/>
            <rFont val="Tahoma"/>
            <family val="2"/>
          </rPr>
          <t xml:space="preserve">
this is what the model sm/sp will tend towards.</t>
        </r>
      </text>
    </comment>
    <comment ref="E22" authorId="0" shapeId="0">
      <text>
        <r>
          <rPr>
            <b/>
            <sz val="9"/>
            <color indexed="81"/>
            <rFont val="Tahoma"/>
            <family val="2"/>
          </rPr>
          <t>Peter:</t>
        </r>
        <r>
          <rPr>
            <sz val="9"/>
            <color indexed="81"/>
            <rFont val="Tahoma"/>
            <family val="2"/>
          </rPr>
          <t xml:space="preserve">
paste me here</t>
        </r>
      </text>
    </comment>
    <comment ref="D24" authorId="0" shapeId="0">
      <text>
        <r>
          <rPr>
            <b/>
            <sz val="9"/>
            <color indexed="81"/>
            <rFont val="Tahoma"/>
            <family val="2"/>
          </rPr>
          <t>Peter:</t>
        </r>
        <r>
          <rPr>
            <sz val="9"/>
            <color indexed="81"/>
            <rFont val="Tahoma"/>
            <family val="2"/>
          </rPr>
          <t xml:space="preserve">
This is the female smolt prob value; male is going to be half of the female...</t>
        </r>
      </text>
    </comment>
    <comment ref="D25" authorId="0" shapeId="0">
      <text>
        <r>
          <rPr>
            <b/>
            <sz val="9"/>
            <color indexed="81"/>
            <rFont val="Tahoma"/>
            <family val="2"/>
          </rPr>
          <t>Peter:</t>
        </r>
        <r>
          <rPr>
            <sz val="9"/>
            <color indexed="81"/>
            <rFont val="Tahoma"/>
            <family val="2"/>
          </rPr>
          <t xml:space="preserve">
Per the MFJD trap data, we'll keep all age 4+ as residents (there are very few age 4 ever observed).</t>
        </r>
      </text>
    </comment>
    <comment ref="F26" authorId="0" shapeId="0">
      <text>
        <r>
          <rPr>
            <b/>
            <sz val="9"/>
            <color indexed="81"/>
            <rFont val="Tahoma"/>
            <family val="2"/>
          </rPr>
          <t>Peter:</t>
        </r>
        <r>
          <rPr>
            <sz val="9"/>
            <color indexed="81"/>
            <rFont val="Tahoma"/>
            <family val="2"/>
          </rPr>
          <t xml:space="preserve">
We'll let 2% (guesstimate) stay as residents.</t>
        </r>
      </text>
    </comment>
  </commentList>
</comments>
</file>

<file path=xl/comments17.xml><?xml version="1.0" encoding="utf-8"?>
<comments xmlns="http://schemas.openxmlformats.org/spreadsheetml/2006/main">
  <authors>
    <author>Peter</author>
    <author>Pete</author>
  </authors>
  <commentList>
    <comment ref="D4" authorId="0" shapeId="0">
      <text>
        <r>
          <rPr>
            <b/>
            <sz val="9"/>
            <color indexed="81"/>
            <rFont val="Tahoma"/>
            <family val="2"/>
          </rPr>
          <t>Peter:</t>
        </r>
        <r>
          <rPr>
            <sz val="9"/>
            <color indexed="81"/>
            <rFont val="Tahoma"/>
            <family val="2"/>
          </rPr>
          <t xml:space="preserve">
these are first fall through next summer when fish are expected to be 1+ presmolts</t>
        </r>
      </text>
    </comment>
    <comment ref="L4" authorId="0" shapeId="0">
      <text>
        <r>
          <rPr>
            <b/>
            <sz val="9"/>
            <color indexed="81"/>
            <rFont val="Tahoma"/>
            <family val="2"/>
          </rPr>
          <t>Peter:</t>
        </r>
        <r>
          <rPr>
            <sz val="9"/>
            <color indexed="81"/>
            <rFont val="Tahoma"/>
            <family val="2"/>
          </rPr>
          <t xml:space="preserve">
these guys are all gone...</t>
        </r>
      </text>
    </comment>
    <comment ref="C6" authorId="1" shapeId="0">
      <text>
        <r>
          <rPr>
            <b/>
            <sz val="9"/>
            <color indexed="81"/>
            <rFont val="Tahoma"/>
            <family val="2"/>
          </rPr>
          <t>Pete:</t>
        </r>
        <r>
          <rPr>
            <sz val="9"/>
            <color indexed="81"/>
            <rFont val="Tahoma"/>
            <family val="2"/>
          </rPr>
          <t xml:space="preserve">
this is egg to first fall (before Barker kicks in); this includes egg-to-fry and fry-to-parr; we can back out as needed the components using, e.g., CHaMP fines data and the relationship between fines and survival from Jensen et al. 2009.</t>
        </r>
      </text>
    </comment>
    <comment ref="U6" authorId="0" shapeId="0">
      <text>
        <r>
          <rPr>
            <b/>
            <sz val="9"/>
            <color indexed="81"/>
            <rFont val="Tahoma"/>
            <family val="2"/>
          </rPr>
          <t>Peter:</t>
        </r>
        <r>
          <rPr>
            <sz val="9"/>
            <color indexed="81"/>
            <rFont val="Tahoma"/>
            <family val="2"/>
          </rPr>
          <t xml:space="preserve">
Note, this is an 8 month period as opposed to 12 months for s2 and s3</t>
        </r>
      </text>
    </comment>
    <comment ref="AB12" authorId="0" shapeId="0">
      <text>
        <r>
          <rPr>
            <b/>
            <sz val="9"/>
            <color indexed="81"/>
            <rFont val="Tahoma"/>
            <family val="2"/>
          </rPr>
          <t>Peter:</t>
        </r>
        <r>
          <rPr>
            <sz val="9"/>
            <color indexed="81"/>
            <rFont val="Tahoma"/>
            <family val="2"/>
          </rPr>
          <t xml:space="preserve">
this is what the model sm/sp will tend towards.</t>
        </r>
      </text>
    </comment>
    <comment ref="E22" authorId="0" shapeId="0">
      <text>
        <r>
          <rPr>
            <b/>
            <sz val="9"/>
            <color indexed="81"/>
            <rFont val="Tahoma"/>
            <family val="2"/>
          </rPr>
          <t>Peter:</t>
        </r>
        <r>
          <rPr>
            <sz val="9"/>
            <color indexed="81"/>
            <rFont val="Tahoma"/>
            <family val="2"/>
          </rPr>
          <t xml:space="preserve">
paste me here</t>
        </r>
      </text>
    </comment>
    <comment ref="D24" authorId="0" shapeId="0">
      <text>
        <r>
          <rPr>
            <b/>
            <sz val="9"/>
            <color indexed="81"/>
            <rFont val="Tahoma"/>
            <family val="2"/>
          </rPr>
          <t>Peter:</t>
        </r>
        <r>
          <rPr>
            <sz val="9"/>
            <color indexed="81"/>
            <rFont val="Tahoma"/>
            <family val="2"/>
          </rPr>
          <t xml:space="preserve">
This is the female smolt prob value; male is going to be half of the female...</t>
        </r>
      </text>
    </comment>
    <comment ref="D25" authorId="0" shapeId="0">
      <text>
        <r>
          <rPr>
            <b/>
            <sz val="9"/>
            <color indexed="81"/>
            <rFont val="Tahoma"/>
            <family val="2"/>
          </rPr>
          <t>Peter:</t>
        </r>
        <r>
          <rPr>
            <sz val="9"/>
            <color indexed="81"/>
            <rFont val="Tahoma"/>
            <family val="2"/>
          </rPr>
          <t xml:space="preserve">
Per the MFJD trap data, we'll keep all age 4+ as residents (there are very few age 4 ever observed).</t>
        </r>
      </text>
    </comment>
    <comment ref="F26" authorId="0" shapeId="0">
      <text>
        <r>
          <rPr>
            <b/>
            <sz val="9"/>
            <color indexed="81"/>
            <rFont val="Tahoma"/>
            <family val="2"/>
          </rPr>
          <t>Peter:</t>
        </r>
        <r>
          <rPr>
            <sz val="9"/>
            <color indexed="81"/>
            <rFont val="Tahoma"/>
            <family val="2"/>
          </rPr>
          <t xml:space="preserve">
We'll let 2% (guesstimate) stay as residents.</t>
        </r>
      </text>
    </comment>
  </commentList>
</comments>
</file>

<file path=xl/comments18.xml><?xml version="1.0" encoding="utf-8"?>
<comments xmlns="http://schemas.openxmlformats.org/spreadsheetml/2006/main">
  <authors>
    <author>Peter</author>
  </authors>
  <commentList>
    <comment ref="E3" authorId="0" shapeId="0">
      <text>
        <r>
          <rPr>
            <b/>
            <sz val="9"/>
            <color indexed="81"/>
            <rFont val="Tahoma"/>
            <family val="2"/>
          </rPr>
          <t>Peter:</t>
        </r>
        <r>
          <rPr>
            <sz val="9"/>
            <color indexed="81"/>
            <rFont val="Tahoma"/>
            <family val="2"/>
          </rPr>
          <t xml:space="preserve">
The exact final rate in this report is somewhat ambiguous, and was approximated by (1-0.575) of the 13.2% mort rate and the 9.3% unaccounted for rate.</t>
        </r>
      </text>
    </comment>
    <comment ref="C6" authorId="0" shapeId="0">
      <text>
        <r>
          <rPr>
            <b/>
            <sz val="9"/>
            <color indexed="81"/>
            <rFont val="Tahoma"/>
            <family val="2"/>
          </rPr>
          <t>Peter:</t>
        </r>
        <r>
          <rPr>
            <sz val="9"/>
            <color indexed="81"/>
            <rFont val="Tahoma"/>
            <family val="2"/>
          </rPr>
          <t xml:space="preserve">
Given that these numbers vary and 10% is in the neighborhood, use it as a reasonable approximation of reality. Note, this is only prespawn mort in tribs we really want disappearance between BON and spawning grounds….
Use Ruzycki and Tattam RR estimate for 2013 return year as a placeholder.</t>
        </r>
      </text>
    </comment>
    <comment ref="C17" authorId="0" shapeId="0">
      <text>
        <r>
          <rPr>
            <b/>
            <sz val="9"/>
            <color indexed="81"/>
            <rFont val="Tahoma"/>
            <family val="2"/>
          </rPr>
          <t>Peter:</t>
        </r>
        <r>
          <rPr>
            <sz val="9"/>
            <color indexed="81"/>
            <rFont val="Tahoma"/>
            <family val="2"/>
          </rPr>
          <t xml:space="preserve">
we're using this...</t>
        </r>
      </text>
    </comment>
    <comment ref="H22" authorId="0" shapeId="0">
      <text>
        <r>
          <rPr>
            <b/>
            <sz val="9"/>
            <color indexed="81"/>
            <rFont val="Tahoma"/>
            <family val="2"/>
          </rPr>
          <t>Peter:</t>
        </r>
        <r>
          <rPr>
            <sz val="9"/>
            <color indexed="81"/>
            <rFont val="Tahoma"/>
            <family val="2"/>
          </rPr>
          <t xml:space="preserve">
these are probably not good surrogates for JD system, given that they’re high and cold, quite different...</t>
        </r>
      </text>
    </comment>
  </commentList>
</comments>
</file>

<file path=xl/comments19.xml><?xml version="1.0" encoding="utf-8"?>
<comments xmlns="http://schemas.openxmlformats.org/spreadsheetml/2006/main">
  <authors>
    <author>Pete</author>
    <author>Peter</author>
  </authors>
  <commentList>
    <comment ref="L3" authorId="0" shapeId="0">
      <text>
        <r>
          <rPr>
            <b/>
            <sz val="9"/>
            <color indexed="81"/>
            <rFont val="Tahoma"/>
            <family val="2"/>
          </rPr>
          <t>Pete:</t>
        </r>
        <r>
          <rPr>
            <sz val="9"/>
            <color indexed="81"/>
            <rFont val="Tahoma"/>
            <family val="2"/>
          </rPr>
          <t xml:space="preserve">
Is N3+N4</t>
        </r>
      </text>
    </comment>
    <comment ref="V3" authorId="1" shapeId="0">
      <text>
        <r>
          <rPr>
            <b/>
            <sz val="9"/>
            <color indexed="81"/>
            <rFont val="Tahoma"/>
            <family val="2"/>
          </rPr>
          <t>Peter:</t>
        </r>
        <r>
          <rPr>
            <sz val="9"/>
            <color indexed="81"/>
            <rFont val="Tahoma"/>
            <family val="2"/>
          </rPr>
          <t xml:space="preserve">
collapsed into single age given rarity of age 4.</t>
        </r>
      </text>
    </comment>
    <comment ref="O16" authorId="1" shapeId="0">
      <text>
        <r>
          <rPr>
            <b/>
            <sz val="9"/>
            <color indexed="81"/>
            <rFont val="Tahoma"/>
            <family val="2"/>
          </rPr>
          <t>Peter:</t>
        </r>
        <r>
          <rPr>
            <sz val="9"/>
            <color indexed="81"/>
            <rFont val="Tahoma"/>
            <family val="2"/>
          </rPr>
          <t xml:space="preserve">
Not in Ian's table but snagged out of Banks et al. 2013 2012 postseason report.</t>
        </r>
      </text>
    </comment>
  </commentList>
</comments>
</file>

<file path=xl/comments2.xml><?xml version="1.0" encoding="utf-8"?>
<comments xmlns="http://schemas.openxmlformats.org/spreadsheetml/2006/main">
  <authors>
    <author>Peter</author>
  </authors>
  <commentList>
    <comment ref="A1" authorId="0" shapeId="0">
      <text>
        <r>
          <rPr>
            <b/>
            <sz val="9"/>
            <color indexed="81"/>
            <rFont val="Tahoma"/>
            <family val="2"/>
          </rPr>
          <t>Peter:</t>
        </r>
        <r>
          <rPr>
            <sz val="9"/>
            <color indexed="81"/>
            <rFont val="Tahoma"/>
            <family val="2"/>
          </rPr>
          <t xml:space="preserve">
This version excludes the potential for residualization by juvenile steelhead…i.e., no residents.</t>
        </r>
      </text>
    </comment>
    <comment ref="C10" authorId="0" shapeId="0">
      <text>
        <r>
          <rPr>
            <b/>
            <sz val="9"/>
            <color indexed="81"/>
            <rFont val="Tahoma"/>
            <family val="2"/>
          </rPr>
          <t>Peter:</t>
        </r>
        <r>
          <rPr>
            <sz val="9"/>
            <color indexed="81"/>
            <rFont val="Tahoma"/>
            <family val="2"/>
          </rPr>
          <t xml:space="preserve">
Capacity estimates are now in whole pop values, no length scaing required.</t>
        </r>
      </text>
    </comment>
    <comment ref="A45" authorId="0" shapeId="0">
      <text>
        <r>
          <rPr>
            <b/>
            <sz val="9"/>
            <color indexed="81"/>
            <rFont val="Tahoma"/>
            <family val="2"/>
          </rPr>
          <t>Peter:</t>
        </r>
        <r>
          <rPr>
            <sz val="9"/>
            <color indexed="81"/>
            <rFont val="Tahoma"/>
            <family val="2"/>
          </rPr>
          <t xml:space="preserve">
Set to 0 if base, 1 if HeatSource, 2 … , etc.</t>
        </r>
      </text>
    </comment>
    <comment ref="C45" authorId="0" shapeId="0">
      <text>
        <r>
          <rPr>
            <b/>
            <sz val="9"/>
            <color indexed="81"/>
            <rFont val="Tahoma"/>
            <family val="2"/>
          </rPr>
          <t>Peter:</t>
        </r>
        <r>
          <rPr>
            <sz val="9"/>
            <color indexed="81"/>
            <rFont val="Tahoma"/>
            <family val="2"/>
          </rPr>
          <t xml:space="preserve">
This is basin-total egg capacity, i.e., redds-per-meter x average fecudity (i.e., age comp * fec by size/age).</t>
        </r>
      </text>
    </comment>
    <comment ref="D45" authorId="0" shapeId="0">
      <text>
        <r>
          <rPr>
            <b/>
            <sz val="9"/>
            <color indexed="81"/>
            <rFont val="Tahoma"/>
            <family val="2"/>
          </rPr>
          <t>Peter:</t>
        </r>
        <r>
          <rPr>
            <sz val="9"/>
            <color indexed="81"/>
            <rFont val="Tahoma"/>
            <family val="2"/>
          </rPr>
          <t xml:space="preserve">
modeled as infinitely large.</t>
        </r>
      </text>
    </comment>
    <comment ref="G45" authorId="0" shapeId="0">
      <text>
        <r>
          <rPr>
            <b/>
            <sz val="9"/>
            <color indexed="81"/>
            <rFont val="Tahoma"/>
            <family val="2"/>
          </rPr>
          <t>Peter:</t>
        </r>
        <r>
          <rPr>
            <sz val="9"/>
            <color indexed="81"/>
            <rFont val="Tahoma"/>
            <family val="2"/>
          </rPr>
          <t xml:space="preserve">
modeled as infinitely large.</t>
        </r>
      </text>
    </comment>
    <comment ref="D80" authorId="0" shapeId="0">
      <text>
        <r>
          <rPr>
            <b/>
            <sz val="9"/>
            <color indexed="81"/>
            <rFont val="Tahoma"/>
            <family val="2"/>
          </rPr>
          <t>Peter:</t>
        </r>
        <r>
          <rPr>
            <sz val="9"/>
            <color indexed="81"/>
            <rFont val="Tahoma"/>
            <family val="2"/>
          </rPr>
          <t xml:space="preserve">
This is modeled as 100% to avoid applying mainstem mort to resident rainbows; BON-trib losses are now modeled as harvest below.</t>
        </r>
      </text>
    </comment>
    <comment ref="D81" authorId="0" shapeId="0">
      <text>
        <r>
          <rPr>
            <b/>
            <sz val="9"/>
            <color indexed="81"/>
            <rFont val="Tahoma"/>
            <family val="2"/>
          </rPr>
          <t>Peter:</t>
        </r>
        <r>
          <rPr>
            <sz val="9"/>
            <color indexed="81"/>
            <rFont val="Tahoma"/>
            <family val="2"/>
          </rPr>
          <t xml:space="preserve">
This is set to 1.00 given that any separation of egg-to-parr will be arbitrayr; thus N[4] will soak up egg-to-parr in its </t>
        </r>
      </text>
    </comment>
    <comment ref="D82" authorId="0" shapeId="0">
      <text>
        <r>
          <rPr>
            <b/>
            <sz val="9"/>
            <color indexed="81"/>
            <rFont val="Tahoma"/>
            <family val="2"/>
          </rPr>
          <t>Peter:</t>
        </r>
        <r>
          <rPr>
            <sz val="9"/>
            <color indexed="81"/>
            <rFont val="Tahoma"/>
            <family val="2"/>
          </rPr>
          <t xml:space="preserve">
this is combined egg-to-parr survival backed out given observed smolts/spawner, spawner abundance (sex ratio, fecundity too), and parr/presmolt survival.
Currently, we use proxy values based on SF productivity given the MF productivity appears biased low.</t>
        </r>
      </text>
    </comment>
    <comment ref="D84" authorId="0" shapeId="0">
      <text>
        <r>
          <rPr>
            <b/>
            <sz val="9"/>
            <color indexed="81"/>
            <rFont val="Tahoma"/>
            <family val="2"/>
          </rPr>
          <t>Peter:</t>
        </r>
        <r>
          <rPr>
            <sz val="9"/>
            <color indexed="81"/>
            <rFont val="Tahoma"/>
            <family val="2"/>
          </rPr>
          <t xml:space="preserve">
2004-2013 mean CJS estimate from MFJD trap to JD dam.</t>
        </r>
      </text>
    </comment>
    <comment ref="D85" authorId="0" shapeId="0">
      <text>
        <r>
          <rPr>
            <b/>
            <sz val="9"/>
            <color indexed="81"/>
            <rFont val="Tahoma"/>
            <family val="2"/>
          </rPr>
          <t>Peter:</t>
        </r>
        <r>
          <rPr>
            <sz val="9"/>
            <color indexed="81"/>
            <rFont val="Tahoma"/>
            <family val="2"/>
          </rPr>
          <t xml:space="preserve">
this is applied in same time step as smolt, must be survival through dams whereas Sr[6] is to mainstem…
Here we model a single trib to JDA value; the use SARs to get  back to BON...</t>
        </r>
      </text>
    </comment>
    <comment ref="D86" authorId="0" shapeId="0">
      <text>
        <r>
          <rPr>
            <b/>
            <sz val="9"/>
            <color indexed="81"/>
            <rFont val="Tahoma"/>
            <family val="2"/>
          </rPr>
          <t>Peter:</t>
        </r>
        <r>
          <rPr>
            <sz val="9"/>
            <color indexed="81"/>
            <rFont val="Tahoma"/>
            <family val="2"/>
          </rPr>
          <t xml:space="preserve">
these were generated via MCMC/Bayesian estimation in WinBUGS…
together they produce JDA to BON SARs that are on average consistent with what's seen on the ground (CSS ests)</t>
        </r>
      </text>
    </comment>
    <comment ref="D89" authorId="0" shapeId="0">
      <text>
        <r>
          <rPr>
            <b/>
            <sz val="9"/>
            <color indexed="81"/>
            <rFont val="Tahoma"/>
            <family val="2"/>
          </rPr>
          <t>Peter:</t>
        </r>
        <r>
          <rPr>
            <sz val="9"/>
            <color indexed="81"/>
            <rFont val="Tahoma"/>
            <family val="2"/>
          </rPr>
          <t xml:space="preserve">
assume constant after OA3, but it doesn't really matter given the way the model processes repeat spawners.</t>
        </r>
      </text>
    </comment>
    <comment ref="B100" authorId="0" shapeId="0">
      <text>
        <r>
          <rPr>
            <b/>
            <sz val="9"/>
            <color indexed="81"/>
            <rFont val="Tahoma"/>
            <family val="2"/>
          </rPr>
          <t>Peter:</t>
        </r>
        <r>
          <rPr>
            <sz val="9"/>
            <color indexed="81"/>
            <rFont val="Tahoma"/>
            <family val="2"/>
          </rPr>
          <t xml:space="preserve">
number is actually true age - 1 (i.e., years spent as presmolt)</t>
        </r>
      </text>
    </comment>
    <comment ref="H101" authorId="0" shapeId="0">
      <text>
        <r>
          <rPr>
            <b/>
            <sz val="9"/>
            <color indexed="81"/>
            <rFont val="Tahoma"/>
            <family val="2"/>
          </rPr>
          <t>Peter:</t>
        </r>
        <r>
          <rPr>
            <sz val="9"/>
            <color indexed="81"/>
            <rFont val="Tahoma"/>
            <family val="2"/>
          </rPr>
          <t xml:space="preserve">
Be design, the no residents scenario also defaults back to an equal sex ratio...</t>
        </r>
      </text>
    </comment>
    <comment ref="H103" authorId="0" shapeId="0">
      <text>
        <r>
          <rPr>
            <b/>
            <sz val="9"/>
            <color indexed="81"/>
            <rFont val="Tahoma"/>
            <family val="2"/>
          </rPr>
          <t>Peter:</t>
        </r>
        <r>
          <rPr>
            <sz val="9"/>
            <color indexed="81"/>
            <rFont val="Tahoma"/>
            <family val="2"/>
          </rPr>
          <t xml:space="preserve">
smolting ends at age 3 for MFJD (4s occur but are rare)</t>
        </r>
      </text>
    </comment>
    <comment ref="C104" authorId="0" shapeId="0">
      <text>
        <r>
          <rPr>
            <b/>
            <sz val="9"/>
            <color indexed="81"/>
            <rFont val="Tahoma"/>
            <family val="2"/>
          </rPr>
          <t>Peter:</t>
        </r>
        <r>
          <rPr>
            <sz val="9"/>
            <color indexed="81"/>
            <rFont val="Tahoma"/>
            <family val="2"/>
          </rPr>
          <t xml:space="preserve">
assume constant survival after age 3 but that everyone dies at age 6.</t>
        </r>
      </text>
    </comment>
    <comment ref="D116" authorId="0" shapeId="0">
      <text>
        <r>
          <rPr>
            <b/>
            <sz val="9"/>
            <color indexed="81"/>
            <rFont val="Tahoma"/>
            <family val="2"/>
          </rPr>
          <t>Peter:</t>
        </r>
        <r>
          <rPr>
            <sz val="9"/>
            <color indexed="81"/>
            <rFont val="Tahoma"/>
            <family val="2"/>
          </rPr>
          <t xml:space="preserve">
these are estimates derived in conjunction with ocean survivals...</t>
        </r>
      </text>
    </comment>
    <comment ref="I116" authorId="0" shapeId="0">
      <text>
        <r>
          <rPr>
            <b/>
            <sz val="9"/>
            <color indexed="81"/>
            <rFont val="Tahoma"/>
            <family val="2"/>
          </rPr>
          <t>Peter:</t>
        </r>
        <r>
          <rPr>
            <sz val="9"/>
            <color indexed="81"/>
            <rFont val="Tahoma"/>
            <family val="2"/>
          </rPr>
          <t xml:space="preserve">
these are estimates derived in conjunction with ocean survivals...</t>
        </r>
      </text>
    </comment>
    <comment ref="N116" authorId="0" shapeId="0">
      <text>
        <r>
          <rPr>
            <b/>
            <sz val="9"/>
            <color indexed="81"/>
            <rFont val="Tahoma"/>
            <family val="2"/>
          </rPr>
          <t>Peter:</t>
        </r>
        <r>
          <rPr>
            <sz val="9"/>
            <color indexed="81"/>
            <rFont val="Tahoma"/>
            <family val="2"/>
          </rPr>
          <t xml:space="preserve">
modeled as infinitely large for now…
</t>
        </r>
      </text>
    </comment>
    <comment ref="N117" authorId="0" shapeId="0">
      <text>
        <r>
          <rPr>
            <b/>
            <sz val="9"/>
            <color indexed="81"/>
            <rFont val="Tahoma"/>
            <family val="2"/>
          </rPr>
          <t>Peter:</t>
        </r>
        <r>
          <rPr>
            <sz val="9"/>
            <color indexed="81"/>
            <rFont val="Tahoma"/>
            <family val="2"/>
          </rPr>
          <t xml:space="preserve">
modeled as infinitely large for now…
</t>
        </r>
      </text>
    </comment>
    <comment ref="N118" authorId="0" shapeId="0">
      <text>
        <r>
          <rPr>
            <b/>
            <sz val="9"/>
            <color indexed="81"/>
            <rFont val="Tahoma"/>
            <family val="2"/>
          </rPr>
          <t>Peter:</t>
        </r>
        <r>
          <rPr>
            <sz val="9"/>
            <color indexed="81"/>
            <rFont val="Tahoma"/>
            <family val="2"/>
          </rPr>
          <t xml:space="preserve">
modeled as infinitely large for now…
</t>
        </r>
      </text>
    </comment>
    <comment ref="N119" authorId="0" shapeId="0">
      <text>
        <r>
          <rPr>
            <b/>
            <sz val="9"/>
            <color indexed="81"/>
            <rFont val="Tahoma"/>
            <family val="2"/>
          </rPr>
          <t>Peter:</t>
        </r>
        <r>
          <rPr>
            <sz val="9"/>
            <color indexed="81"/>
            <rFont val="Tahoma"/>
            <family val="2"/>
          </rPr>
          <t xml:space="preserve">
modeled as infinitely large for now…
</t>
        </r>
      </text>
    </comment>
    <comment ref="N120" authorId="0" shapeId="0">
      <text>
        <r>
          <rPr>
            <b/>
            <sz val="9"/>
            <color indexed="81"/>
            <rFont val="Tahoma"/>
            <family val="2"/>
          </rPr>
          <t>Peter:</t>
        </r>
        <r>
          <rPr>
            <sz val="9"/>
            <color indexed="81"/>
            <rFont val="Tahoma"/>
            <family val="2"/>
          </rPr>
          <t xml:space="preserve">
modeled as infinitely large for now…
</t>
        </r>
      </text>
    </comment>
    <comment ref="N121" authorId="0" shapeId="0">
      <text>
        <r>
          <rPr>
            <b/>
            <sz val="9"/>
            <color indexed="81"/>
            <rFont val="Tahoma"/>
            <family val="2"/>
          </rPr>
          <t>Peter:</t>
        </r>
        <r>
          <rPr>
            <sz val="9"/>
            <color indexed="81"/>
            <rFont val="Tahoma"/>
            <family val="2"/>
          </rPr>
          <t xml:space="preserve">
modeled as infinitely large for now…
</t>
        </r>
      </text>
    </comment>
    <comment ref="N122" authorId="0" shapeId="0">
      <text>
        <r>
          <rPr>
            <b/>
            <sz val="9"/>
            <color indexed="81"/>
            <rFont val="Tahoma"/>
            <family val="2"/>
          </rPr>
          <t>Peter:</t>
        </r>
        <r>
          <rPr>
            <sz val="9"/>
            <color indexed="81"/>
            <rFont val="Tahoma"/>
            <family val="2"/>
          </rPr>
          <t xml:space="preserve">
modeled as infinitely large for now…
</t>
        </r>
      </text>
    </comment>
    <comment ref="N123" authorId="0" shapeId="0">
      <text>
        <r>
          <rPr>
            <b/>
            <sz val="9"/>
            <color indexed="81"/>
            <rFont val="Tahoma"/>
            <family val="2"/>
          </rPr>
          <t>Peter:</t>
        </r>
        <r>
          <rPr>
            <sz val="9"/>
            <color indexed="81"/>
            <rFont val="Tahoma"/>
            <family val="2"/>
          </rPr>
          <t xml:space="preserve">
modeled as infinitely large for now…
</t>
        </r>
      </text>
    </comment>
    <comment ref="N124" authorId="0" shapeId="0">
      <text>
        <r>
          <rPr>
            <b/>
            <sz val="9"/>
            <color indexed="81"/>
            <rFont val="Tahoma"/>
            <family val="2"/>
          </rPr>
          <t>Peter:</t>
        </r>
        <r>
          <rPr>
            <sz val="9"/>
            <color indexed="81"/>
            <rFont val="Tahoma"/>
            <family val="2"/>
          </rPr>
          <t xml:space="preserve">
modeled as infinitely large for now…
</t>
        </r>
      </text>
    </comment>
    <comment ref="N125" authorId="0" shapeId="0">
      <text>
        <r>
          <rPr>
            <b/>
            <sz val="9"/>
            <color indexed="81"/>
            <rFont val="Tahoma"/>
            <family val="2"/>
          </rPr>
          <t>Peter:</t>
        </r>
        <r>
          <rPr>
            <sz val="9"/>
            <color indexed="81"/>
            <rFont val="Tahoma"/>
            <family val="2"/>
          </rPr>
          <t xml:space="preserve">
modeled as infinitely large for now…
</t>
        </r>
      </text>
    </comment>
    <comment ref="C140" authorId="0" shapeId="0">
      <text>
        <r>
          <rPr>
            <b/>
            <sz val="9"/>
            <color indexed="81"/>
            <rFont val="Tahoma"/>
            <family val="2"/>
          </rPr>
          <t>Peter:</t>
        </r>
        <r>
          <rPr>
            <sz val="9"/>
            <color indexed="81"/>
            <rFont val="Tahoma"/>
            <family val="2"/>
          </rPr>
          <t xml:space="preserve">
Ruzycki and Tattam estimate from 2013 RR, conversion between BON and spawning grounds; includes harvest-related losses in Zone 6 but not incidental mort in L Col spt.
For convenience, this is modeled here to ensure that resident rainbows don't get hit with mainstem mortality.</t>
        </r>
      </text>
    </comment>
    <comment ref="F169" authorId="0" shapeId="0">
      <text>
        <r>
          <rPr>
            <b/>
            <sz val="9"/>
            <color indexed="81"/>
            <rFont val="Tahoma"/>
            <family val="2"/>
          </rPr>
          <t>Peter:</t>
        </r>
        <r>
          <rPr>
            <sz val="9"/>
            <color indexed="81"/>
            <rFont val="Tahoma"/>
            <family val="2"/>
          </rPr>
          <t xml:space="preserve">
These are quite large fecundities but they're consistent with some hatchery data from within the CRB...</t>
        </r>
      </text>
    </comment>
    <comment ref="G185" authorId="0" shapeId="0">
      <text>
        <r>
          <rPr>
            <b/>
            <sz val="9"/>
            <color indexed="81"/>
            <rFont val="Tahoma"/>
            <family val="2"/>
          </rPr>
          <t>Peter:</t>
        </r>
        <r>
          <rPr>
            <sz val="9"/>
            <color indexed="81"/>
            <rFont val="Tahoma"/>
            <family val="2"/>
          </rPr>
          <t xml:space="preserve">
Assume fish of any age can repeat spawn, multiple repeats are possible given the structure of the model but will be rare by virtue of the BON-BON rate...</t>
        </r>
      </text>
    </comment>
  </commentList>
</comments>
</file>

<file path=xl/comments20.xml><?xml version="1.0" encoding="utf-8"?>
<comments xmlns="http://schemas.openxmlformats.org/spreadsheetml/2006/main">
  <authors>
    <author>Pete</author>
    <author>Peter</author>
  </authors>
  <commentList>
    <comment ref="L3" authorId="0" shapeId="0">
      <text>
        <r>
          <rPr>
            <b/>
            <sz val="9"/>
            <color indexed="81"/>
            <rFont val="Tahoma"/>
            <family val="2"/>
          </rPr>
          <t>Pete:</t>
        </r>
        <r>
          <rPr>
            <sz val="9"/>
            <color indexed="81"/>
            <rFont val="Tahoma"/>
            <family val="2"/>
          </rPr>
          <t xml:space="preserve">
Is N3+N4</t>
        </r>
      </text>
    </comment>
    <comment ref="V3" authorId="1" shapeId="0">
      <text>
        <r>
          <rPr>
            <b/>
            <sz val="9"/>
            <color indexed="81"/>
            <rFont val="Tahoma"/>
            <family val="2"/>
          </rPr>
          <t>Peter:</t>
        </r>
        <r>
          <rPr>
            <sz val="9"/>
            <color indexed="81"/>
            <rFont val="Tahoma"/>
            <family val="2"/>
          </rPr>
          <t xml:space="preserve">
collapsed into single age given rarity of age 4.</t>
        </r>
      </text>
    </comment>
    <comment ref="G11" authorId="1" shapeId="0">
      <text>
        <r>
          <rPr>
            <b/>
            <sz val="9"/>
            <color indexed="81"/>
            <rFont val="Tahoma"/>
            <family val="2"/>
          </rPr>
          <t>Peter:</t>
        </r>
        <r>
          <rPr>
            <sz val="9"/>
            <color indexed="81"/>
            <rFont val="Tahoma"/>
            <family val="2"/>
          </rPr>
          <t xml:space="preserve">
Is equivalent to MF spawners * ave(SF sm / sp and MF sm / sp) for brood year.</t>
        </r>
      </text>
    </comment>
    <comment ref="R15" authorId="1" shapeId="0">
      <text>
        <r>
          <rPr>
            <b/>
            <sz val="9"/>
            <color indexed="81"/>
            <rFont val="Tahoma"/>
            <family val="2"/>
          </rPr>
          <t>Peter:</t>
        </r>
        <r>
          <rPr>
            <sz val="9"/>
            <color indexed="81"/>
            <rFont val="Tahoma"/>
            <family val="2"/>
          </rPr>
          <t xml:space="preserve">
Uses MF age comp but estimates of smolts based on SF sm/sp (backed from BY spawners).</t>
        </r>
      </text>
    </comment>
  </commentList>
</comments>
</file>

<file path=xl/comments21.xml><?xml version="1.0" encoding="utf-8"?>
<comments xmlns="http://schemas.openxmlformats.org/spreadsheetml/2006/main">
  <authors>
    <author>Peter</author>
  </authors>
  <commentList>
    <comment ref="A45" authorId="0" shapeId="0">
      <text>
        <r>
          <rPr>
            <b/>
            <sz val="9"/>
            <color indexed="81"/>
            <rFont val="Tahoma"/>
            <family val="2"/>
          </rPr>
          <t>Peter:</t>
        </r>
        <r>
          <rPr>
            <sz val="9"/>
            <color indexed="81"/>
            <rFont val="Tahoma"/>
            <family val="2"/>
          </rPr>
          <t xml:space="preserve">
1 = use NREI</t>
        </r>
      </text>
    </comment>
    <comment ref="C45" authorId="0" shapeId="0">
      <text>
        <r>
          <rPr>
            <b/>
            <sz val="9"/>
            <color indexed="81"/>
            <rFont val="Tahoma"/>
            <family val="2"/>
          </rPr>
          <t>Peter:</t>
        </r>
        <r>
          <rPr>
            <sz val="9"/>
            <color indexed="81"/>
            <rFont val="Tahoma"/>
            <family val="2"/>
          </rPr>
          <t xml:space="preserve">
Is basin capacity by approximate weighted average fecudity (i.e., age comp * fec by age); is very close to 5500, use this.</t>
        </r>
      </text>
    </comment>
    <comment ref="D45" authorId="0" shapeId="0">
      <text>
        <r>
          <rPr>
            <b/>
            <sz val="9"/>
            <color indexed="81"/>
            <rFont val="Tahoma"/>
            <family val="2"/>
          </rPr>
          <t>Peter:</t>
        </r>
        <r>
          <rPr>
            <sz val="9"/>
            <color indexed="81"/>
            <rFont val="Tahoma"/>
            <family val="2"/>
          </rPr>
          <t xml:space="preserve">
modeled as infinitely large.</t>
        </r>
      </text>
    </comment>
    <comment ref="G45" authorId="0" shapeId="0">
      <text>
        <r>
          <rPr>
            <b/>
            <sz val="9"/>
            <color indexed="81"/>
            <rFont val="Tahoma"/>
            <family val="2"/>
          </rPr>
          <t>Peter:</t>
        </r>
        <r>
          <rPr>
            <sz val="9"/>
            <color indexed="81"/>
            <rFont val="Tahoma"/>
            <family val="2"/>
          </rPr>
          <t xml:space="preserve">
modeled as infinitely large.</t>
        </r>
      </text>
    </comment>
    <comment ref="AN46" authorId="0" shapeId="0">
      <text>
        <r>
          <rPr>
            <b/>
            <sz val="9"/>
            <color indexed="81"/>
            <rFont val="Tahoma"/>
            <family val="2"/>
          </rPr>
          <t>Peter:</t>
        </r>
        <r>
          <rPr>
            <sz val="9"/>
            <color indexed="81"/>
            <rFont val="Tahoma"/>
            <family val="2"/>
          </rPr>
          <t xml:space="preserve">
enter basin redd capacity here, fecundity is 5500.</t>
        </r>
      </text>
    </comment>
    <comment ref="D80" authorId="0" shapeId="0">
      <text>
        <r>
          <rPr>
            <b/>
            <sz val="9"/>
            <color indexed="81"/>
            <rFont val="Tahoma"/>
            <family val="2"/>
          </rPr>
          <t>Peter:</t>
        </r>
        <r>
          <rPr>
            <sz val="9"/>
            <color indexed="81"/>
            <rFont val="Tahoma"/>
            <family val="2"/>
          </rPr>
          <t xml:space="preserve">
This is modeled as 100% to avoid applying mainstem mort to resident rainbows; BON-trib losses are now modeled as harvest below.</t>
        </r>
      </text>
    </comment>
    <comment ref="D81" authorId="0" shapeId="0">
      <text>
        <r>
          <rPr>
            <b/>
            <sz val="9"/>
            <color indexed="81"/>
            <rFont val="Tahoma"/>
            <family val="2"/>
          </rPr>
          <t>Peter:</t>
        </r>
        <r>
          <rPr>
            <sz val="9"/>
            <color indexed="81"/>
            <rFont val="Tahoma"/>
            <family val="2"/>
          </rPr>
          <t xml:space="preserve">
This is set to 1.00 given that any separation of egg-to-parr will be arbitrayr; thus N[4] will soak up egg-to-parr in its </t>
        </r>
      </text>
    </comment>
    <comment ref="D82" authorId="0" shapeId="0">
      <text>
        <r>
          <rPr>
            <b/>
            <sz val="9"/>
            <color indexed="81"/>
            <rFont val="Tahoma"/>
            <family val="2"/>
          </rPr>
          <t>Peter:</t>
        </r>
        <r>
          <rPr>
            <sz val="9"/>
            <color indexed="81"/>
            <rFont val="Tahoma"/>
            <family val="2"/>
          </rPr>
          <t xml:space="preserve">
this is combined egg-to-parr survival backed out given observed smolts/spawner, spawner abundance (sex ratio, fecundity too), and parr/presmolt survival.
Currently, we use proxy values based on SF productivity given the MF productivity appears biased low.</t>
        </r>
      </text>
    </comment>
    <comment ref="D84" authorId="0" shapeId="0">
      <text>
        <r>
          <rPr>
            <b/>
            <sz val="9"/>
            <color indexed="81"/>
            <rFont val="Tahoma"/>
            <family val="2"/>
          </rPr>
          <t>Peter:</t>
        </r>
        <r>
          <rPr>
            <sz val="9"/>
            <color indexed="81"/>
            <rFont val="Tahoma"/>
            <family val="2"/>
          </rPr>
          <t xml:space="preserve">
2004-2013 mean CJS estimate from MFJD trap to JD dam.</t>
        </r>
      </text>
    </comment>
    <comment ref="D85" authorId="0" shapeId="0">
      <text>
        <r>
          <rPr>
            <b/>
            <sz val="9"/>
            <color indexed="81"/>
            <rFont val="Tahoma"/>
            <family val="2"/>
          </rPr>
          <t>Peter:</t>
        </r>
        <r>
          <rPr>
            <sz val="9"/>
            <color indexed="81"/>
            <rFont val="Tahoma"/>
            <family val="2"/>
          </rPr>
          <t xml:space="preserve">
this is applied in same time step as smolt, must be survival through dams whereas Sr[6] is to mainstem…
Here we model a single trib to JDA value; the use SARs to get  back to BON...</t>
        </r>
      </text>
    </comment>
    <comment ref="D86" authorId="0" shapeId="0">
      <text>
        <r>
          <rPr>
            <b/>
            <sz val="9"/>
            <color indexed="81"/>
            <rFont val="Tahoma"/>
            <family val="2"/>
          </rPr>
          <t>Peter:</t>
        </r>
        <r>
          <rPr>
            <sz val="9"/>
            <color indexed="81"/>
            <rFont val="Tahoma"/>
            <family val="2"/>
          </rPr>
          <t xml:space="preserve">
these were generated via MCMC/Bayesian estimation in WinBUGS…
together they produce JDA to BON SARs that are on average consistent with what's seen on the ground (CSS ests)</t>
        </r>
      </text>
    </comment>
    <comment ref="D89" authorId="0" shapeId="0">
      <text>
        <r>
          <rPr>
            <b/>
            <sz val="9"/>
            <color indexed="81"/>
            <rFont val="Tahoma"/>
            <family val="2"/>
          </rPr>
          <t>Peter:</t>
        </r>
        <r>
          <rPr>
            <sz val="9"/>
            <color indexed="81"/>
            <rFont val="Tahoma"/>
            <family val="2"/>
          </rPr>
          <t xml:space="preserve">
assume constant after OA3, but it doesn't really matter given the way the model processes repeat spawners.</t>
        </r>
      </text>
    </comment>
    <comment ref="B100" authorId="0" shapeId="0">
      <text>
        <r>
          <rPr>
            <b/>
            <sz val="9"/>
            <color indexed="81"/>
            <rFont val="Tahoma"/>
            <family val="2"/>
          </rPr>
          <t>Peter:</t>
        </r>
        <r>
          <rPr>
            <sz val="9"/>
            <color indexed="81"/>
            <rFont val="Tahoma"/>
            <family val="2"/>
          </rPr>
          <t xml:space="preserve">
number is actually true age - 1 (i.e., years spent as presmolt)</t>
        </r>
      </text>
    </comment>
    <comment ref="H101" authorId="0" shapeId="0">
      <text>
        <r>
          <rPr>
            <b/>
            <sz val="9"/>
            <color indexed="81"/>
            <rFont val="Tahoma"/>
            <family val="2"/>
          </rPr>
          <t>Peter:</t>
        </r>
        <r>
          <rPr>
            <sz val="9"/>
            <color indexed="81"/>
            <rFont val="Tahoma"/>
            <family val="2"/>
          </rPr>
          <t xml:space="preserve">
See workup on e and f sheets for full details on sourcing and gender bias in calc's</t>
        </r>
      </text>
    </comment>
    <comment ref="H103" authorId="0" shapeId="0">
      <text>
        <r>
          <rPr>
            <b/>
            <sz val="9"/>
            <color indexed="81"/>
            <rFont val="Tahoma"/>
            <family val="2"/>
          </rPr>
          <t>Peter:</t>
        </r>
        <r>
          <rPr>
            <sz val="9"/>
            <color indexed="81"/>
            <rFont val="Tahoma"/>
            <family val="2"/>
          </rPr>
          <t xml:space="preserve">
smolting ends at age 3 for MFJD (4s occur but are rare)</t>
        </r>
      </text>
    </comment>
    <comment ref="C104" authorId="0" shapeId="0">
      <text>
        <r>
          <rPr>
            <b/>
            <sz val="9"/>
            <color indexed="81"/>
            <rFont val="Tahoma"/>
            <family val="2"/>
          </rPr>
          <t>Peter:</t>
        </r>
        <r>
          <rPr>
            <sz val="9"/>
            <color indexed="81"/>
            <rFont val="Tahoma"/>
            <family val="2"/>
          </rPr>
          <t xml:space="preserve">
assume constant survival after age 3 but that everyone dies at age 6.</t>
        </r>
      </text>
    </comment>
    <comment ref="D116" authorId="0" shapeId="0">
      <text>
        <r>
          <rPr>
            <b/>
            <sz val="9"/>
            <color indexed="81"/>
            <rFont val="Tahoma"/>
            <family val="2"/>
          </rPr>
          <t>Peter:</t>
        </r>
        <r>
          <rPr>
            <sz val="9"/>
            <color indexed="81"/>
            <rFont val="Tahoma"/>
            <family val="2"/>
          </rPr>
          <t xml:space="preserve">
these are estimates derived in conjunction with ocean survivals...</t>
        </r>
      </text>
    </comment>
    <comment ref="I116" authorId="0" shapeId="0">
      <text>
        <r>
          <rPr>
            <b/>
            <sz val="9"/>
            <color indexed="81"/>
            <rFont val="Tahoma"/>
            <family val="2"/>
          </rPr>
          <t>Peter:</t>
        </r>
        <r>
          <rPr>
            <sz val="9"/>
            <color indexed="81"/>
            <rFont val="Tahoma"/>
            <family val="2"/>
          </rPr>
          <t xml:space="preserve">
these are estimates derived in conjunction with ocean survivals...</t>
        </r>
      </text>
    </comment>
    <comment ref="N116" authorId="0" shapeId="0">
      <text>
        <r>
          <rPr>
            <b/>
            <sz val="9"/>
            <color indexed="81"/>
            <rFont val="Tahoma"/>
            <family val="2"/>
          </rPr>
          <t>Peter:</t>
        </r>
        <r>
          <rPr>
            <sz val="9"/>
            <color indexed="81"/>
            <rFont val="Tahoma"/>
            <family val="2"/>
          </rPr>
          <t xml:space="preserve">
modeled as infinitely large for now…
</t>
        </r>
      </text>
    </comment>
    <comment ref="N117" authorId="0" shapeId="0">
      <text>
        <r>
          <rPr>
            <b/>
            <sz val="9"/>
            <color indexed="81"/>
            <rFont val="Tahoma"/>
            <family val="2"/>
          </rPr>
          <t>Peter:</t>
        </r>
        <r>
          <rPr>
            <sz val="9"/>
            <color indexed="81"/>
            <rFont val="Tahoma"/>
            <family val="2"/>
          </rPr>
          <t xml:space="preserve">
modeled as infinitely large for now…
</t>
        </r>
      </text>
    </comment>
    <comment ref="N118" authorId="0" shapeId="0">
      <text>
        <r>
          <rPr>
            <b/>
            <sz val="9"/>
            <color indexed="81"/>
            <rFont val="Tahoma"/>
            <family val="2"/>
          </rPr>
          <t>Peter:</t>
        </r>
        <r>
          <rPr>
            <sz val="9"/>
            <color indexed="81"/>
            <rFont val="Tahoma"/>
            <family val="2"/>
          </rPr>
          <t xml:space="preserve">
modeled as infinitely large for now…
</t>
        </r>
      </text>
    </comment>
    <comment ref="N119" authorId="0" shapeId="0">
      <text>
        <r>
          <rPr>
            <b/>
            <sz val="9"/>
            <color indexed="81"/>
            <rFont val="Tahoma"/>
            <family val="2"/>
          </rPr>
          <t>Peter:</t>
        </r>
        <r>
          <rPr>
            <sz val="9"/>
            <color indexed="81"/>
            <rFont val="Tahoma"/>
            <family val="2"/>
          </rPr>
          <t xml:space="preserve">
modeled as infinitely large for now…
</t>
        </r>
      </text>
    </comment>
    <comment ref="N120" authorId="0" shapeId="0">
      <text>
        <r>
          <rPr>
            <b/>
            <sz val="9"/>
            <color indexed="81"/>
            <rFont val="Tahoma"/>
            <family val="2"/>
          </rPr>
          <t>Peter:</t>
        </r>
        <r>
          <rPr>
            <sz val="9"/>
            <color indexed="81"/>
            <rFont val="Tahoma"/>
            <family val="2"/>
          </rPr>
          <t xml:space="preserve">
modeled as infinitely large for now…
</t>
        </r>
      </text>
    </comment>
    <comment ref="N121" authorId="0" shapeId="0">
      <text>
        <r>
          <rPr>
            <b/>
            <sz val="9"/>
            <color indexed="81"/>
            <rFont val="Tahoma"/>
            <family val="2"/>
          </rPr>
          <t>Peter:</t>
        </r>
        <r>
          <rPr>
            <sz val="9"/>
            <color indexed="81"/>
            <rFont val="Tahoma"/>
            <family val="2"/>
          </rPr>
          <t xml:space="preserve">
modeled as infinitely large for now…
</t>
        </r>
      </text>
    </comment>
    <comment ref="N122" authorId="0" shapeId="0">
      <text>
        <r>
          <rPr>
            <b/>
            <sz val="9"/>
            <color indexed="81"/>
            <rFont val="Tahoma"/>
            <family val="2"/>
          </rPr>
          <t>Peter:</t>
        </r>
        <r>
          <rPr>
            <sz val="9"/>
            <color indexed="81"/>
            <rFont val="Tahoma"/>
            <family val="2"/>
          </rPr>
          <t xml:space="preserve">
modeled as infinitely large for now…
</t>
        </r>
      </text>
    </comment>
    <comment ref="N123" authorId="0" shapeId="0">
      <text>
        <r>
          <rPr>
            <b/>
            <sz val="9"/>
            <color indexed="81"/>
            <rFont val="Tahoma"/>
            <family val="2"/>
          </rPr>
          <t>Peter:</t>
        </r>
        <r>
          <rPr>
            <sz val="9"/>
            <color indexed="81"/>
            <rFont val="Tahoma"/>
            <family val="2"/>
          </rPr>
          <t xml:space="preserve">
modeled as infinitely large for now…
</t>
        </r>
      </text>
    </comment>
    <comment ref="N124" authorId="0" shapeId="0">
      <text>
        <r>
          <rPr>
            <b/>
            <sz val="9"/>
            <color indexed="81"/>
            <rFont val="Tahoma"/>
            <family val="2"/>
          </rPr>
          <t>Peter:</t>
        </r>
        <r>
          <rPr>
            <sz val="9"/>
            <color indexed="81"/>
            <rFont val="Tahoma"/>
            <family val="2"/>
          </rPr>
          <t xml:space="preserve">
modeled as infinitely large for now…
</t>
        </r>
      </text>
    </comment>
    <comment ref="N125" authorId="0" shapeId="0">
      <text>
        <r>
          <rPr>
            <b/>
            <sz val="9"/>
            <color indexed="81"/>
            <rFont val="Tahoma"/>
            <family val="2"/>
          </rPr>
          <t>Peter:</t>
        </r>
        <r>
          <rPr>
            <sz val="9"/>
            <color indexed="81"/>
            <rFont val="Tahoma"/>
            <family val="2"/>
          </rPr>
          <t xml:space="preserve">
modeled as infinitely large for now…
</t>
        </r>
      </text>
    </comment>
    <comment ref="C140" authorId="0" shapeId="0">
      <text>
        <r>
          <rPr>
            <b/>
            <sz val="9"/>
            <color indexed="81"/>
            <rFont val="Tahoma"/>
            <family val="2"/>
          </rPr>
          <t>Peter:</t>
        </r>
        <r>
          <rPr>
            <sz val="9"/>
            <color indexed="81"/>
            <rFont val="Tahoma"/>
            <family val="2"/>
          </rPr>
          <t xml:space="preserve">
Ruzycki and Tattam estimate from 2013 RR, conversion between BON and spawning grounds; includes harvest-related losses in Zone 6 but not incidental mort in L Col spt.
For convenience, this is modeled here to ensure that resident rainbows don't get hit with mainstem mortality.</t>
        </r>
      </text>
    </comment>
    <comment ref="D148" authorId="0" shapeId="0">
      <text>
        <r>
          <rPr>
            <b/>
            <sz val="9"/>
            <color indexed="81"/>
            <rFont val="Tahoma"/>
            <family val="2"/>
          </rPr>
          <t>Peter:</t>
        </r>
        <r>
          <rPr>
            <sz val="9"/>
            <color indexed="81"/>
            <rFont val="Tahoma"/>
            <family val="2"/>
          </rPr>
          <t xml:space="preserve">
This may be where we model an unknown but consistently present resident component...</t>
        </r>
      </text>
    </comment>
    <comment ref="F169" authorId="0" shapeId="0">
      <text>
        <r>
          <rPr>
            <b/>
            <sz val="9"/>
            <color indexed="81"/>
            <rFont val="Tahoma"/>
            <family val="2"/>
          </rPr>
          <t>Peter:</t>
        </r>
        <r>
          <rPr>
            <sz val="9"/>
            <color indexed="81"/>
            <rFont val="Tahoma"/>
            <family val="2"/>
          </rPr>
          <t xml:space="preserve">
These are quite large fecundities but they're consistent with some hatchery data from within the CRB...</t>
        </r>
      </text>
    </comment>
    <comment ref="G185" authorId="0" shapeId="0">
      <text>
        <r>
          <rPr>
            <b/>
            <sz val="9"/>
            <color indexed="81"/>
            <rFont val="Tahoma"/>
            <family val="2"/>
          </rPr>
          <t>Peter:</t>
        </r>
        <r>
          <rPr>
            <sz val="9"/>
            <color indexed="81"/>
            <rFont val="Tahoma"/>
            <family val="2"/>
          </rPr>
          <t xml:space="preserve">
Assume fish of any age can repeat spawn, multiple repeats are possible given the structure of the model but will be rare by virtue of the BON-BON rate...</t>
        </r>
      </text>
    </comment>
  </commentList>
</comments>
</file>

<file path=xl/comments3.xml><?xml version="1.0" encoding="utf-8"?>
<comments xmlns="http://schemas.openxmlformats.org/spreadsheetml/2006/main">
  <authors>
    <author>Peter</author>
  </authors>
  <commentList>
    <comment ref="C10" authorId="0" shapeId="0">
      <text>
        <r>
          <rPr>
            <b/>
            <sz val="9"/>
            <color indexed="81"/>
            <rFont val="Tahoma"/>
            <family val="2"/>
          </rPr>
          <t>Peter:</t>
        </r>
        <r>
          <rPr>
            <sz val="9"/>
            <color indexed="81"/>
            <rFont val="Tahoma"/>
            <family val="2"/>
          </rPr>
          <t xml:space="preserve">
Capacity estimates are now in whole pop values, no length scaing required.</t>
        </r>
      </text>
    </comment>
    <comment ref="A45" authorId="0" shapeId="0">
      <text>
        <r>
          <rPr>
            <b/>
            <sz val="9"/>
            <color indexed="81"/>
            <rFont val="Tahoma"/>
            <family val="2"/>
          </rPr>
          <t>Peter:</t>
        </r>
        <r>
          <rPr>
            <sz val="9"/>
            <color indexed="81"/>
            <rFont val="Tahoma"/>
            <family val="2"/>
          </rPr>
          <t xml:space="preserve">
Set to 0 if base, 1 if NTP, 2 if Restoration… , etc.</t>
        </r>
      </text>
    </comment>
    <comment ref="C45" authorId="0" shapeId="0">
      <text>
        <r>
          <rPr>
            <b/>
            <sz val="9"/>
            <color indexed="81"/>
            <rFont val="Tahoma"/>
            <family val="2"/>
          </rPr>
          <t>Peter:</t>
        </r>
        <r>
          <rPr>
            <sz val="9"/>
            <color indexed="81"/>
            <rFont val="Tahoma"/>
            <family val="2"/>
          </rPr>
          <t xml:space="preserve">
This is basin-total egg capacity, i.e., redds-per-meter x average fecudity (i.e., age comp * fec by size/age).</t>
        </r>
      </text>
    </comment>
    <comment ref="D45" authorId="0" shapeId="0">
      <text>
        <r>
          <rPr>
            <b/>
            <sz val="9"/>
            <color indexed="81"/>
            <rFont val="Tahoma"/>
            <family val="2"/>
          </rPr>
          <t>Peter:</t>
        </r>
        <r>
          <rPr>
            <sz val="9"/>
            <color indexed="81"/>
            <rFont val="Tahoma"/>
            <family val="2"/>
          </rPr>
          <t xml:space="preserve">
modeled as infinitely large.</t>
        </r>
      </text>
    </comment>
    <comment ref="G45" authorId="0" shapeId="0">
      <text>
        <r>
          <rPr>
            <b/>
            <sz val="9"/>
            <color indexed="81"/>
            <rFont val="Tahoma"/>
            <family val="2"/>
          </rPr>
          <t>Peter:</t>
        </r>
        <r>
          <rPr>
            <sz val="9"/>
            <color indexed="81"/>
            <rFont val="Tahoma"/>
            <family val="2"/>
          </rPr>
          <t xml:space="preserve">
modeled as infinitely large.</t>
        </r>
      </text>
    </comment>
    <comment ref="D80" authorId="0" shapeId="0">
      <text>
        <r>
          <rPr>
            <b/>
            <sz val="9"/>
            <color indexed="81"/>
            <rFont val="Tahoma"/>
            <family val="2"/>
          </rPr>
          <t>Peter:</t>
        </r>
        <r>
          <rPr>
            <sz val="9"/>
            <color indexed="81"/>
            <rFont val="Tahoma"/>
            <family val="2"/>
          </rPr>
          <t xml:space="preserve">
This is modeled as 100% to avoid applying mainstem mort to resident rainbows; BON-trib losses are now modeled as harvest below.</t>
        </r>
      </text>
    </comment>
    <comment ref="D81" authorId="0" shapeId="0">
      <text>
        <r>
          <rPr>
            <b/>
            <sz val="9"/>
            <color indexed="81"/>
            <rFont val="Tahoma"/>
            <family val="2"/>
          </rPr>
          <t>Peter:</t>
        </r>
        <r>
          <rPr>
            <sz val="9"/>
            <color indexed="81"/>
            <rFont val="Tahoma"/>
            <family val="2"/>
          </rPr>
          <t xml:space="preserve">
This is set to 1.00 given that any separation of egg-to-parr will be arbitrayr; thus N[4] will soak up egg-to-parr in its </t>
        </r>
      </text>
    </comment>
    <comment ref="D82" authorId="0" shapeId="0">
      <text>
        <r>
          <rPr>
            <b/>
            <sz val="9"/>
            <color indexed="81"/>
            <rFont val="Tahoma"/>
            <family val="2"/>
          </rPr>
          <t>Peter:</t>
        </r>
        <r>
          <rPr>
            <sz val="9"/>
            <color indexed="81"/>
            <rFont val="Tahoma"/>
            <family val="2"/>
          </rPr>
          <t xml:space="preserve">
this is combined egg-to-parr survival backed out given observed smolts/spawner, spawner abundance (sex ratio, fecundity too), and parr/presmolt survival.
Currently, we use proxy values based on SF productivity given the MF productivity appears biased low.</t>
        </r>
      </text>
    </comment>
    <comment ref="D84" authorId="0" shapeId="0">
      <text>
        <r>
          <rPr>
            <b/>
            <sz val="9"/>
            <color indexed="81"/>
            <rFont val="Tahoma"/>
            <family val="2"/>
          </rPr>
          <t>Peter:</t>
        </r>
        <r>
          <rPr>
            <sz val="9"/>
            <color indexed="81"/>
            <rFont val="Tahoma"/>
            <family val="2"/>
          </rPr>
          <t xml:space="preserve">
2004-2013 mean CJS estimate from MFJD trap to JD dam.</t>
        </r>
      </text>
    </comment>
    <comment ref="D85" authorId="0" shapeId="0">
      <text>
        <r>
          <rPr>
            <b/>
            <sz val="9"/>
            <color indexed="81"/>
            <rFont val="Tahoma"/>
            <family val="2"/>
          </rPr>
          <t>Peter:</t>
        </r>
        <r>
          <rPr>
            <sz val="9"/>
            <color indexed="81"/>
            <rFont val="Tahoma"/>
            <family val="2"/>
          </rPr>
          <t xml:space="preserve">
this is applied in same time step as smolt, must be survival through dams whereas Sr[6] is to mainstem…
Here we model a single trib to JDA value; the use SARs to get  back to BON...</t>
        </r>
      </text>
    </comment>
    <comment ref="D86" authorId="0" shapeId="0">
      <text>
        <r>
          <rPr>
            <b/>
            <sz val="9"/>
            <color indexed="81"/>
            <rFont val="Tahoma"/>
            <family val="2"/>
          </rPr>
          <t>Peter:</t>
        </r>
        <r>
          <rPr>
            <sz val="9"/>
            <color indexed="81"/>
            <rFont val="Tahoma"/>
            <family val="2"/>
          </rPr>
          <t xml:space="preserve">
these were generated via MCMC/Bayesian estimation in WinBUGS…
together they produce JDA to BON SARs that are on average consistent with what's seen on the ground (CSS ests)</t>
        </r>
      </text>
    </comment>
    <comment ref="D89" authorId="0" shapeId="0">
      <text>
        <r>
          <rPr>
            <b/>
            <sz val="9"/>
            <color indexed="81"/>
            <rFont val="Tahoma"/>
            <family val="2"/>
          </rPr>
          <t>Peter:</t>
        </r>
        <r>
          <rPr>
            <sz val="9"/>
            <color indexed="81"/>
            <rFont val="Tahoma"/>
            <family val="2"/>
          </rPr>
          <t xml:space="preserve">
assume constant after OA3, but it doesn't really matter given the way the model processes repeat spawners.</t>
        </r>
      </text>
    </comment>
    <comment ref="B100" authorId="0" shapeId="0">
      <text>
        <r>
          <rPr>
            <b/>
            <sz val="9"/>
            <color indexed="81"/>
            <rFont val="Tahoma"/>
            <family val="2"/>
          </rPr>
          <t>Peter:</t>
        </r>
        <r>
          <rPr>
            <sz val="9"/>
            <color indexed="81"/>
            <rFont val="Tahoma"/>
            <family val="2"/>
          </rPr>
          <t xml:space="preserve">
number is actually true age - 1 (i.e., years spent as presmolt)</t>
        </r>
      </text>
    </comment>
    <comment ref="A101" authorId="0" shapeId="0">
      <text>
        <r>
          <rPr>
            <b/>
            <sz val="9"/>
            <color indexed="81"/>
            <rFont val="Tahoma"/>
            <family val="2"/>
          </rPr>
          <t>Peter:</t>
        </r>
        <r>
          <rPr>
            <sz val="9"/>
            <color indexed="81"/>
            <rFont val="Tahoma"/>
            <family val="2"/>
          </rPr>
          <t xml:space="preserve">
0 = base
1 = NTP
2 = Restore
toggling introduces scalars...</t>
        </r>
      </text>
    </comment>
    <comment ref="H101" authorId="0" shapeId="0">
      <text>
        <r>
          <rPr>
            <b/>
            <sz val="9"/>
            <color indexed="81"/>
            <rFont val="Tahoma"/>
            <family val="2"/>
          </rPr>
          <t>Peter:</t>
        </r>
        <r>
          <rPr>
            <sz val="9"/>
            <color indexed="81"/>
            <rFont val="Tahoma"/>
            <family val="2"/>
          </rPr>
          <t xml:space="preserve">
See workup on e and f sheets for full details on sourcing and gender bias in calc's</t>
        </r>
      </text>
    </comment>
    <comment ref="H103" authorId="0" shapeId="0">
      <text>
        <r>
          <rPr>
            <b/>
            <sz val="9"/>
            <color indexed="81"/>
            <rFont val="Tahoma"/>
            <family val="2"/>
          </rPr>
          <t>Peter:</t>
        </r>
        <r>
          <rPr>
            <sz val="9"/>
            <color indexed="81"/>
            <rFont val="Tahoma"/>
            <family val="2"/>
          </rPr>
          <t xml:space="preserve">
smolting ends at age 3 for MFJD (4s occur but are rare)</t>
        </r>
      </text>
    </comment>
    <comment ref="C104" authorId="0" shapeId="0">
      <text>
        <r>
          <rPr>
            <b/>
            <sz val="9"/>
            <color indexed="81"/>
            <rFont val="Tahoma"/>
            <family val="2"/>
          </rPr>
          <t>Peter:</t>
        </r>
        <r>
          <rPr>
            <sz val="9"/>
            <color indexed="81"/>
            <rFont val="Tahoma"/>
            <family val="2"/>
          </rPr>
          <t xml:space="preserve">
assume constant survival after age 3 but that everyone dies at age 6.</t>
        </r>
      </text>
    </comment>
    <comment ref="D116" authorId="0" shapeId="0">
      <text>
        <r>
          <rPr>
            <b/>
            <sz val="9"/>
            <color indexed="81"/>
            <rFont val="Tahoma"/>
            <family val="2"/>
          </rPr>
          <t>Peter:</t>
        </r>
        <r>
          <rPr>
            <sz val="9"/>
            <color indexed="81"/>
            <rFont val="Tahoma"/>
            <family val="2"/>
          </rPr>
          <t xml:space="preserve">
these are estimates derived in conjunction with ocean survivals...</t>
        </r>
      </text>
    </comment>
    <comment ref="I116" authorId="0" shapeId="0">
      <text>
        <r>
          <rPr>
            <b/>
            <sz val="9"/>
            <color indexed="81"/>
            <rFont val="Tahoma"/>
            <family val="2"/>
          </rPr>
          <t>Peter:</t>
        </r>
        <r>
          <rPr>
            <sz val="9"/>
            <color indexed="81"/>
            <rFont val="Tahoma"/>
            <family val="2"/>
          </rPr>
          <t xml:space="preserve">
these are estimates derived in conjunction with ocean survivals...</t>
        </r>
      </text>
    </comment>
    <comment ref="N116" authorId="0" shapeId="0">
      <text>
        <r>
          <rPr>
            <b/>
            <sz val="9"/>
            <color indexed="81"/>
            <rFont val="Tahoma"/>
            <family val="2"/>
          </rPr>
          <t>Peter:</t>
        </r>
        <r>
          <rPr>
            <sz val="9"/>
            <color indexed="81"/>
            <rFont val="Tahoma"/>
            <family val="2"/>
          </rPr>
          <t xml:space="preserve">
modeled as infinitely large for now…
</t>
        </r>
      </text>
    </comment>
    <comment ref="N117" authorId="0" shapeId="0">
      <text>
        <r>
          <rPr>
            <b/>
            <sz val="9"/>
            <color indexed="81"/>
            <rFont val="Tahoma"/>
            <family val="2"/>
          </rPr>
          <t>Peter:</t>
        </r>
        <r>
          <rPr>
            <sz val="9"/>
            <color indexed="81"/>
            <rFont val="Tahoma"/>
            <family val="2"/>
          </rPr>
          <t xml:space="preserve">
modeled as infinitely large for now…
</t>
        </r>
      </text>
    </comment>
    <comment ref="N118" authorId="0" shapeId="0">
      <text>
        <r>
          <rPr>
            <b/>
            <sz val="9"/>
            <color indexed="81"/>
            <rFont val="Tahoma"/>
            <family val="2"/>
          </rPr>
          <t>Peter:</t>
        </r>
        <r>
          <rPr>
            <sz val="9"/>
            <color indexed="81"/>
            <rFont val="Tahoma"/>
            <family val="2"/>
          </rPr>
          <t xml:space="preserve">
modeled as infinitely large for now…
</t>
        </r>
      </text>
    </comment>
    <comment ref="N119" authorId="0" shapeId="0">
      <text>
        <r>
          <rPr>
            <b/>
            <sz val="9"/>
            <color indexed="81"/>
            <rFont val="Tahoma"/>
            <family val="2"/>
          </rPr>
          <t>Peter:</t>
        </r>
        <r>
          <rPr>
            <sz val="9"/>
            <color indexed="81"/>
            <rFont val="Tahoma"/>
            <family val="2"/>
          </rPr>
          <t xml:space="preserve">
modeled as infinitely large for now…
</t>
        </r>
      </text>
    </comment>
    <comment ref="N120" authorId="0" shapeId="0">
      <text>
        <r>
          <rPr>
            <b/>
            <sz val="9"/>
            <color indexed="81"/>
            <rFont val="Tahoma"/>
            <family val="2"/>
          </rPr>
          <t>Peter:</t>
        </r>
        <r>
          <rPr>
            <sz val="9"/>
            <color indexed="81"/>
            <rFont val="Tahoma"/>
            <family val="2"/>
          </rPr>
          <t xml:space="preserve">
modeled as infinitely large for now…
</t>
        </r>
      </text>
    </comment>
    <comment ref="N121" authorId="0" shapeId="0">
      <text>
        <r>
          <rPr>
            <b/>
            <sz val="9"/>
            <color indexed="81"/>
            <rFont val="Tahoma"/>
            <family val="2"/>
          </rPr>
          <t>Peter:</t>
        </r>
        <r>
          <rPr>
            <sz val="9"/>
            <color indexed="81"/>
            <rFont val="Tahoma"/>
            <family val="2"/>
          </rPr>
          <t xml:space="preserve">
modeled as infinitely large for now…
</t>
        </r>
      </text>
    </comment>
    <comment ref="N122" authorId="0" shapeId="0">
      <text>
        <r>
          <rPr>
            <b/>
            <sz val="9"/>
            <color indexed="81"/>
            <rFont val="Tahoma"/>
            <family val="2"/>
          </rPr>
          <t>Peter:</t>
        </r>
        <r>
          <rPr>
            <sz val="9"/>
            <color indexed="81"/>
            <rFont val="Tahoma"/>
            <family val="2"/>
          </rPr>
          <t xml:space="preserve">
modeled as infinitely large for now…
</t>
        </r>
      </text>
    </comment>
    <comment ref="N123" authorId="0" shapeId="0">
      <text>
        <r>
          <rPr>
            <b/>
            <sz val="9"/>
            <color indexed="81"/>
            <rFont val="Tahoma"/>
            <family val="2"/>
          </rPr>
          <t>Peter:</t>
        </r>
        <r>
          <rPr>
            <sz val="9"/>
            <color indexed="81"/>
            <rFont val="Tahoma"/>
            <family val="2"/>
          </rPr>
          <t xml:space="preserve">
modeled as infinitely large for now…
</t>
        </r>
      </text>
    </comment>
    <comment ref="N124" authorId="0" shapeId="0">
      <text>
        <r>
          <rPr>
            <b/>
            <sz val="9"/>
            <color indexed="81"/>
            <rFont val="Tahoma"/>
            <family val="2"/>
          </rPr>
          <t>Peter:</t>
        </r>
        <r>
          <rPr>
            <sz val="9"/>
            <color indexed="81"/>
            <rFont val="Tahoma"/>
            <family val="2"/>
          </rPr>
          <t xml:space="preserve">
modeled as infinitely large for now…
</t>
        </r>
      </text>
    </comment>
    <comment ref="N125" authorId="0" shapeId="0">
      <text>
        <r>
          <rPr>
            <b/>
            <sz val="9"/>
            <color indexed="81"/>
            <rFont val="Tahoma"/>
            <family val="2"/>
          </rPr>
          <t>Peter:</t>
        </r>
        <r>
          <rPr>
            <sz val="9"/>
            <color indexed="81"/>
            <rFont val="Tahoma"/>
            <family val="2"/>
          </rPr>
          <t xml:space="preserve">
modeled as infinitely large for now…
</t>
        </r>
      </text>
    </comment>
    <comment ref="C140" authorId="0" shapeId="0">
      <text>
        <r>
          <rPr>
            <b/>
            <sz val="9"/>
            <color indexed="81"/>
            <rFont val="Tahoma"/>
            <family val="2"/>
          </rPr>
          <t>Peter:</t>
        </r>
        <r>
          <rPr>
            <sz val="9"/>
            <color indexed="81"/>
            <rFont val="Tahoma"/>
            <family val="2"/>
          </rPr>
          <t xml:space="preserve">
Ruzycki and Tattam estimate from 2013 RR, conversion between BON and spawning grounds; includes harvest-related losses in Zone 6 but not incidental mort in L Col spt.
For convenience, this is modeled here to ensure that resident rainbows don't get hit with mainstem mortality.</t>
        </r>
      </text>
    </comment>
    <comment ref="A141" authorId="0" shapeId="0">
      <text>
        <r>
          <rPr>
            <b/>
            <sz val="9"/>
            <color indexed="81"/>
            <rFont val="Tahoma"/>
            <family val="2"/>
          </rPr>
          <t>Peter:</t>
        </r>
        <r>
          <rPr>
            <sz val="9"/>
            <color indexed="81"/>
            <rFont val="Tahoma"/>
            <family val="2"/>
          </rPr>
          <t xml:space="preserve">
1 = optimistic (70%)
2 = pessimistic (60%)
3 = average (63%), base
</t>
        </r>
      </text>
    </comment>
    <comment ref="F169" authorId="0" shapeId="0">
      <text>
        <r>
          <rPr>
            <b/>
            <sz val="9"/>
            <color indexed="81"/>
            <rFont val="Tahoma"/>
            <family val="2"/>
          </rPr>
          <t>Peter:</t>
        </r>
        <r>
          <rPr>
            <sz val="9"/>
            <color indexed="81"/>
            <rFont val="Tahoma"/>
            <family val="2"/>
          </rPr>
          <t xml:space="preserve">
These are quite large fecundities but they're consistent with some hatchery data from within the CRB...</t>
        </r>
      </text>
    </comment>
    <comment ref="G185" authorId="0" shapeId="0">
      <text>
        <r>
          <rPr>
            <b/>
            <sz val="9"/>
            <color indexed="81"/>
            <rFont val="Tahoma"/>
            <family val="2"/>
          </rPr>
          <t>Peter:</t>
        </r>
        <r>
          <rPr>
            <sz val="9"/>
            <color indexed="81"/>
            <rFont val="Tahoma"/>
            <family val="2"/>
          </rPr>
          <t xml:space="preserve">
Assume fish of any age can repeat spawn, multiple repeats are possible given the structure of the model but will be rare by virtue of the BON-BON rate...</t>
        </r>
      </text>
    </comment>
  </commentList>
</comments>
</file>

<file path=xl/comments4.xml><?xml version="1.0" encoding="utf-8"?>
<comments xmlns="http://schemas.openxmlformats.org/spreadsheetml/2006/main">
  <authors>
    <author>Peter</author>
  </authors>
  <commentList>
    <comment ref="A1" authorId="0" shapeId="0">
      <text>
        <r>
          <rPr>
            <b/>
            <sz val="9"/>
            <color indexed="81"/>
            <rFont val="Tahoma"/>
            <family val="2"/>
          </rPr>
          <t>Peter:</t>
        </r>
        <r>
          <rPr>
            <sz val="9"/>
            <color indexed="81"/>
            <rFont val="Tahoma"/>
            <family val="2"/>
          </rPr>
          <t xml:space="preserve">
To accelerate burn-in period, perhaps these should be wired to mirror demographic rates in input file and recent averages...</t>
        </r>
      </text>
    </comment>
    <comment ref="V2" authorId="0" shapeId="0">
      <text>
        <r>
          <rPr>
            <b/>
            <sz val="9"/>
            <color indexed="81"/>
            <rFont val="Tahoma"/>
            <family val="2"/>
          </rPr>
          <t>Peter:</t>
        </r>
        <r>
          <rPr>
            <sz val="9"/>
            <color indexed="81"/>
            <rFont val="Tahoma"/>
            <family val="2"/>
          </rPr>
          <t xml:space="preserve">
additional rainbows…
awssumed to decrease at a 50% rate from Y3</t>
        </r>
      </text>
    </comment>
    <comment ref="W2" authorId="0" shapeId="0">
      <text>
        <r>
          <rPr>
            <b/>
            <sz val="9"/>
            <color indexed="81"/>
            <rFont val="Tahoma"/>
            <family val="2"/>
          </rPr>
          <t>Peter:</t>
        </r>
        <r>
          <rPr>
            <sz val="9"/>
            <color indexed="81"/>
            <rFont val="Tahoma"/>
            <family val="2"/>
          </rPr>
          <t xml:space="preserve">
additional rainbows…
awssumed to decrease at a 50% rate from Y3</t>
        </r>
      </text>
    </comment>
    <comment ref="X2" authorId="0" shapeId="0">
      <text>
        <r>
          <rPr>
            <b/>
            <sz val="9"/>
            <color indexed="81"/>
            <rFont val="Tahoma"/>
            <family val="2"/>
          </rPr>
          <t>Peter:</t>
        </r>
        <r>
          <rPr>
            <sz val="9"/>
            <color indexed="81"/>
            <rFont val="Tahoma"/>
            <family val="2"/>
          </rPr>
          <t xml:space="preserve">
additional rainbows…
awssumed to decrease at a 50% rate from Y3</t>
        </r>
      </text>
    </comment>
  </commentList>
</comments>
</file>

<file path=xl/comments5.xml><?xml version="1.0" encoding="utf-8"?>
<comments xmlns="http://schemas.openxmlformats.org/spreadsheetml/2006/main">
  <authors>
    <author>Peter</author>
  </authors>
  <commentList>
    <comment ref="A1" authorId="0" shapeId="0">
      <text>
        <r>
          <rPr>
            <b/>
            <sz val="9"/>
            <color indexed="81"/>
            <rFont val="Tahoma"/>
            <family val="2"/>
          </rPr>
          <t>Peter:</t>
        </r>
        <r>
          <rPr>
            <sz val="9"/>
            <color indexed="81"/>
            <rFont val="Tahoma"/>
            <family val="2"/>
          </rPr>
          <t xml:space="preserve">
Note, to induce stochasticity in freshater life stages, use the productivity scalar = 1.00 and add a sigma aloing the lines of what you'd like. This will cover the bases, although it's slightly less than desirable…
Also, note that this requires some fancy footwork to ensure that the realized survival (i.e., S * (productivity scalar + deviate)) remains &lt; 1.00...</t>
        </r>
      </text>
    </comment>
    <comment ref="A45" authorId="0" shapeId="0">
      <text>
        <r>
          <rPr>
            <b/>
            <sz val="9"/>
            <color indexed="81"/>
            <rFont val="Tahoma"/>
            <family val="2"/>
          </rPr>
          <t>Peter:</t>
        </r>
        <r>
          <rPr>
            <sz val="9"/>
            <color indexed="81"/>
            <rFont val="Tahoma"/>
            <family val="2"/>
          </rPr>
          <t xml:space="preserve">
1 = use NREI</t>
        </r>
      </text>
    </comment>
    <comment ref="C45" authorId="0" shapeId="0">
      <text>
        <r>
          <rPr>
            <b/>
            <sz val="9"/>
            <color indexed="81"/>
            <rFont val="Tahoma"/>
            <family val="2"/>
          </rPr>
          <t>Peter:</t>
        </r>
        <r>
          <rPr>
            <sz val="9"/>
            <color indexed="81"/>
            <rFont val="Tahoma"/>
            <family val="2"/>
          </rPr>
          <t xml:space="preserve">
Is basin capacity by approximate weighted average fecudity (i.e., age comp * fec by age); is very close to 5500, use this.</t>
        </r>
      </text>
    </comment>
    <comment ref="D45" authorId="0" shapeId="0">
      <text>
        <r>
          <rPr>
            <b/>
            <sz val="9"/>
            <color indexed="81"/>
            <rFont val="Tahoma"/>
            <family val="2"/>
          </rPr>
          <t>Peter:</t>
        </r>
        <r>
          <rPr>
            <sz val="9"/>
            <color indexed="81"/>
            <rFont val="Tahoma"/>
            <family val="2"/>
          </rPr>
          <t xml:space="preserve">
modeled as infinitely large.</t>
        </r>
      </text>
    </comment>
    <comment ref="G45" authorId="0" shapeId="0">
      <text>
        <r>
          <rPr>
            <b/>
            <sz val="9"/>
            <color indexed="81"/>
            <rFont val="Tahoma"/>
            <family val="2"/>
          </rPr>
          <t>Peter:</t>
        </r>
        <r>
          <rPr>
            <sz val="9"/>
            <color indexed="81"/>
            <rFont val="Tahoma"/>
            <family val="2"/>
          </rPr>
          <t xml:space="preserve">
modeled as infinitely large.</t>
        </r>
      </text>
    </comment>
    <comment ref="AN46" authorId="0" shapeId="0">
      <text>
        <r>
          <rPr>
            <b/>
            <sz val="9"/>
            <color indexed="81"/>
            <rFont val="Tahoma"/>
            <family val="2"/>
          </rPr>
          <t>Peter:</t>
        </r>
        <r>
          <rPr>
            <sz val="9"/>
            <color indexed="81"/>
            <rFont val="Tahoma"/>
            <family val="2"/>
          </rPr>
          <t xml:space="preserve">
enter basin redd capacity here, fecundity is 5500.</t>
        </r>
      </text>
    </comment>
    <comment ref="D80" authorId="0" shapeId="0">
      <text>
        <r>
          <rPr>
            <b/>
            <sz val="9"/>
            <color indexed="81"/>
            <rFont val="Tahoma"/>
            <family val="2"/>
          </rPr>
          <t>Peter:</t>
        </r>
        <r>
          <rPr>
            <sz val="9"/>
            <color indexed="81"/>
            <rFont val="Tahoma"/>
            <family val="2"/>
          </rPr>
          <t xml:space="preserve">
This is modeled as 100% to avoid applying mainstem mort to resident rainbows; BON-trib losses are now modeled as harvest below.</t>
        </r>
      </text>
    </comment>
    <comment ref="D81" authorId="0" shapeId="0">
      <text>
        <r>
          <rPr>
            <b/>
            <sz val="9"/>
            <color indexed="81"/>
            <rFont val="Tahoma"/>
            <family val="2"/>
          </rPr>
          <t>Peter:</t>
        </r>
        <r>
          <rPr>
            <sz val="9"/>
            <color indexed="81"/>
            <rFont val="Tahoma"/>
            <family val="2"/>
          </rPr>
          <t xml:space="preserve">
This is set to 1.00 given that any separation of egg-to-parr will be arbitrayr; thus N[4] will soak up egg-to-parr in its </t>
        </r>
      </text>
    </comment>
    <comment ref="D82" authorId="0" shapeId="0">
      <text>
        <r>
          <rPr>
            <b/>
            <sz val="9"/>
            <color indexed="81"/>
            <rFont val="Tahoma"/>
            <family val="2"/>
          </rPr>
          <t>Peter:</t>
        </r>
        <r>
          <rPr>
            <sz val="9"/>
            <color indexed="81"/>
            <rFont val="Tahoma"/>
            <family val="2"/>
          </rPr>
          <t xml:space="preserve">
this is combined egg-to-parr survival backed out given observed smolts/spawner, spawner abundance (sex ratio, fecundity too), and parr/presmolt survival.
Currently, we use proxy values based on SF productivity given the MF productivity appears biased low.</t>
        </r>
      </text>
    </comment>
    <comment ref="D84" authorId="0" shapeId="0">
      <text>
        <r>
          <rPr>
            <b/>
            <sz val="9"/>
            <color indexed="81"/>
            <rFont val="Tahoma"/>
            <family val="2"/>
          </rPr>
          <t>Peter:</t>
        </r>
        <r>
          <rPr>
            <sz val="9"/>
            <color indexed="81"/>
            <rFont val="Tahoma"/>
            <family val="2"/>
          </rPr>
          <t xml:space="preserve">
2004-2013 mean CJS estimate from MFJD trap to JD dam.</t>
        </r>
      </text>
    </comment>
    <comment ref="D85" authorId="0" shapeId="0">
      <text>
        <r>
          <rPr>
            <b/>
            <sz val="9"/>
            <color indexed="81"/>
            <rFont val="Tahoma"/>
            <family val="2"/>
          </rPr>
          <t>Peter:</t>
        </r>
        <r>
          <rPr>
            <sz val="9"/>
            <color indexed="81"/>
            <rFont val="Tahoma"/>
            <family val="2"/>
          </rPr>
          <t xml:space="preserve">
this is applied in same time step as smolt, must be survival through dams whereas Sr[6] is to mainstem…
Here we model a single trib to JDA value; the use SARs to get  back to BON...</t>
        </r>
      </text>
    </comment>
    <comment ref="D86" authorId="0" shapeId="0">
      <text>
        <r>
          <rPr>
            <b/>
            <sz val="9"/>
            <color indexed="81"/>
            <rFont val="Tahoma"/>
            <family val="2"/>
          </rPr>
          <t>Peter:</t>
        </r>
        <r>
          <rPr>
            <sz val="9"/>
            <color indexed="81"/>
            <rFont val="Tahoma"/>
            <family val="2"/>
          </rPr>
          <t xml:space="preserve">
these were generated via MCMC/Bayesian estimation in WinBUGS…
together they produce JDA to BON SARs that are on average consistent with what's seen on the ground (CSS ests)</t>
        </r>
      </text>
    </comment>
    <comment ref="D89" authorId="0" shapeId="0">
      <text>
        <r>
          <rPr>
            <b/>
            <sz val="9"/>
            <color indexed="81"/>
            <rFont val="Tahoma"/>
            <family val="2"/>
          </rPr>
          <t>Peter:</t>
        </r>
        <r>
          <rPr>
            <sz val="9"/>
            <color indexed="81"/>
            <rFont val="Tahoma"/>
            <family val="2"/>
          </rPr>
          <t xml:space="preserve">
assume constant after OA3, but it doesn't really matter given the way the model processes repeat spawners.</t>
        </r>
      </text>
    </comment>
    <comment ref="B100" authorId="0" shapeId="0">
      <text>
        <r>
          <rPr>
            <b/>
            <sz val="9"/>
            <color indexed="81"/>
            <rFont val="Tahoma"/>
            <family val="2"/>
          </rPr>
          <t>Peter:</t>
        </r>
        <r>
          <rPr>
            <sz val="9"/>
            <color indexed="81"/>
            <rFont val="Tahoma"/>
            <family val="2"/>
          </rPr>
          <t xml:space="preserve">
number is actually true age - 1 (i.e., years spent as presmolt)</t>
        </r>
      </text>
    </comment>
    <comment ref="H101" authorId="0" shapeId="0">
      <text>
        <r>
          <rPr>
            <b/>
            <sz val="9"/>
            <color indexed="81"/>
            <rFont val="Tahoma"/>
            <family val="2"/>
          </rPr>
          <t>Peter:</t>
        </r>
        <r>
          <rPr>
            <sz val="9"/>
            <color indexed="81"/>
            <rFont val="Tahoma"/>
            <family val="2"/>
          </rPr>
          <t xml:space="preserve">
See workup on e and f sheets for full details on sourcing and gender bias in calc's</t>
        </r>
      </text>
    </comment>
    <comment ref="H103" authorId="0" shapeId="0">
      <text>
        <r>
          <rPr>
            <b/>
            <sz val="9"/>
            <color indexed="81"/>
            <rFont val="Tahoma"/>
            <family val="2"/>
          </rPr>
          <t>Peter:</t>
        </r>
        <r>
          <rPr>
            <sz val="9"/>
            <color indexed="81"/>
            <rFont val="Tahoma"/>
            <family val="2"/>
          </rPr>
          <t xml:space="preserve">
smolting ends at age 3 for MFJD (4s occur but are rare)</t>
        </r>
      </text>
    </comment>
    <comment ref="C104" authorId="0" shapeId="0">
      <text>
        <r>
          <rPr>
            <b/>
            <sz val="9"/>
            <color indexed="81"/>
            <rFont val="Tahoma"/>
            <family val="2"/>
          </rPr>
          <t>Peter:</t>
        </r>
        <r>
          <rPr>
            <sz val="9"/>
            <color indexed="81"/>
            <rFont val="Tahoma"/>
            <family val="2"/>
          </rPr>
          <t xml:space="preserve">
assume constant survival after age 3 but that everyone dies at age 6.</t>
        </r>
      </text>
    </comment>
    <comment ref="D116" authorId="0" shapeId="0">
      <text>
        <r>
          <rPr>
            <b/>
            <sz val="9"/>
            <color indexed="81"/>
            <rFont val="Tahoma"/>
            <family val="2"/>
          </rPr>
          <t>Peter:</t>
        </r>
        <r>
          <rPr>
            <sz val="9"/>
            <color indexed="81"/>
            <rFont val="Tahoma"/>
            <family val="2"/>
          </rPr>
          <t xml:space="preserve">
these are estimates derived in conjunction with ocean survivals...</t>
        </r>
      </text>
    </comment>
    <comment ref="I116" authorId="0" shapeId="0">
      <text>
        <r>
          <rPr>
            <b/>
            <sz val="9"/>
            <color indexed="81"/>
            <rFont val="Tahoma"/>
            <family val="2"/>
          </rPr>
          <t>Peter:</t>
        </r>
        <r>
          <rPr>
            <sz val="9"/>
            <color indexed="81"/>
            <rFont val="Tahoma"/>
            <family val="2"/>
          </rPr>
          <t xml:space="preserve">
these are estimates derived in conjunction with ocean survivals...</t>
        </r>
      </text>
    </comment>
    <comment ref="N116" authorId="0" shapeId="0">
      <text>
        <r>
          <rPr>
            <b/>
            <sz val="9"/>
            <color indexed="81"/>
            <rFont val="Tahoma"/>
            <family val="2"/>
          </rPr>
          <t>Peter:</t>
        </r>
        <r>
          <rPr>
            <sz val="9"/>
            <color indexed="81"/>
            <rFont val="Tahoma"/>
            <family val="2"/>
          </rPr>
          <t xml:space="preserve">
modeled as infinitely large for now…
</t>
        </r>
      </text>
    </comment>
    <comment ref="N117" authorId="0" shapeId="0">
      <text>
        <r>
          <rPr>
            <b/>
            <sz val="9"/>
            <color indexed="81"/>
            <rFont val="Tahoma"/>
            <family val="2"/>
          </rPr>
          <t>Peter:</t>
        </r>
        <r>
          <rPr>
            <sz val="9"/>
            <color indexed="81"/>
            <rFont val="Tahoma"/>
            <family val="2"/>
          </rPr>
          <t xml:space="preserve">
modeled as infinitely large for now…
</t>
        </r>
      </text>
    </comment>
    <comment ref="N118" authorId="0" shapeId="0">
      <text>
        <r>
          <rPr>
            <b/>
            <sz val="9"/>
            <color indexed="81"/>
            <rFont val="Tahoma"/>
            <family val="2"/>
          </rPr>
          <t>Peter:</t>
        </r>
        <r>
          <rPr>
            <sz val="9"/>
            <color indexed="81"/>
            <rFont val="Tahoma"/>
            <family val="2"/>
          </rPr>
          <t xml:space="preserve">
modeled as infinitely large for now…
</t>
        </r>
      </text>
    </comment>
    <comment ref="N119" authorId="0" shapeId="0">
      <text>
        <r>
          <rPr>
            <b/>
            <sz val="9"/>
            <color indexed="81"/>
            <rFont val="Tahoma"/>
            <family val="2"/>
          </rPr>
          <t>Peter:</t>
        </r>
        <r>
          <rPr>
            <sz val="9"/>
            <color indexed="81"/>
            <rFont val="Tahoma"/>
            <family val="2"/>
          </rPr>
          <t xml:space="preserve">
modeled as infinitely large for now…
</t>
        </r>
      </text>
    </comment>
    <comment ref="N120" authorId="0" shapeId="0">
      <text>
        <r>
          <rPr>
            <b/>
            <sz val="9"/>
            <color indexed="81"/>
            <rFont val="Tahoma"/>
            <family val="2"/>
          </rPr>
          <t>Peter:</t>
        </r>
        <r>
          <rPr>
            <sz val="9"/>
            <color indexed="81"/>
            <rFont val="Tahoma"/>
            <family val="2"/>
          </rPr>
          <t xml:space="preserve">
modeled as infinitely large for now…
</t>
        </r>
      </text>
    </comment>
    <comment ref="N121" authorId="0" shapeId="0">
      <text>
        <r>
          <rPr>
            <b/>
            <sz val="9"/>
            <color indexed="81"/>
            <rFont val="Tahoma"/>
            <family val="2"/>
          </rPr>
          <t>Peter:</t>
        </r>
        <r>
          <rPr>
            <sz val="9"/>
            <color indexed="81"/>
            <rFont val="Tahoma"/>
            <family val="2"/>
          </rPr>
          <t xml:space="preserve">
modeled as infinitely large for now…
</t>
        </r>
      </text>
    </comment>
    <comment ref="N122" authorId="0" shapeId="0">
      <text>
        <r>
          <rPr>
            <b/>
            <sz val="9"/>
            <color indexed="81"/>
            <rFont val="Tahoma"/>
            <family val="2"/>
          </rPr>
          <t>Peter:</t>
        </r>
        <r>
          <rPr>
            <sz val="9"/>
            <color indexed="81"/>
            <rFont val="Tahoma"/>
            <family val="2"/>
          </rPr>
          <t xml:space="preserve">
modeled as infinitely large for now…
</t>
        </r>
      </text>
    </comment>
    <comment ref="N123" authorId="0" shapeId="0">
      <text>
        <r>
          <rPr>
            <b/>
            <sz val="9"/>
            <color indexed="81"/>
            <rFont val="Tahoma"/>
            <family val="2"/>
          </rPr>
          <t>Peter:</t>
        </r>
        <r>
          <rPr>
            <sz val="9"/>
            <color indexed="81"/>
            <rFont val="Tahoma"/>
            <family val="2"/>
          </rPr>
          <t xml:space="preserve">
modeled as infinitely large for now…
</t>
        </r>
      </text>
    </comment>
    <comment ref="N124" authorId="0" shapeId="0">
      <text>
        <r>
          <rPr>
            <b/>
            <sz val="9"/>
            <color indexed="81"/>
            <rFont val="Tahoma"/>
            <family val="2"/>
          </rPr>
          <t>Peter:</t>
        </r>
        <r>
          <rPr>
            <sz val="9"/>
            <color indexed="81"/>
            <rFont val="Tahoma"/>
            <family val="2"/>
          </rPr>
          <t xml:space="preserve">
modeled as infinitely large for now…
</t>
        </r>
      </text>
    </comment>
    <comment ref="N125" authorId="0" shapeId="0">
      <text>
        <r>
          <rPr>
            <b/>
            <sz val="9"/>
            <color indexed="81"/>
            <rFont val="Tahoma"/>
            <family val="2"/>
          </rPr>
          <t>Peter:</t>
        </r>
        <r>
          <rPr>
            <sz val="9"/>
            <color indexed="81"/>
            <rFont val="Tahoma"/>
            <family val="2"/>
          </rPr>
          <t xml:space="preserve">
modeled as infinitely large for now…
</t>
        </r>
      </text>
    </comment>
    <comment ref="C140" authorId="0" shapeId="0">
      <text>
        <r>
          <rPr>
            <b/>
            <sz val="9"/>
            <color indexed="81"/>
            <rFont val="Tahoma"/>
            <family val="2"/>
          </rPr>
          <t>Peter:</t>
        </r>
        <r>
          <rPr>
            <sz val="9"/>
            <color indexed="81"/>
            <rFont val="Tahoma"/>
            <family val="2"/>
          </rPr>
          <t xml:space="preserve">
Ruzycki and Tattam estimate from 2013 RR, conversion between BON and spawning grounds; includes harvest-related losses in Zone 6 but not incidental mort in L Col spt.
For convenience, this is modeled here to ensure that resident rainbows don't get hit with mainstem mortality.</t>
        </r>
      </text>
    </comment>
    <comment ref="D148" authorId="0" shapeId="0">
      <text>
        <r>
          <rPr>
            <b/>
            <sz val="9"/>
            <color indexed="81"/>
            <rFont val="Tahoma"/>
            <family val="2"/>
          </rPr>
          <t>Peter:</t>
        </r>
        <r>
          <rPr>
            <sz val="9"/>
            <color indexed="81"/>
            <rFont val="Tahoma"/>
            <family val="2"/>
          </rPr>
          <t xml:space="preserve">
This may be where we model an unknown but consistently present resident component...</t>
        </r>
      </text>
    </comment>
    <comment ref="F169" authorId="0" shapeId="0">
      <text>
        <r>
          <rPr>
            <b/>
            <sz val="9"/>
            <color indexed="81"/>
            <rFont val="Tahoma"/>
            <family val="2"/>
          </rPr>
          <t>Peter:</t>
        </r>
        <r>
          <rPr>
            <sz val="9"/>
            <color indexed="81"/>
            <rFont val="Tahoma"/>
            <family val="2"/>
          </rPr>
          <t xml:space="preserve">
These are quite large fecundities but they're consistent with some hatchery data from within the CRB...</t>
        </r>
      </text>
    </comment>
    <comment ref="G185" authorId="0" shapeId="0">
      <text>
        <r>
          <rPr>
            <b/>
            <sz val="9"/>
            <color indexed="81"/>
            <rFont val="Tahoma"/>
            <family val="2"/>
          </rPr>
          <t>Peter:</t>
        </r>
        <r>
          <rPr>
            <sz val="9"/>
            <color indexed="81"/>
            <rFont val="Tahoma"/>
            <family val="2"/>
          </rPr>
          <t xml:space="preserve">
Assume fish of any age can repeat spawn, multiple repeats are possible given the structure of the model but will be rare by virtue of the BON-BON rate...</t>
        </r>
      </text>
    </comment>
  </commentList>
</comments>
</file>

<file path=xl/comments6.xml><?xml version="1.0" encoding="utf-8"?>
<comments xmlns="http://schemas.openxmlformats.org/spreadsheetml/2006/main">
  <authors>
    <author>Peter</author>
  </authors>
  <commentList>
    <comment ref="AN2" authorId="0" shapeId="0">
      <text>
        <r>
          <rPr>
            <b/>
            <sz val="9"/>
            <color indexed="81"/>
            <rFont val="Tahoma"/>
            <family val="2"/>
          </rPr>
          <t>Peter:</t>
        </r>
        <r>
          <rPr>
            <sz val="9"/>
            <color indexed="81"/>
            <rFont val="Tahoma"/>
            <family val="2"/>
          </rPr>
          <t xml:space="preserve">
linked to heat source values in yellow columns to right…
It's a slightly inefficient 2-lstep lookup...</t>
        </r>
      </text>
    </comment>
    <comment ref="AR3" authorId="0" shapeId="0">
      <text>
        <r>
          <rPr>
            <b/>
            <sz val="9"/>
            <color indexed="81"/>
            <rFont val="Tahoma"/>
            <family val="2"/>
          </rPr>
          <t>Peter:</t>
        </r>
        <r>
          <rPr>
            <sz val="9"/>
            <color indexed="81"/>
            <rFont val="Tahoma"/>
            <family val="2"/>
          </rPr>
          <t xml:space="preserve">
NREI maxT predictor</t>
        </r>
      </text>
    </comment>
    <comment ref="AT3" authorId="0" shapeId="0">
      <text>
        <r>
          <rPr>
            <b/>
            <sz val="9"/>
            <color indexed="81"/>
            <rFont val="Tahoma"/>
            <family val="2"/>
          </rPr>
          <t>Peter:</t>
        </r>
        <r>
          <rPr>
            <sz val="9"/>
            <color indexed="81"/>
            <rFont val="Tahoma"/>
            <family val="2"/>
          </rPr>
          <t xml:space="preserve">
Bankfull predictor</t>
        </r>
      </text>
    </comment>
    <comment ref="AV3" authorId="0" shapeId="0">
      <text>
        <r>
          <rPr>
            <b/>
            <sz val="9"/>
            <color indexed="81"/>
            <rFont val="Tahoma"/>
            <family val="2"/>
          </rPr>
          <t>Peter:</t>
        </r>
        <r>
          <rPr>
            <sz val="9"/>
            <color indexed="81"/>
            <rFont val="Tahoma"/>
            <family val="2"/>
          </rPr>
          <t xml:space="preserve">
NREI maxT predictor</t>
        </r>
      </text>
    </comment>
    <comment ref="AW3" authorId="0" shapeId="0">
      <text>
        <r>
          <rPr>
            <b/>
            <sz val="9"/>
            <color indexed="81"/>
            <rFont val="Tahoma"/>
            <family val="2"/>
          </rPr>
          <t>Peter:</t>
        </r>
        <r>
          <rPr>
            <sz val="9"/>
            <color indexed="81"/>
            <rFont val="Tahoma"/>
            <family val="2"/>
          </rPr>
          <t xml:space="preserve">
NREI maxT predictor</t>
        </r>
      </text>
    </comment>
    <comment ref="AR4" authorId="0" shapeId="0">
      <text>
        <r>
          <rPr>
            <b/>
            <sz val="9"/>
            <color indexed="81"/>
            <rFont val="Tahoma"/>
            <family val="2"/>
          </rPr>
          <t>Peter:</t>
        </r>
        <r>
          <rPr>
            <sz val="9"/>
            <color indexed="81"/>
            <rFont val="Tahoma"/>
            <family val="2"/>
          </rPr>
          <t xml:space="preserve">
this site is a mainstem braid and will be zeroed out anyway…give high T to ensure</t>
        </r>
      </text>
    </comment>
    <comment ref="AT4" authorId="0" shapeId="0">
      <text>
        <r>
          <rPr>
            <b/>
            <sz val="9"/>
            <color indexed="81"/>
            <rFont val="Tahoma"/>
            <family val="2"/>
          </rPr>
          <t>Peter:</t>
        </r>
        <r>
          <rPr>
            <sz val="9"/>
            <color indexed="81"/>
            <rFont val="Tahoma"/>
            <family val="2"/>
          </rPr>
          <t xml:space="preserve">
these are small side channels/braids in the upper mainstem. Although it's not perfectly fair, I've left them at 0 (i.e., they effectively don't exist in the eyes of calculations)...</t>
        </r>
      </text>
    </comment>
    <comment ref="AV4" authorId="0" shapeId="0">
      <text>
        <r>
          <rPr>
            <b/>
            <sz val="9"/>
            <color indexed="81"/>
            <rFont val="Tahoma"/>
            <family val="2"/>
          </rPr>
          <t>Peter:</t>
        </r>
        <r>
          <rPr>
            <sz val="9"/>
            <color indexed="81"/>
            <rFont val="Tahoma"/>
            <family val="2"/>
          </rPr>
          <t xml:space="preserve">
this site is a mainstem braid and will be zeroed out anyway…give high T to ensure</t>
        </r>
      </text>
    </comment>
    <comment ref="AW4" authorId="0" shapeId="0">
      <text>
        <r>
          <rPr>
            <b/>
            <sz val="9"/>
            <color indexed="81"/>
            <rFont val="Tahoma"/>
            <family val="2"/>
          </rPr>
          <t>Peter:</t>
        </r>
        <r>
          <rPr>
            <sz val="9"/>
            <color indexed="81"/>
            <rFont val="Tahoma"/>
            <family val="2"/>
          </rPr>
          <t xml:space="preserve">
this site is a mainstem braid and will be zeroed out anyway…give high T to ensure</t>
        </r>
      </text>
    </comment>
    <comment ref="AX4" authorId="0" shapeId="0">
      <text>
        <r>
          <rPr>
            <b/>
            <sz val="9"/>
            <color indexed="81"/>
            <rFont val="Tahoma"/>
            <family val="2"/>
          </rPr>
          <t>Peter:</t>
        </r>
        <r>
          <rPr>
            <sz val="9"/>
            <color indexed="81"/>
            <rFont val="Tahoma"/>
            <family val="2"/>
          </rPr>
          <t xml:space="preserve">
this site is a mainstem braid and will be zeroed out anyway…give high T to ensure</t>
        </r>
      </text>
    </comment>
    <comment ref="AR8" authorId="0" shapeId="0">
      <text>
        <r>
          <rPr>
            <b/>
            <sz val="9"/>
            <color indexed="81"/>
            <rFont val="Tahoma"/>
            <family val="2"/>
          </rPr>
          <t>Peter:</t>
        </r>
        <r>
          <rPr>
            <sz val="9"/>
            <color indexed="81"/>
            <rFont val="Tahoma"/>
            <family val="2"/>
          </rPr>
          <t xml:space="preserve">
not included in Kris's layer; used average for next trib downstream.</t>
        </r>
      </text>
    </comment>
    <comment ref="AW8" authorId="0" shapeId="0">
      <text>
        <r>
          <rPr>
            <b/>
            <sz val="9"/>
            <color indexed="81"/>
            <rFont val="Tahoma"/>
            <family val="2"/>
          </rPr>
          <t>Peter:</t>
        </r>
        <r>
          <rPr>
            <sz val="9"/>
            <color indexed="81"/>
            <rFont val="Tahoma"/>
            <family val="2"/>
          </rPr>
          <t xml:space="preserve">
not included in Kris's layer; used average for next trib downstream.</t>
        </r>
      </text>
    </comment>
    <comment ref="AX8" authorId="0" shapeId="0">
      <text>
        <r>
          <rPr>
            <b/>
            <sz val="9"/>
            <color indexed="81"/>
            <rFont val="Tahoma"/>
            <family val="2"/>
          </rPr>
          <t>Peter:</t>
        </r>
        <r>
          <rPr>
            <sz val="9"/>
            <color indexed="81"/>
            <rFont val="Tahoma"/>
            <family val="2"/>
          </rPr>
          <t xml:space="preserve">
not included in Kris's layer; used average for next trib downstream.</t>
        </r>
      </text>
    </comment>
    <comment ref="P77" authorId="0" shapeId="0">
      <text>
        <r>
          <rPr>
            <b/>
            <sz val="9"/>
            <color indexed="81"/>
            <rFont val="Tahoma"/>
            <family val="2"/>
          </rPr>
          <t>Peter:</t>
        </r>
        <r>
          <rPr>
            <sz val="9"/>
            <color indexed="81"/>
            <rFont val="Tahoma"/>
            <family val="2"/>
          </rPr>
          <t xml:space="preserve">
braid that was missing BF--takes value of above/below</t>
        </r>
      </text>
    </comment>
  </commentList>
</comments>
</file>

<file path=xl/comments7.xml><?xml version="1.0" encoding="utf-8"?>
<comments xmlns="http://schemas.openxmlformats.org/spreadsheetml/2006/main">
  <authors>
    <author>Peter</author>
    <author>Pete</author>
  </authors>
  <commentList>
    <comment ref="B2" authorId="0" shapeId="0">
      <text>
        <r>
          <rPr>
            <b/>
            <sz val="9"/>
            <color indexed="81"/>
            <rFont val="Tahoma"/>
            <family val="2"/>
          </rPr>
          <t>Peter:</t>
        </r>
        <r>
          <rPr>
            <sz val="9"/>
            <color indexed="81"/>
            <rFont val="Tahoma"/>
            <family val="2"/>
          </rPr>
          <t xml:space="preserve">
spawners from Ian Tattam sm/sp file
Tattam17Feb15_Scale_Aging_Data_for_StS_Smolts per spawner</t>
        </r>
      </text>
    </comment>
    <comment ref="I2" authorId="1" shapeId="0">
      <text>
        <r>
          <rPr>
            <b/>
            <sz val="9"/>
            <color indexed="81"/>
            <rFont val="Tahoma"/>
            <family val="2"/>
          </rPr>
          <t>Pete:</t>
        </r>
        <r>
          <rPr>
            <sz val="9"/>
            <color indexed="81"/>
            <rFont val="Tahoma"/>
            <family val="2"/>
          </rPr>
          <t xml:space="preserve">
This uses the average size at BON, a 60:40 sex ratio, and the age comp of a given brood year</t>
        </r>
      </text>
    </comment>
    <comment ref="A3" authorId="0" shapeId="0">
      <text>
        <r>
          <rPr>
            <b/>
            <sz val="9"/>
            <color indexed="81"/>
            <rFont val="Tahoma"/>
            <family val="2"/>
          </rPr>
          <t>Peter:</t>
        </r>
        <r>
          <rPr>
            <sz val="9"/>
            <color indexed="81"/>
            <rFont val="Tahoma"/>
            <family val="2"/>
          </rPr>
          <t xml:space="preserve">
this is the spring in which eggs went into gravel, not run year (summer/fall before)</t>
        </r>
      </text>
    </comment>
    <comment ref="L10" authorId="0" shapeId="0">
      <text>
        <r>
          <rPr>
            <b/>
            <sz val="9"/>
            <color indexed="81"/>
            <rFont val="Tahoma"/>
            <family val="2"/>
          </rPr>
          <t>Peter:</t>
        </r>
        <r>
          <rPr>
            <sz val="9"/>
            <color indexed="81"/>
            <rFont val="Tahoma"/>
            <family val="2"/>
          </rPr>
          <t xml:space="preserve">
fecundity of average individual given L-f relation, average age comp, and size-at-age.</t>
        </r>
      </text>
    </comment>
    <comment ref="A13" authorId="0" shapeId="0">
      <text>
        <r>
          <rPr>
            <b/>
            <sz val="9"/>
            <color indexed="81"/>
            <rFont val="Tahoma"/>
            <family val="2"/>
          </rPr>
          <t>Peter:</t>
        </r>
        <r>
          <rPr>
            <sz val="9"/>
            <color indexed="81"/>
            <rFont val="Tahoma"/>
            <family val="2"/>
          </rPr>
          <t xml:space="preserve">
This projected egg-to-fry survival is no longer used...</t>
        </r>
      </text>
    </comment>
  </commentList>
</comments>
</file>

<file path=xl/comments8.xml><?xml version="1.0" encoding="utf-8"?>
<comments xmlns="http://schemas.openxmlformats.org/spreadsheetml/2006/main">
  <authors>
    <author>Peter</author>
  </authors>
  <commentList>
    <comment ref="C6" authorId="0" shapeId="0">
      <text>
        <r>
          <rPr>
            <b/>
            <sz val="9"/>
            <color indexed="81"/>
            <rFont val="Tahoma"/>
            <family val="2"/>
          </rPr>
          <t>Peter:</t>
        </r>
        <r>
          <rPr>
            <sz val="9"/>
            <color indexed="81"/>
            <rFont val="Tahoma"/>
            <family val="2"/>
          </rPr>
          <t xml:space="preserve">
Assume the point estimate from predicted egg-to-fry S</t>
        </r>
      </text>
    </comment>
  </commentList>
</comments>
</file>

<file path=xl/comments9.xml><?xml version="1.0" encoding="utf-8"?>
<comments xmlns="http://schemas.openxmlformats.org/spreadsheetml/2006/main">
  <authors>
    <author>Peter</author>
  </authors>
  <commentList>
    <comment ref="G2" authorId="0" shapeId="0">
      <text>
        <r>
          <rPr>
            <b/>
            <sz val="9"/>
            <color indexed="81"/>
            <rFont val="Tahoma"/>
            <family val="2"/>
          </rPr>
          <t>Peter:</t>
        </r>
        <r>
          <rPr>
            <sz val="9"/>
            <color indexed="81"/>
            <rFont val="Tahoma"/>
            <family val="2"/>
          </rPr>
          <t xml:space="preserve">
Carl's parr est's go here.
Placeholder = 80% of presmolt estimate...</t>
        </r>
      </text>
    </comment>
  </commentList>
</comments>
</file>

<file path=xl/sharedStrings.xml><?xml version="1.0" encoding="utf-8"?>
<sst xmlns="http://schemas.openxmlformats.org/spreadsheetml/2006/main" count="5669" uniqueCount="1164">
  <si>
    <t>Site Name and Notes</t>
  </si>
  <si>
    <t>Site Name</t>
  </si>
  <si>
    <t>Middle Fork John Day</t>
  </si>
  <si>
    <t>Notes:</t>
  </si>
  <si>
    <t>Note:  All formatting will be lost when saving as a .csv file.</t>
  </si>
  <si>
    <t>Total Area (sq meters) within each land use classification</t>
  </si>
  <si>
    <t>Ak_x_Lqk: Land Cover by Site (Table 2-2)</t>
  </si>
  <si>
    <t>LU_Classification</t>
  </si>
  <si>
    <t>Ak_x_Lqk mean</t>
  </si>
  <si>
    <t>sigma.r</t>
  </si>
  <si>
    <t>sigma.t</t>
  </si>
  <si>
    <t>sigma.s</t>
  </si>
  <si>
    <t>Sigma</t>
  </si>
  <si>
    <t>Future Ak_x_Lqk mean</t>
  </si>
  <si>
    <t>Rate Parameter (lambda)</t>
  </si>
  <si>
    <t>Forest</t>
  </si>
  <si>
    <t>(we're using linear habitat)</t>
  </si>
  <si>
    <t xml:space="preserve"> </t>
  </si>
  <si>
    <t>LU2</t>
  </si>
  <si>
    <t>LU3</t>
  </si>
  <si>
    <t>LU4</t>
  </si>
  <si>
    <t>LU5</t>
  </si>
  <si>
    <t>LU6</t>
  </si>
  <si>
    <t>LU7</t>
  </si>
  <si>
    <t>LU8</t>
  </si>
  <si>
    <t>LU9</t>
  </si>
  <si>
    <t>LU10</t>
  </si>
  <si>
    <t>LU11</t>
  </si>
  <si>
    <t>LU12</t>
  </si>
  <si>
    <t>Proportion of Each Defined Habitat Type in Each Land Use Classification</t>
  </si>
  <si>
    <t>Table 2_3 (M[j,q])</t>
  </si>
  <si>
    <t>Stochasticity  Inputs</t>
  </si>
  <si>
    <t>Future Targets</t>
  </si>
  <si>
    <t>Rate Param</t>
  </si>
  <si>
    <t>Depositional</t>
  </si>
  <si>
    <t>Source</t>
  </si>
  <si>
    <t>Transport</t>
  </si>
  <si>
    <t>HT4</t>
  </si>
  <si>
    <t>HT5</t>
  </si>
  <si>
    <t>HT6</t>
  </si>
  <si>
    <t>HT7</t>
  </si>
  <si>
    <t>HT8</t>
  </si>
  <si>
    <t>HT9</t>
  </si>
  <si>
    <t>HT10</t>
  </si>
  <si>
    <t>HT11</t>
  </si>
  <si>
    <t>HT12</t>
  </si>
  <si>
    <t>Alpha.R</t>
  </si>
  <si>
    <t>Alpha.T</t>
  </si>
  <si>
    <t>Alpha.S</t>
  </si>
  <si>
    <t>Alpha</t>
  </si>
  <si>
    <t>Lambda</t>
  </si>
  <si>
    <t>Table 2.4.  Mean Capacity Estimates by Habitat Type (D, individuals per sq. m)</t>
  </si>
  <si>
    <t>Means</t>
  </si>
  <si>
    <t>Uncertainty (run-run standard deviation)</t>
  </si>
  <si>
    <t>SigmaT.Year</t>
  </si>
  <si>
    <t>SigmaT.Site</t>
  </si>
  <si>
    <t>Sigma within site</t>
  </si>
  <si>
    <t>mu</t>
  </si>
  <si>
    <t>sigma</t>
  </si>
  <si>
    <t>Future Capacity Target</t>
  </si>
  <si>
    <t>Capacity Change Rate Parameter</t>
  </si>
  <si>
    <t>Habitat Type</t>
  </si>
  <si>
    <t>egg</t>
  </si>
  <si>
    <t>Fry</t>
  </si>
  <si>
    <t>Parr</t>
  </si>
  <si>
    <t>Pre-Smolt</t>
  </si>
  <si>
    <t>Smolt</t>
  </si>
  <si>
    <t>Egg</t>
  </si>
  <si>
    <t>parr</t>
  </si>
  <si>
    <t>presmolt</t>
  </si>
  <si>
    <t>E[i,q] = productivity scalar for life stage i in land use type q</t>
  </si>
  <si>
    <t>SigmaT.SubSite</t>
  </si>
  <si>
    <t>Future Productivity Target</t>
  </si>
  <si>
    <t>Table 2_5:  Survival by Life Stage</t>
  </si>
  <si>
    <t>(Future target stuff)</t>
  </si>
  <si>
    <t>Life Stage</t>
  </si>
  <si>
    <t>prob. Survival to Next Stage</t>
  </si>
  <si>
    <t>AlphaR.N</t>
  </si>
  <si>
    <t>AlphaT.N</t>
  </si>
  <si>
    <t>AlphaS.N</t>
  </si>
  <si>
    <t>Alpha.N</t>
  </si>
  <si>
    <t>Future Target Survival</t>
  </si>
  <si>
    <t>N[2]</t>
  </si>
  <si>
    <t>Spawner-Egg</t>
  </si>
  <si>
    <t>N[3]</t>
  </si>
  <si>
    <t>Egg-Fry</t>
  </si>
  <si>
    <t>N[4]</t>
  </si>
  <si>
    <t>to Parr</t>
  </si>
  <si>
    <t>N[5]</t>
  </si>
  <si>
    <t>to PreSmolt</t>
  </si>
  <si>
    <t>See Table of PreSmolt Inputs</t>
  </si>
  <si>
    <t>N[6]</t>
  </si>
  <si>
    <t>to Smolt</t>
  </si>
  <si>
    <t>Dam Survival Rate == N6</t>
  </si>
  <si>
    <t>N[7]</t>
  </si>
  <si>
    <t>Adult Age 0</t>
  </si>
  <si>
    <t>N[8]</t>
  </si>
  <si>
    <t>Adult Age 1</t>
  </si>
  <si>
    <t>N[9]</t>
  </si>
  <si>
    <t>Adult Age 2</t>
  </si>
  <si>
    <t>N[10]</t>
  </si>
  <si>
    <t>Adult Age 3</t>
  </si>
  <si>
    <t>N[11]</t>
  </si>
  <si>
    <t>Adult Age 4</t>
  </si>
  <si>
    <t>N[12]</t>
  </si>
  <si>
    <t>Adult Age 5</t>
  </si>
  <si>
    <t>N[13]</t>
  </si>
  <si>
    <t>Adult Age 6</t>
  </si>
  <si>
    <t>N[14]</t>
  </si>
  <si>
    <t>Adult Age 7</t>
  </si>
  <si>
    <t>N[15]</t>
  </si>
  <si>
    <t>Adult Age 8</t>
  </si>
  <si>
    <t>N[16]</t>
  </si>
  <si>
    <t>Adult Age 9</t>
  </si>
  <si>
    <t>N[17]</t>
  </si>
  <si>
    <t>Adult Age 10</t>
  </si>
  <si>
    <t>Pre-smolt Inputs</t>
  </si>
  <si>
    <t>(future trend stuff, can ignore)</t>
  </si>
  <si>
    <t>Probability of Survival</t>
  </si>
  <si>
    <t>Probability of Smolting, Spawning, or Staying as Presmolt</t>
  </si>
  <si>
    <t>Pre-Smolt capacity scalar</t>
  </si>
  <si>
    <t>Pre-Smolt Suvival Trends</t>
  </si>
  <si>
    <t>Pre-Smolt Probability of smolt, Stay, or Spawn Trend</t>
  </si>
  <si>
    <t>Pre-Smolt Capacity Scalar Trend</t>
  </si>
  <si>
    <t>Year Spent in Site as Presmolt</t>
  </si>
  <si>
    <t>SR5</t>
  </si>
  <si>
    <t>AlphaR</t>
  </si>
  <si>
    <t>AlphaT</t>
  </si>
  <si>
    <t>AlphaS</t>
  </si>
  <si>
    <t>N5.Psmolt_Female</t>
  </si>
  <si>
    <t>N5.Pspawn_Female</t>
  </si>
  <si>
    <t>N5.Pstay_Female</t>
  </si>
  <si>
    <t>Alpha_Female.R</t>
  </si>
  <si>
    <t>Alpha_Female.T</t>
  </si>
  <si>
    <t>Alpha_Female.S</t>
  </si>
  <si>
    <t>Alpha_Female</t>
  </si>
  <si>
    <t>N5.Psmolt_Male</t>
  </si>
  <si>
    <t>N5.Pspawn_Male</t>
  </si>
  <si>
    <t>N5.Pstay_Male</t>
  </si>
  <si>
    <t>Alpha_Male.R</t>
  </si>
  <si>
    <t>Alpha_Male.T</t>
  </si>
  <si>
    <t>Alpha_Male.S</t>
  </si>
  <si>
    <t>Alpha_Male</t>
  </si>
  <si>
    <t>N5.Cap</t>
  </si>
  <si>
    <t>N5.Cap.sigmaR</t>
  </si>
  <si>
    <t>N5.Cap.sigmaT</t>
  </si>
  <si>
    <t>N5.Cap.sigmaS</t>
  </si>
  <si>
    <t>N5.Cap.sigma</t>
  </si>
  <si>
    <t>SR5 Future Target</t>
  </si>
  <si>
    <t>SR5 Change Rate Param</t>
  </si>
  <si>
    <t>N5.Psmolt_Femae</t>
  </si>
  <si>
    <t>Rate Parameter_Female</t>
  </si>
  <si>
    <t>Rate Parameter_Male</t>
  </si>
  <si>
    <t>N5.Cap future target</t>
  </si>
  <si>
    <t>N5.Cap Rate Param</t>
  </si>
  <si>
    <t>Fecundity of Resident Rainbow</t>
  </si>
  <si>
    <t>age 1</t>
  </si>
  <si>
    <t>age 2</t>
  </si>
  <si>
    <t>age 3</t>
  </si>
  <si>
    <t>age 4</t>
  </si>
  <si>
    <t>Adult Salmon: Return to Spawn Probabilties, Fecundity, and Ocean Capacity</t>
  </si>
  <si>
    <t>(future target stuff)</t>
  </si>
  <si>
    <t>Spawn Probability Uncertainty</t>
  </si>
  <si>
    <t>Ocean Capacity</t>
  </si>
  <si>
    <t>Spawning Probability - Future Target</t>
  </si>
  <si>
    <t>Ocean Capacity - Future Target</t>
  </si>
  <si>
    <t>Ocean Age</t>
  </si>
  <si>
    <t>Return to Spawn Probability_Females</t>
  </si>
  <si>
    <t>AlphaR_Female</t>
  </si>
  <si>
    <t>AlphaT_Female</t>
  </si>
  <si>
    <t>AlphaS_Female</t>
  </si>
  <si>
    <t>Return to Spawn Probability_Male</t>
  </si>
  <si>
    <t>AlphaR_Male</t>
  </si>
  <si>
    <t>AlphaT_Male</t>
  </si>
  <si>
    <t>AlphaS_Male</t>
  </si>
  <si>
    <t>O[i-7]</t>
  </si>
  <si>
    <t>SigmaR</t>
  </si>
  <si>
    <t>SigmaT</t>
  </si>
  <si>
    <t>SigmaS</t>
  </si>
  <si>
    <t>Return to Spawn Probability-Target_Female</t>
  </si>
  <si>
    <t>Rate Param_Female</t>
  </si>
  <si>
    <t>O[i-7]-Target</t>
  </si>
  <si>
    <t>`</t>
  </si>
  <si>
    <t>Fraction of Area Available due to seasonal flow changes</t>
  </si>
  <si>
    <t>Sigma T</t>
  </si>
  <si>
    <t>Rate Change Parameters</t>
  </si>
  <si>
    <t xml:space="preserve">Life Stage </t>
  </si>
  <si>
    <t>N[1]</t>
  </si>
  <si>
    <t>Spawner</t>
  </si>
  <si>
    <t>Harvest Parameters</t>
  </si>
  <si>
    <t>Fraction of Harvest</t>
  </si>
  <si>
    <t>Future Target</t>
  </si>
  <si>
    <t>Rate Parameters</t>
  </si>
  <si>
    <t>mu.harvest (Wild)</t>
  </si>
  <si>
    <t>mu.harvest (Hatchery)</t>
  </si>
  <si>
    <t>Hatchery Fish Annual Introductions</t>
  </si>
  <si>
    <t>Hatchery Origin Fish Introduced by Life Stage per Year</t>
  </si>
  <si>
    <t>Presmolt</t>
  </si>
  <si>
    <t>Hatchery Effects: Relative Survival by life stage</t>
  </si>
  <si>
    <t>Label</t>
  </si>
  <si>
    <t>Description of sub-species group</t>
  </si>
  <si>
    <t>Adult (all ages)</t>
  </si>
  <si>
    <t>N</t>
  </si>
  <si>
    <t>"Natural", or Product of nothing w/ H1 or H2 in label</t>
  </si>
  <si>
    <t>for MFJD, we probably won't model a hatchery impact for now;</t>
  </si>
  <si>
    <t>H1</t>
  </si>
  <si>
    <t>Hatchery Bred</t>
  </si>
  <si>
    <t>BUT, we may use the hatchery field for modeling resident fish</t>
  </si>
  <si>
    <t>N.H2</t>
  </si>
  <si>
    <t>Product of N and H1</t>
  </si>
  <si>
    <t>and therefore need to make sure we update these accordingly</t>
  </si>
  <si>
    <t>H2</t>
  </si>
  <si>
    <t>Product of H1 and H1</t>
  </si>
  <si>
    <t>N-N.H3</t>
  </si>
  <si>
    <t>Natural x N.H2</t>
  </si>
  <si>
    <t>N-H3</t>
  </si>
  <si>
    <t>Natural x H2</t>
  </si>
  <si>
    <t>N.H3-H3</t>
  </si>
  <si>
    <t>Product of N.H2 and H2</t>
  </si>
  <si>
    <t>N.H3-H2</t>
  </si>
  <si>
    <t>Product of N.H2 and H1</t>
  </si>
  <si>
    <t>H3-H2</t>
  </si>
  <si>
    <t>Product of H2 and H1</t>
  </si>
  <si>
    <t>H3</t>
  </si>
  <si>
    <t>Product of H2 and H2</t>
  </si>
  <si>
    <t>N.H3-N.H3</t>
  </si>
  <si>
    <t>product of N.H2-N.H2</t>
  </si>
  <si>
    <r>
      <t xml:space="preserve">Hatchery Effects: </t>
    </r>
    <r>
      <rPr>
        <b/>
        <sz val="11"/>
        <color rgb="FFFF0000"/>
        <rFont val="Calibri"/>
        <family val="2"/>
        <scheme val="minor"/>
      </rPr>
      <t>Fecundity</t>
    </r>
    <r>
      <rPr>
        <b/>
        <sz val="11"/>
        <color theme="1"/>
        <rFont val="Calibri"/>
        <family val="2"/>
        <scheme val="minor"/>
      </rPr>
      <t xml:space="preserve"> by life stage</t>
    </r>
  </si>
  <si>
    <t>Female Fecundity by Ocean Age</t>
  </si>
  <si>
    <t>Probability of Surviving Post-Spawn for successful spawners- Anadromous (Will be zero for non-steelhead)</t>
  </si>
  <si>
    <t>Females</t>
  </si>
  <si>
    <t>Males</t>
  </si>
  <si>
    <t>(anadromous O. mykiss)</t>
  </si>
  <si>
    <t>Ocean Age (years)</t>
  </si>
  <si>
    <t>Probability of Surviving Post-Spawn for successful spawners - Resident Rainbow (Will be zero for non O.mykiss species)</t>
  </si>
  <si>
    <t>(resident O. mykiss)</t>
  </si>
  <si>
    <t>Years as resident pre-smolt</t>
  </si>
  <si>
    <t>Year</t>
  </si>
  <si>
    <t>Site</t>
  </si>
  <si>
    <t>SubPop</t>
  </si>
  <si>
    <t>PreSmolt</t>
  </si>
  <si>
    <t>Adult_Y0</t>
  </si>
  <si>
    <t>Adult_Y1</t>
  </si>
  <si>
    <t>Adult_Y2</t>
  </si>
  <si>
    <t>Adult_Y3</t>
  </si>
  <si>
    <t>Adult_Y4</t>
  </si>
  <si>
    <t>Adult_Y5</t>
  </si>
  <si>
    <t>Adult_Y6</t>
  </si>
  <si>
    <t>Adult_Y7</t>
  </si>
  <si>
    <t>Adult_Y8</t>
  </si>
  <si>
    <t>Adult_Y9</t>
  </si>
  <si>
    <t>Adult_Y10</t>
  </si>
  <si>
    <t>Pre.SmoltY1</t>
  </si>
  <si>
    <t>Pre.SmoltY2</t>
  </si>
  <si>
    <t>Pre.SmoltY3</t>
  </si>
  <si>
    <t>Pre.SmoltY4</t>
  </si>
  <si>
    <t>Pre.SmoltY5</t>
  </si>
  <si>
    <t>Pre.SmoltY6</t>
  </si>
  <si>
    <t>Pre.SmoltY7</t>
  </si>
  <si>
    <t>Pre.SmoltY8</t>
  </si>
  <si>
    <t>Pre.SmoltY9</t>
  </si>
  <si>
    <t>Pre.SmoltY10</t>
  </si>
  <si>
    <t>Natural</t>
  </si>
  <si>
    <t>age1</t>
  </si>
  <si>
    <t>age2</t>
  </si>
  <si>
    <t>age3</t>
  </si>
  <si>
    <t>Tot</t>
  </si>
  <si>
    <t>sm/sp</t>
  </si>
  <si>
    <t>sex ratio</t>
  </si>
  <si>
    <t>F</t>
  </si>
  <si>
    <t>M</t>
  </si>
  <si>
    <t>target % fem in anadromous</t>
  </si>
  <si>
    <t>Pete's sex ratio workup</t>
  </si>
  <si>
    <t>spawners</t>
  </si>
  <si>
    <t>sourcesite</t>
  </si>
  <si>
    <t>speciesrunreartype</t>
  </si>
  <si>
    <t>migryear</t>
  </si>
  <si>
    <t>Smoltnum_in_SAR</t>
  </si>
  <si>
    <t>SAR_estimate</t>
  </si>
  <si>
    <t>SAR_90cill</t>
  </si>
  <si>
    <t>SAR_90ciul</t>
  </si>
  <si>
    <t>footnote</t>
  </si>
  <si>
    <t>annual_SAR_zone</t>
  </si>
  <si>
    <t>JDAR</t>
  </si>
  <si>
    <t>STW</t>
  </si>
  <si>
    <t>JDA_to_BON</t>
  </si>
  <si>
    <t>Last Run - Sept 2014</t>
  </si>
  <si>
    <t xml:space="preserve"> Wild Steelhead CSS Overall Annual SARs from the Source Site JDAR for the SAR Zone JDA_to_BON </t>
  </si>
  <si>
    <t>Queried from FPC's SAR site Apr 7, 2015; http://www.fpc.org/survival/css_annual_sars_SNK_COL_queryv3.html</t>
  </si>
  <si>
    <t>adults detected at Bonneville Dam that were PIT-tagged meeting a minimum length threshold during</t>
  </si>
  <si>
    <t>the 12-month period from July 1 to June 30 for each smolt migration year between 2006 and 2011.</t>
  </si>
  <si>
    <t>Smolt Migr</t>
  </si>
  <si>
    <t>Age</t>
  </si>
  <si>
    <t>1-salt</t>
  </si>
  <si>
    <t>2-salt</t>
  </si>
  <si>
    <t>3-salt</t>
  </si>
  <si>
    <t>Percent</t>
  </si>
  <si>
    <r>
      <t>2011</t>
    </r>
    <r>
      <rPr>
        <vertAlign val="superscript"/>
        <sz val="11"/>
        <color theme="1"/>
        <rFont val="Calibri"/>
        <family val="2"/>
        <scheme val="minor"/>
      </rPr>
      <t>A</t>
    </r>
  </si>
  <si>
    <r>
      <rPr>
        <vertAlign val="superscript"/>
        <sz val="11"/>
        <color theme="1"/>
        <rFont val="Calibri"/>
        <family val="2"/>
        <scheme val="minor"/>
      </rPr>
      <t>A</t>
    </r>
    <r>
      <rPr>
        <sz val="11"/>
        <color theme="1"/>
        <rFont val="Calibri"/>
        <family val="2"/>
        <scheme val="minor"/>
      </rPr>
      <t xml:space="preserve"> Incomplete adult returns until 3-salt returns (if any) after 9/14/2014 at BOA; not included in average.</t>
    </r>
  </si>
  <si>
    <t>Adult age composition data (from CSS 2014 Annual Report--see caption below)</t>
  </si>
  <si>
    <r>
      <rPr>
        <b/>
        <sz val="11"/>
        <color theme="1"/>
        <rFont val="Calibri"/>
        <family val="2"/>
        <scheme val="minor"/>
      </rPr>
      <t xml:space="preserve">Table E.22 </t>
    </r>
    <r>
      <rPr>
        <sz val="11"/>
        <color theme="1"/>
        <rFont val="Calibri"/>
        <family val="2"/>
        <scheme val="minor"/>
      </rPr>
      <t>Age composition of returning PIT-tagged WILD JOHN DAY RIVER STEELHEAD</t>
    </r>
  </si>
  <si>
    <t>Smolt-to-adult Return Rates (SARs)--John Day to Bonneville</t>
  </si>
  <si>
    <t>MY</t>
  </si>
  <si>
    <t>S</t>
  </si>
  <si>
    <t>LCB</t>
  </si>
  <si>
    <t>UCB</t>
  </si>
  <si>
    <t>Length unit</t>
  </si>
  <si>
    <t>Life history</t>
  </si>
  <si>
    <t>a</t>
  </si>
  <si>
    <t>b</t>
  </si>
  <si>
    <r>
      <t>power (f=aL</t>
    </r>
    <r>
      <rPr>
        <vertAlign val="superscript"/>
        <sz val="11"/>
        <color theme="1"/>
        <rFont val="Calibri"/>
        <family val="2"/>
        <scheme val="minor"/>
      </rPr>
      <t>b</t>
    </r>
    <r>
      <rPr>
        <sz val="11"/>
        <color theme="1"/>
        <rFont val="Calibri"/>
        <family val="2"/>
        <scheme val="minor"/>
      </rPr>
      <t>)</t>
    </r>
  </si>
  <si>
    <t>Form</t>
  </si>
  <si>
    <t>Location</t>
  </si>
  <si>
    <t>Klamath Basin</t>
  </si>
  <si>
    <t>Anad</t>
  </si>
  <si>
    <t>CRITFC length-at-age and age comp est's from BON sampling</t>
  </si>
  <si>
    <t>mean FL (cm) by ocean age</t>
  </si>
  <si>
    <t>SD FL (cm) by ocean age</t>
  </si>
  <si>
    <t>brd yr</t>
  </si>
  <si>
    <t>na</t>
  </si>
  <si>
    <t>mean</t>
  </si>
  <si>
    <t>BON % by ocean age</t>
  </si>
  <si>
    <t>% A run</t>
  </si>
  <si>
    <t>% wild</t>
  </si>
  <si>
    <t>O mykiss TL/FL ratio (anadromous, resident)</t>
  </si>
  <si>
    <t>source</t>
  </si>
  <si>
    <t>source: http://stream.fs.fed.us/fishxing/help/SwimData/morphdata.html</t>
  </si>
  <si>
    <t>Schill et al. 2010, NAJFM</t>
  </si>
  <si>
    <t>Res</t>
  </si>
  <si>
    <t>Southern Idaho</t>
  </si>
  <si>
    <t>FL in cm</t>
  </si>
  <si>
    <t>TL in mm</t>
  </si>
  <si>
    <t>Hodge et al. 2014, TAFS</t>
  </si>
  <si>
    <t>Adult survival from Bonneville to spawning grounds; is apparent survival and includes fishery mort, straying losses, etc. (aka Conversion?)</t>
  </si>
  <si>
    <t>Run Year</t>
  </si>
  <si>
    <t>Returning adult (@ BON) length-at-age information</t>
  </si>
  <si>
    <t>Returning adult (@ BON) age composition (AGGREGATE)</t>
  </si>
  <si>
    <t>BON Obs</t>
  </si>
  <si>
    <t>TDA Obs</t>
  </si>
  <si>
    <t>Conversion Rate</t>
  </si>
  <si>
    <t>All Yrs</t>
  </si>
  <si>
    <t>Bonneville to the Dalles Dam converstion rate -- note this is overly optimistic given MCN overshoot and nat/fishery losses b/n TDA and JD Basin</t>
  </si>
  <si>
    <t>TDA to trib conversion</t>
  </si>
  <si>
    <t>total conversion</t>
  </si>
  <si>
    <t>Data from (unpublished) Ruzycki and Tattam run reconstruction for SFJD fish during 2013; more years are coming but this is a more accuate picture of conversion to natal trib</t>
  </si>
  <si>
    <t>Average (2004 – 2011) [includes inc. 2011)</t>
  </si>
  <si>
    <t>Note: years 2004-2005 were from a direct request to FPC (i.e., they're not in the CSS appendix tab)</t>
  </si>
  <si>
    <t>BY</t>
  </si>
  <si>
    <t>N smolts</t>
  </si>
  <si>
    <t>N1</t>
  </si>
  <si>
    <t>N2</t>
  </si>
  <si>
    <t>N3</t>
  </si>
  <si>
    <t>incomplete</t>
  </si>
  <si>
    <t>Middle Fork</t>
  </si>
  <si>
    <t>Trap Site</t>
  </si>
  <si>
    <t>Total Smolt Production By Brood Year</t>
  </si>
  <si>
    <t>Outmigrant age comp</t>
  </si>
  <si>
    <t>At Middle Fork Trap (Bare et al. 2015, but from raw data file from Ian, Feb 2015)</t>
  </si>
  <si>
    <t>Age 3+</t>
  </si>
  <si>
    <t>Age 1</t>
  </si>
  <si>
    <t>Age 2</t>
  </si>
  <si>
    <t>Recomputed (use these)</t>
  </si>
  <si>
    <t>3+</t>
  </si>
  <si>
    <t>MFJD Age Comp by MY -- From Ian Feb 2015 (Tattam17Feb15_Scale_Aging_Data_for_StS_Smolts per spawner)</t>
  </si>
  <si>
    <t>(no age data prior to 2005 MY)</t>
  </si>
  <si>
    <t>incomplete (through age 2 only)</t>
  </si>
  <si>
    <t>incomplete (through age 1 only)</t>
  </si>
  <si>
    <r>
      <t xml:space="preserve">Returning </t>
    </r>
    <r>
      <rPr>
        <b/>
        <u/>
        <sz val="14"/>
        <color theme="1"/>
        <rFont val="Calibri"/>
        <family val="2"/>
        <scheme val="minor"/>
      </rPr>
      <t>PIT-tagged</t>
    </r>
    <r>
      <rPr>
        <b/>
        <sz val="14"/>
        <color theme="1"/>
        <rFont val="Calibri"/>
        <family val="2"/>
        <scheme val="minor"/>
      </rPr>
      <t xml:space="preserve"> adult age composition at Bonneville</t>
    </r>
  </si>
  <si>
    <t>Ret</t>
  </si>
  <si>
    <t>ReturnYr</t>
  </si>
  <si>
    <t>Age 3</t>
  </si>
  <si>
    <t>Returning adult age composition at Bonneville (All MFJD WILD fish)</t>
  </si>
  <si>
    <t>This applies trap to JDA reach survival, CSS SARs, and CSS age comp</t>
  </si>
  <si>
    <t>Return</t>
  </si>
  <si>
    <t>(this uses PIT tag and trap info to estimate age comp of actual MFJD return in run year)</t>
  </si>
  <si>
    <t>Age composition of Actual MFJD spawning population by Return Year</t>
  </si>
  <si>
    <t>Total Spawners</t>
  </si>
  <si>
    <t>Age comp (OA)</t>
  </si>
  <si>
    <t>PED (by OA)</t>
  </si>
  <si>
    <t>Total</t>
  </si>
  <si>
    <t>total</t>
  </si>
  <si>
    <t>Calculations to estimate potential egg deposition in the MFJD by brood year</t>
  </si>
  <si>
    <r>
      <rPr>
        <b/>
        <i/>
        <sz val="14"/>
        <color theme="1"/>
        <rFont val="Calibri"/>
        <family val="2"/>
        <scheme val="minor"/>
      </rPr>
      <t>O. mykiss</t>
    </r>
    <r>
      <rPr>
        <b/>
        <sz val="14"/>
        <color theme="1"/>
        <rFont val="Calibri"/>
        <family val="2"/>
        <scheme val="minor"/>
      </rPr>
      <t xml:space="preserve"> length--fecundity relationships &amp; gender info</t>
    </r>
  </si>
  <si>
    <t>Rough evaluation to arrive a sex ratio</t>
  </si>
  <si>
    <t>% male</t>
  </si>
  <si>
    <t>yrs</t>
  </si>
  <si>
    <t>origin</t>
  </si>
  <si>
    <t>bon</t>
  </si>
  <si>
    <t>critfc</t>
  </si>
  <si>
    <t>snake basin</t>
  </si>
  <si>
    <t>campbell et al. 2008 TAFS</t>
  </si>
  <si>
    <t>2000-2011</t>
  </si>
  <si>
    <t>imnaha</t>
  </si>
  <si>
    <t>odfw</t>
  </si>
  <si>
    <t>2001-2011</t>
  </si>
  <si>
    <t>looking hatch</t>
  </si>
  <si>
    <t>fifteen mile</t>
  </si>
  <si>
    <t>okanogan</t>
  </si>
  <si>
    <t>colville report</t>
  </si>
  <si>
    <t>rapid river</t>
  </si>
  <si>
    <t>idfg</t>
  </si>
  <si>
    <t>&lt;&lt; mean</t>
  </si>
  <si>
    <t>These ests, combined with F bias in smolts (Ohms et al. 2013) indicates skewed ratio is the norm</t>
  </si>
  <si>
    <t>using 60:40 F:M is a good approximation</t>
  </si>
  <si>
    <t>FEMALES</t>
  </si>
  <si>
    <t>From Bare et al. 2015, figure 60</t>
  </si>
  <si>
    <t>Outmigrant abundance by migration year</t>
  </si>
  <si>
    <t>Smolt surv.--MFJD Trap to JD Dam</t>
  </si>
  <si>
    <t>Parr (0 to sub1)</t>
  </si>
  <si>
    <t>Pre-smolt (1+)</t>
  </si>
  <si>
    <t>Pre-smolt (2+)</t>
  </si>
  <si>
    <t>Pre-smolt (3+)</t>
  </si>
  <si>
    <t>period survival</t>
  </si>
  <si>
    <t>age 1 N</t>
  </si>
  <si>
    <t>age 2 N</t>
  </si>
  <si>
    <t>age 3 N</t>
  </si>
  <si>
    <t>fall</t>
  </si>
  <si>
    <t>winter</t>
  </si>
  <si>
    <t>spring</t>
  </si>
  <si>
    <t>apr by+1</t>
  </si>
  <si>
    <t>apr by+2</t>
  </si>
  <si>
    <t>apr by+3</t>
  </si>
  <si>
    <t>E1</t>
  </si>
  <si>
    <t>E2</t>
  </si>
  <si>
    <t>E3</t>
  </si>
  <si>
    <t>s1</t>
  </si>
  <si>
    <t>s2</t>
  </si>
  <si>
    <t>s3</t>
  </si>
  <si>
    <t>e1</t>
  </si>
  <si>
    <t>e2</t>
  </si>
  <si>
    <t>e3</t>
  </si>
  <si>
    <t>approx. month breakouts</t>
  </si>
  <si>
    <t>0+ by</t>
  </si>
  <si>
    <t>1 by</t>
  </si>
  <si>
    <t>2 by</t>
  </si>
  <si>
    <t>season</t>
  </si>
  <si>
    <t>Sept-Dec</t>
  </si>
  <si>
    <t>Jan-Apr</t>
  </si>
  <si>
    <t>May-Aug</t>
  </si>
  <si>
    <t xml:space="preserve">Emigrants by age </t>
  </si>
  <si>
    <t>Checks</t>
  </si>
  <si>
    <t>This sheet is used to estimate age-specific emigration probabilities</t>
  </si>
  <si>
    <t>Calendar Yr</t>
  </si>
  <si>
    <t>N Eggs</t>
  </si>
  <si>
    <t>Projected N at smolting</t>
  </si>
  <si>
    <t>Prob. of emigrating (age-sp)</t>
  </si>
  <si>
    <t>mean&gt;&gt;</t>
  </si>
  <si>
    <t>Total stage survival</t>
  </si>
  <si>
    <t>given sampling estimates of spawners (=est'd eggs), parr survival, and age-specific outmigrant abundance, use SOLVER to compute an egg-to-parr S that yields e3 = 1.00 (= 100% emigration at age 3)</t>
  </si>
  <si>
    <t>SD&gt;&gt;</t>
  </si>
  <si>
    <t>CV&gt;&gt;</t>
  </si>
  <si>
    <t>(THESE ARE ALL COMPUTED VALUES)</t>
  </si>
  <si>
    <t>Survival</t>
  </si>
  <si>
    <t>3-salt+</t>
  </si>
  <si>
    <t>Fecundity</t>
  </si>
  <si>
    <t>Ave FL (cm)</t>
  </si>
  <si>
    <t>age0</t>
  </si>
  <si>
    <t>age4</t>
  </si>
  <si>
    <t>age5</t>
  </si>
  <si>
    <t>FL (mm)</t>
  </si>
  <si>
    <t>TL (mm)</t>
  </si>
  <si>
    <t>Anadromous Om fecundity</t>
  </si>
  <si>
    <t>Resident Om fecundity</t>
  </si>
  <si>
    <t>age6+</t>
  </si>
  <si>
    <t>S1</t>
  </si>
  <si>
    <t>S2</t>
  </si>
  <si>
    <t>S3</t>
  </si>
  <si>
    <t>m1</t>
  </si>
  <si>
    <t>m2</t>
  </si>
  <si>
    <t>m3</t>
  </si>
  <si>
    <t>Solver constraints</t>
  </si>
  <si>
    <t>This sheet is used to compute age-specific maturation probabilities</t>
  </si>
  <si>
    <t>Smolts</t>
  </si>
  <si>
    <t>at JDA</t>
  </si>
  <si>
    <t>Ocean survival</t>
  </si>
  <si>
    <t>Prob. Of maturing</t>
  </si>
  <si>
    <t>Comments</t>
  </si>
  <si>
    <t>R3</t>
  </si>
  <si>
    <t>N0</t>
  </si>
  <si>
    <t>M1</t>
  </si>
  <si>
    <t>t3</t>
  </si>
  <si>
    <t>t2</t>
  </si>
  <si>
    <t>t1</t>
  </si>
  <si>
    <t>R2</t>
  </si>
  <si>
    <t>R1</t>
  </si>
  <si>
    <t>R3-calc</t>
  </si>
  <si>
    <t>Q1</t>
  </si>
  <si>
    <t>d</t>
  </si>
  <si>
    <t>Assume month of exit is ~ same as month of entry (May/Jun), i.e., k = 0</t>
  </si>
  <si>
    <t>Assume 100% maturation at age 3 salt, i.e., p3 = 1</t>
  </si>
  <si>
    <t>k</t>
  </si>
  <si>
    <t>Q2</t>
  </si>
  <si>
    <t>Q3</t>
  </si>
  <si>
    <t>calc/obs</t>
  </si>
  <si>
    <t>&lt;--objective function ends here (must equal 8)</t>
  </si>
  <si>
    <t>intermediate calcs</t>
  </si>
  <si>
    <t>Annual survival probability</t>
  </si>
  <si>
    <t>Intermediate monthly calculations</t>
  </si>
  <si>
    <t>p1</t>
  </si>
  <si>
    <t>p2</t>
  </si>
  <si>
    <t>p3</t>
  </si>
  <si>
    <t>projected returns</t>
  </si>
  <si>
    <t>ratios of proj/obs</t>
  </si>
  <si>
    <t>target cells to change</t>
  </si>
  <si>
    <t>S1 &lt; 20%</t>
  </si>
  <si>
    <t>S1 &lt; S2 &lt; S3</t>
  </si>
  <si>
    <t>S1&lt;S2&lt;S3</t>
  </si>
  <si>
    <t>&lt;&lt;sum of T/F formulae</t>
  </si>
  <si>
    <t>&lt;&lt;&lt;target, get this to equal 24!</t>
  </si>
  <si>
    <t>m3 = 100%</t>
  </si>
  <si>
    <t>POST Array observed ~15% surv in early ocean for BC steelhead (Moore et al. 2012 PLOS One, Welch et al. 2011 PNAS)</t>
  </si>
  <si>
    <t>starting values, S1 = 10%, S2 = 25%, S3 = 50%; m1 = 25%, m2 = 75%, m3 = 100% (fixed)</t>
  </si>
  <si>
    <t>SAR proj/SAR act</t>
  </si>
  <si>
    <t>fixed</t>
  </si>
  <si>
    <t>cond'n</t>
  </si>
  <si>
    <t>calculations</t>
  </si>
  <si>
    <t>Calculations based on Fredin 1964 Model 2 method</t>
  </si>
  <si>
    <t>&lt;&lt;&lt;solver objective</t>
  </si>
  <si>
    <t>Resident Om maturation prob. -- approximate small + big stream average from Schill et al. 2010 Fig 2</t>
  </si>
  <si>
    <t>SexRat</t>
  </si>
  <si>
    <t>&lt;&lt;smolt prob</t>
  </si>
  <si>
    <t>Ef</t>
  </si>
  <si>
    <t>Em</t>
  </si>
  <si>
    <t>overall sex rat all ages</t>
  </si>
  <si>
    <t>smolt prob (M+F)</t>
  </si>
  <si>
    <t>Wild</t>
  </si>
  <si>
    <t>(includes amalgam of all stocks passing John Day Dam, Male, Fem, etc.)</t>
  </si>
  <si>
    <t>Group</t>
  </si>
  <si>
    <t>Note also that the sex ratio of kelts was 86% female at John Day, on average (for known sexable fish)</t>
  </si>
  <si>
    <t>This implies sex-biased post-spawn mort…</t>
  </si>
  <si>
    <t>P bon-bon</t>
  </si>
  <si>
    <t>P bon-sg</t>
  </si>
  <si>
    <t>P jda-bon</t>
  </si>
  <si>
    <t>P sg-jda</t>
  </si>
  <si>
    <r>
      <rPr>
        <b/>
        <u/>
        <sz val="11"/>
        <color theme="1"/>
        <rFont val="Calibri"/>
        <family val="2"/>
        <scheme val="minor"/>
      </rPr>
      <t>Bonneville Dam to Bonneville Dam</t>
    </r>
    <r>
      <rPr>
        <sz val="11"/>
        <color theme="1"/>
        <rFont val="Calibri"/>
        <family val="2"/>
        <scheme val="minor"/>
      </rPr>
      <t xml:space="preserve"> Maiden to Repeat Return Rates (</t>
    </r>
    <r>
      <rPr>
        <sz val="11"/>
        <color rgb="FFFF0000"/>
        <rFont val="Calibri"/>
        <family val="2"/>
        <scheme val="minor"/>
      </rPr>
      <t>not adjusted for tag loss</t>
    </r>
    <r>
      <rPr>
        <sz val="11"/>
        <color theme="1"/>
        <rFont val="Calibri"/>
        <family val="2"/>
        <scheme val="minor"/>
      </rPr>
      <t>)</t>
    </r>
  </si>
  <si>
    <t>BON-to-BON return rate (i.e., fish detected at BON on a repeat return / fish detected at BON on first return)</t>
  </si>
  <si>
    <t>Value</t>
  </si>
  <si>
    <t>The value that goes into the model is surv prob from spawning grounds downstream to ocean and back to BON</t>
  </si>
  <si>
    <t>This must be backed out from value in blue cell above and using other information</t>
  </si>
  <si>
    <t>avg</t>
  </si>
  <si>
    <t>Keefer et al. 2014 U of ID Report to US Army Corps of Engineers</t>
  </si>
  <si>
    <t>(from Appendix A)</t>
  </si>
  <si>
    <t>&lt;&lt;--kelt sex ratio</t>
  </si>
  <si>
    <t>Gender-specific rates (i.e., to achieve change in sex ratio from adult return to kelt outmigrant)</t>
  </si>
  <si>
    <t>Survival differential</t>
  </si>
  <si>
    <t>first return % fem</t>
  </si>
  <si>
    <t>kelt % fem</t>
  </si>
  <si>
    <t>P sg-bon</t>
  </si>
  <si>
    <t>&lt;&lt;-Assumed tag retention</t>
  </si>
  <si>
    <t>Keefer et al. 2008 CJFAS Iteroparity work</t>
  </si>
  <si>
    <t>Post-spawn survival parameters for Anadromous O. mykiss</t>
  </si>
  <si>
    <t>Post-spawn survival parameters for Resident O. mykiss</t>
  </si>
  <si>
    <t xml:space="preserve">It is quite likely that each of these assumptions are violated to one extent or another, but they must be assumed given the current model structure. </t>
  </si>
  <si>
    <r>
      <rPr>
        <b/>
        <sz val="12"/>
        <color rgb="FFFF0000"/>
        <rFont val="Calibri"/>
        <family val="2"/>
        <scheme val="minor"/>
      </rPr>
      <t>Key assumptions:</t>
    </r>
    <r>
      <rPr>
        <sz val="12"/>
        <color rgb="FFFF0000"/>
        <rFont val="Calibri"/>
        <family val="2"/>
        <scheme val="minor"/>
      </rPr>
      <t xml:space="preserve"> (1) repeat spawning happens only once; (2) there aren't any skip-repeats; (3) the probability of repeat spawning isn't gender-dependent.</t>
    </r>
  </si>
  <si>
    <r>
      <rPr>
        <b/>
        <u/>
        <sz val="11"/>
        <color theme="1"/>
        <rFont val="Calibri"/>
        <family val="2"/>
        <scheme val="minor"/>
      </rPr>
      <t>John Day Dam to Bonneville Dam</t>
    </r>
    <r>
      <rPr>
        <sz val="11"/>
        <color theme="1"/>
        <rFont val="Calibri"/>
        <family val="2"/>
        <scheme val="minor"/>
      </rPr>
      <t xml:space="preserve"> Kelt to Adult Return Rates (this hasn't been </t>
    </r>
    <r>
      <rPr>
        <sz val="11"/>
        <color rgb="FFFF0000"/>
        <rFont val="Calibri"/>
        <family val="2"/>
        <scheme val="minor"/>
      </rPr>
      <t>adjusted for tag loss, but it's likely that any/all post-spawn tag loss would've occurred on the spawning grounds...</t>
    </r>
    <r>
      <rPr>
        <sz val="11"/>
        <color theme="1"/>
        <rFont val="Calibri"/>
        <family val="2"/>
        <scheme val="minor"/>
      </rPr>
      <t>)</t>
    </r>
  </si>
  <si>
    <t>(this is for cutthroat trout, but is not far off from Atl Salmon &amp; Chinook lit vals in the low 80s)</t>
  </si>
  <si>
    <t>Basic and long-held assumption about the temporal pattern of mortality during marine stages (Ricker 1976, Fredin 1964)</t>
  </si>
  <si>
    <t>(check)</t>
  </si>
  <si>
    <t>Param #</t>
  </si>
  <si>
    <t>age</t>
  </si>
  <si>
    <t>Season</t>
  </si>
  <si>
    <t>Index</t>
  </si>
  <si>
    <t>Estimate</t>
  </si>
  <si>
    <t>SE</t>
  </si>
  <si>
    <t>LCI</t>
  </si>
  <si>
    <t>UCI</t>
  </si>
  <si>
    <t>LCI_-</t>
  </si>
  <si>
    <t>UCI_+</t>
  </si>
  <si>
    <t>MRL</t>
  </si>
  <si>
    <t>Juvenile</t>
  </si>
  <si>
    <t>Winter</t>
  </si>
  <si>
    <t>Summer</t>
  </si>
  <si>
    <t>Fall</t>
  </si>
  <si>
    <t>Adult</t>
  </si>
  <si>
    <t>Snum</t>
  </si>
  <si>
    <t>For producing gender bias in  smolting/emigration probability (and obs sex ratios)</t>
  </si>
  <si>
    <t>Carl's Survivals Go Here! They're linked to the table on 'e' worksheet used to estimate emigration probability</t>
  </si>
  <si>
    <t>The time period for survival calculations is from March to Feb (i.e., sqrt(winter1)*spring*fall*sqrt(winter2)); fall is ~Sept-Dec, winter is ~Jan-Apr, spring is ~May-Aug</t>
  </si>
  <si>
    <t>check s1-s3</t>
  </si>
  <si>
    <t>0 0 0 0</t>
  </si>
  <si>
    <t>1 1 1 1</t>
  </si>
  <si>
    <t>2 2 2 2</t>
  </si>
  <si>
    <t>1 1--2 2</t>
  </si>
  <si>
    <t>0 0--1 1</t>
  </si>
  <si>
    <t>2 2--3 3</t>
  </si>
  <si>
    <t>age sequence:</t>
  </si>
  <si>
    <t>sd</t>
  </si>
  <si>
    <t>cv</t>
  </si>
  <si>
    <t>&lt;&lt; resident fraction</t>
  </si>
  <si>
    <t>base smolt probs go here &gt;&gt;&gt;</t>
  </si>
  <si>
    <r>
      <t xml:space="preserve">Pre-spawn </t>
    </r>
    <r>
      <rPr>
        <u/>
        <sz val="11"/>
        <color theme="1"/>
        <rFont val="Calibri"/>
        <family val="2"/>
        <scheme val="minor"/>
      </rPr>
      <t>MORT</t>
    </r>
  </si>
  <si>
    <t>Calculated</t>
  </si>
  <si>
    <t>Region</t>
  </si>
  <si>
    <t>Notes</t>
  </si>
  <si>
    <t>0.06-0.09</t>
  </si>
  <si>
    <t>WA (yak)</t>
  </si>
  <si>
    <t>dated, uncertain</t>
  </si>
  <si>
    <t>0.06-0.11</t>
  </si>
  <si>
    <t>WA (klick)</t>
  </si>
  <si>
    <t>prelim</t>
  </si>
  <si>
    <r>
      <t>&lt;--mean or value to use (</t>
    </r>
    <r>
      <rPr>
        <sz val="11"/>
        <color rgb="FFFF0000"/>
        <rFont val="Calibri"/>
        <family val="2"/>
        <scheme val="minor"/>
      </rPr>
      <t>SURVIVAL</t>
    </r>
    <r>
      <rPr>
        <sz val="11"/>
        <color theme="1"/>
        <rFont val="Calibri"/>
        <family val="2"/>
        <scheme val="minor"/>
      </rPr>
      <t>)</t>
    </r>
  </si>
  <si>
    <t>(from Ruzycki and Tattam analysis of 2013 returns)</t>
  </si>
  <si>
    <t>Egg-to-fry</t>
  </si>
  <si>
    <t>Egg-to-smolt</t>
  </si>
  <si>
    <t>CA</t>
  </si>
  <si>
    <t>WA snow cr</t>
  </si>
  <si>
    <t>hatch</t>
  </si>
  <si>
    <t>midpoints where ranges were provided</t>
  </si>
  <si>
    <t>wild</t>
  </si>
  <si>
    <t>0.18-0.99</t>
  </si>
  <si>
    <t>OR</t>
  </si>
  <si>
    <t>unknown</t>
  </si>
  <si>
    <t>unk</t>
  </si>
  <si>
    <t>WA</t>
  </si>
  <si>
    <t>&lt;--mean</t>
  </si>
  <si>
    <t>Ref #</t>
  </si>
  <si>
    <t>Source desc.</t>
  </si>
  <si>
    <t>0.40-0.95</t>
  </si>
  <si>
    <t>ID</t>
  </si>
  <si>
    <t>Bley &amp; Moring 1988 USFWS review</t>
  </si>
  <si>
    <t>0.68-0.85</t>
  </si>
  <si>
    <t>varied</t>
  </si>
  <si>
    <t>Kiefer &amp; Lockhart 1992, BPA report (Intensive evaluation &amp; monitoring of Chinook salmon and steelhead trout…)</t>
  </si>
  <si>
    <t>Hockersmith et al. 1995, BPA report</t>
  </si>
  <si>
    <t>experiment</t>
  </si>
  <si>
    <t>meta analysis parms</t>
  </si>
  <si>
    <t>6, 7</t>
  </si>
  <si>
    <t>Zendt &amp; Keep prelim memo 2010 brood; Yakima Fisheries</t>
  </si>
  <si>
    <t>&lt;--mean or value to use</t>
  </si>
  <si>
    <t>Yakama Nation 2011-2012 prelim report</t>
  </si>
  <si>
    <t>Stowell et al. 1983 (cited in McHugh et al. 2004)</t>
  </si>
  <si>
    <t>Jensen et al. 2009, Reviews in Fishery Science</t>
  </si>
  <si>
    <t>Quinn 2005, table 15-1 (book)</t>
  </si>
  <si>
    <t>Egg-to-parr</t>
  </si>
  <si>
    <t>Fry-to-smolt</t>
  </si>
  <si>
    <t>ID (salmon)</t>
  </si>
  <si>
    <t>1+ parr, by90</t>
  </si>
  <si>
    <t>ID (crooked)</t>
  </si>
  <si>
    <t>1+ parr, by91</t>
  </si>
  <si>
    <t>0.004-0.038</t>
  </si>
  <si>
    <t>Parr-to-smolt</t>
  </si>
  <si>
    <t>2+ parr, by92, aug y to spring y+1</t>
  </si>
  <si>
    <t>2+ parr, by90, aug y to spring y+1</t>
  </si>
  <si>
    <t>2+ parr, by91, aug y to spring y+1</t>
  </si>
  <si>
    <t>Fry-to-parr</t>
  </si>
  <si>
    <t>2+ parr, by89, aug y to spring y+1</t>
  </si>
  <si>
    <t>0.10-0.20</t>
  </si>
  <si>
    <t>0.06-0.41</t>
  </si>
  <si>
    <t>0.06-0.42</t>
  </si>
  <si>
    <t>0.05-0.26</t>
  </si>
  <si>
    <t>BC</t>
  </si>
  <si>
    <t>param</t>
  </si>
  <si>
    <t>est</t>
  </si>
  <si>
    <t>se(est)</t>
  </si>
  <si>
    <t>MFJD fines</t>
  </si>
  <si>
    <t>b0</t>
  </si>
  <si>
    <t>pred LCB</t>
  </si>
  <si>
    <t>b1</t>
  </si>
  <si>
    <t>pred mean</t>
  </si>
  <si>
    <t>b2</t>
  </si>
  <si>
    <t>pred UCB</t>
  </si>
  <si>
    <t>(% fines &lt; 6.4 mm)</t>
  </si>
  <si>
    <t>Workup to compute egg-to-fry survival using Jensen et al. 2009 meta-relationship and sampling estimates of pool-tail fines from MFJD CHaMP surveys</t>
  </si>
  <si>
    <t>Summary stats from CHaMP MFJD sites, 2011-2013</t>
  </si>
  <si>
    <t>Mean</t>
  </si>
  <si>
    <t>SD</t>
  </si>
  <si>
    <t>MFJD fines (percents as numbers!!)</t>
  </si>
  <si>
    <t>&lt;&lt;--survival UCB (is fines LCB)</t>
  </si>
  <si>
    <t>&lt;&lt;--survival LCB (is fines UCB)</t>
  </si>
  <si>
    <t>&lt;&lt;--survival point est</t>
  </si>
  <si>
    <t>NOTE: at present these are straight means from an across-years lumping of CHaMP data; the true basin-wide mean, if needed, should reflect appropriately the design weights</t>
  </si>
  <si>
    <t>S fry is backed out from the egg-to-smolt survival given fines-based predictions of egg-to-fry survival (see S.egg) and Barker model est's of parr/pre-smolt survival (S.parr)</t>
  </si>
  <si>
    <t>for the complete disaggregation of egg-to-smolt survival into stage-specific values, see worksheet entitled 'e' (for emigration probability)</t>
  </si>
  <si>
    <t>egg-fry</t>
  </si>
  <si>
    <t>fry-parr</t>
  </si>
  <si>
    <t>Assumed post-spawn survival probability for O. mykiss</t>
  </si>
  <si>
    <t>Note this is approximation based on Westslope Cutthroat Trout est's for the Ram River, BC (not exactly resident O mykiss, I know), from Brown and Mackay 1995, CJFAS 52(5): 983-992</t>
  </si>
  <si>
    <t>average</t>
  </si>
  <si>
    <t>expected age comp</t>
  </si>
  <si>
    <t>SAR check</t>
  </si>
  <si>
    <t>(JDA-BON)</t>
  </si>
  <si>
    <t>model</t>
  </si>
  <si>
    <t>data</t>
  </si>
  <si>
    <t>smolts</t>
  </si>
  <si>
    <t>&lt;==based on average spawners and smolts (ratio of means)</t>
  </si>
  <si>
    <t>&lt;=average (mean of ratios)</t>
  </si>
  <si>
    <t>SAR</t>
  </si>
  <si>
    <t>Number of Sites (K)</t>
  </si>
  <si>
    <t>Number of Input Files</t>
  </si>
  <si>
    <t>Number of Land Use Classes (Q)</t>
  </si>
  <si>
    <t>Maximum used over all sites</t>
  </si>
  <si>
    <t>Number of Habitat Types (J)</t>
  </si>
  <si>
    <t>Number of Time Steps (Years) simulation (T)</t>
  </si>
  <si>
    <t>Note:  Run-Run Stochasticity Included for # simulations &gt; 1</t>
  </si>
  <si>
    <t>MC1</t>
  </si>
  <si>
    <t>1=run to run stochasticity for Table 2.3 and carrying capacity (2.4)</t>
  </si>
  <si>
    <t>MC2</t>
  </si>
  <si>
    <t>1=run to run stochasticity for productivity scalars</t>
  </si>
  <si>
    <t>MC3</t>
  </si>
  <si>
    <t>1=run to runstochasticity for life history parameters (survival by life stage)</t>
  </si>
  <si>
    <t>MC4</t>
  </si>
  <si>
    <t xml:space="preserve">1=temporal, spatial, and within site variability included w/ MC1, MC2, and MC3 selections.  </t>
  </si>
  <si>
    <t>Input File Times</t>
  </si>
  <si>
    <t>Site #</t>
  </si>
  <si>
    <t>Initial Values File Name</t>
  </si>
  <si>
    <t>Input File Names</t>
  </si>
  <si>
    <t>MiddleFork_JohnDay_inits.csv</t>
  </si>
  <si>
    <t>MiddleFork_JohnDay_Inputs.csv</t>
  </si>
  <si>
    <t>All Sites</t>
  </si>
  <si>
    <t>Cross Site Mig. Matrix File Name(s)</t>
  </si>
  <si>
    <t>Cross_Site_Migration_T1.csv</t>
  </si>
  <si>
    <t>Because the model processes repeat spawners inclusive of ocean survival and maturation, an additional modification is needed in order to get this right; i.e., the post-spawn survival must be divided by the next age's maturation probability</t>
  </si>
  <si>
    <t>1 salt</t>
  </si>
  <si>
    <t>2 salt</t>
  </si>
  <si>
    <t>3 salt</t>
  </si>
  <si>
    <t>This is the full-meal-deal non-stochastic run</t>
  </si>
  <si>
    <t>=1-f!K22</t>
  </si>
  <si>
    <t>&lt;==to JDA</t>
  </si>
  <si>
    <t>&lt;==use this value as 57% female is achievable model wise and consisten  with the data</t>
  </si>
  <si>
    <t>(NA--not est'd)</t>
  </si>
  <si>
    <t>Sr[k,(i+1),t]*(sum(Prod_Scalar[k,,i,t]*L[k,,t])/(um(L[k,,t])+.0000000000001))</t>
  </si>
  <si>
    <t>At SOUTH Fork Trap (Bare et al. 2015, but from raw data file from Ian, Feb 2015)</t>
  </si>
  <si>
    <t>(no SF smolt data prior to 2006 MY)</t>
  </si>
  <si>
    <t>Based on MF&amp;SF trap average sm/sp &amp; MF spawners</t>
  </si>
  <si>
    <t>This sheet is used to estimate age-specific emigration probabilities and fry-parr survivals consistent wih est'd parr survivals, spawner abundance, smolt/spawner, and model-predicted egg-fry survival</t>
  </si>
  <si>
    <t>N spawners</t>
  </si>
  <si>
    <t>age 1 ret</t>
  </si>
  <si>
    <t>age 2 ret</t>
  </si>
  <si>
    <t>age 3 ret</t>
  </si>
  <si>
    <t>(total adult returns to BON)</t>
  </si>
  <si>
    <t>MigYr</t>
  </si>
  <si>
    <t>WinBUGS data work up/format</t>
  </si>
  <si>
    <t>smolts at JDA</t>
  </si>
  <si>
    <t xml:space="preserve"> node</t>
  </si>
  <si>
    <t xml:space="preserve"> mean</t>
  </si>
  <si>
    <t xml:space="preserve"> sd</t>
  </si>
  <si>
    <t xml:space="preserve"> MC error</t>
  </si>
  <si>
    <t>median</t>
  </si>
  <si>
    <t>start</t>
  </si>
  <si>
    <t>sample</t>
  </si>
  <si>
    <t>Node statistics</t>
  </si>
  <si>
    <t>sum[1]</t>
  </si>
  <si>
    <t>sum[2]</t>
  </si>
  <si>
    <t>sum[3]</t>
  </si>
  <si>
    <t>sum[4]</t>
  </si>
  <si>
    <t>sum[5]</t>
  </si>
  <si>
    <t>sum[6]</t>
  </si>
  <si>
    <t>sum[7]</t>
  </si>
  <si>
    <t>sum[8]</t>
  </si>
  <si>
    <t>S1[1]</t>
  </si>
  <si>
    <t>S1[2]</t>
  </si>
  <si>
    <t>S1[3]</t>
  </si>
  <si>
    <t>S1[4]</t>
  </si>
  <si>
    <t>S1[5]</t>
  </si>
  <si>
    <t>S1[6]</t>
  </si>
  <si>
    <t>S1[7]</t>
  </si>
  <si>
    <t>S1[8]</t>
  </si>
  <si>
    <t>S2[1]</t>
  </si>
  <si>
    <t>S2[2]</t>
  </si>
  <si>
    <t>S2[3]</t>
  </si>
  <si>
    <t>S2[4]</t>
  </si>
  <si>
    <t>S2[5]</t>
  </si>
  <si>
    <t>S2[6]</t>
  </si>
  <si>
    <t>S2[7]</t>
  </si>
  <si>
    <t>S2[8]</t>
  </si>
  <si>
    <t>&lt;&lt;- mean of means</t>
  </si>
  <si>
    <t>parm</t>
  </si>
  <si>
    <t>mean of CSS yrs:</t>
  </si>
  <si>
    <t>median of CSS yrs:</t>
  </si>
  <si>
    <t>obs'd N</t>
  </si>
  <si>
    <t>obs/pred</t>
  </si>
  <si>
    <t>Model details:</t>
  </si>
  <si>
    <t>#Model</t>
  </si>
  <si>
    <t>model{</t>
  </si>
  <si>
    <t>#likelihood</t>
  </si>
  <si>
    <t>#autoregressive effect on survival through ocean age 1; let others be fixed</t>
  </si>
  <si>
    <t>S1[1]&lt;-init.S1</t>
  </si>
  <si>
    <t>for(i in 1:(N-1)){</t>
  </si>
  <si>
    <t>alpha[i] ~ dlnorm(1,tau.S1)#I(0,5) #AR term, 5-fold variation in SARs obs'd;</t>
  </si>
  <si>
    <t>S1[i+1] &lt;- S1[i] * alpha[i]</t>
  </si>
  <si>
    <t>}</t>
  </si>
  <si>
    <t>#observed data</t>
  </si>
  <si>
    <t>for(i in 1:N){</t>
  </si>
  <si>
    <t>a1[i] ~ dpois(a11[i])#,tau)</t>
  </si>
  <si>
    <t>a2[i] ~ dpois(a21[i])#,tau1)</t>
  </si>
  <si>
    <t>a3[i] ~ dpois(a31[i])#,tau2)</t>
  </si>
  <si>
    <t>a11[i]&lt;-sm[i]*S1[i]*m1</t>
  </si>
  <si>
    <t>a21[i]&lt;-sm[i]*S1[i]*(1-m1)*S2[i]*m2</t>
  </si>
  <si>
    <t>a31[i]&lt;-sm[i]*S1[i]*(1-m1)*S2[i]*(1-m2)*S3</t>
  </si>
  <si>
    <t>sum[i]&lt;-a11[i]+a21[i]+a31[i]</t>
  </si>
  <si>
    <t>S2[i] ~ dbeta(1,1)I(0.2,0.8) #year-varying but without correlation structure</t>
  </si>
  <si>
    <t xml:space="preserve">  </t>
  </si>
  <si>
    <t>#priors</t>
  </si>
  <si>
    <t>#jeffreys (vague) priors are dbeta(0.5,0.5), uniform is dbeta(1,1)</t>
  </si>
  <si>
    <t>init.S1~dbeta(1,1)#I(0,0.20) #First year survival is &lt;15%, constrain to &lt;20%</t>
  </si>
  <si>
    <t>#S2 ~ dbeta(1,1)#I(0.2,0.6) #year-varying but without correlation structure</t>
  </si>
  <si>
    <t>S3~dbeta(1,1)I(0.4,1) #increase range by doubling interval, fish LH assumptions</t>
  </si>
  <si>
    <t>m1~dbeta(1,1)#I(0,1)</t>
  </si>
  <si>
    <t>m2~dbeta(1,1)#I(0,1)</t>
  </si>
  <si>
    <t xml:space="preserve">#sd ~ dunif(0,100)  </t>
  </si>
  <si>
    <t xml:space="preserve">#sd1 ~ dunif(0,100) </t>
  </si>
  <si>
    <t xml:space="preserve">#sd2 ~ dunif(0,100) </t>
  </si>
  <si>
    <t xml:space="preserve">#tau &lt;- 1/(sd*sd)  </t>
  </si>
  <si>
    <t xml:space="preserve">#tau1 &lt;- 1/(sd1*sd1)  </t>
  </si>
  <si>
    <t>#tau2 &lt;- 1/(sd2*sd2)</t>
  </si>
  <si>
    <t>sd.S1~ dunif(0,5) #is standard deviation on S1, not abundance</t>
  </si>
  <si>
    <t xml:space="preserve">tau.S1&lt;-1/(sd.S1*sd.S1) </t>
  </si>
  <si>
    <t>#sd.S2~ dunif(0,3) #is standard deviation on S1, not abundance</t>
  </si>
  <si>
    <t xml:space="preserve">#tau.S2&lt;-1/(sd.S2*sd.S2) </t>
  </si>
  <si>
    <t>Event</t>
  </si>
  <si>
    <t>Bridge S</t>
  </si>
  <si>
    <t>Murd</t>
  </si>
  <si>
    <t>Spring</t>
  </si>
  <si>
    <t>Spring_2007</t>
  </si>
  <si>
    <t>Fall_2007</t>
  </si>
  <si>
    <t>Winter_2008</t>
  </si>
  <si>
    <t>Spring_2008</t>
  </si>
  <si>
    <t>Fall_2008</t>
  </si>
  <si>
    <t>Winter_2009</t>
  </si>
  <si>
    <t>Spring_2009</t>
  </si>
  <si>
    <t>Fall_2009</t>
  </si>
  <si>
    <t>Winter_2010</t>
  </si>
  <si>
    <t>Spring_2010</t>
  </si>
  <si>
    <t>Fall_2010</t>
  </si>
  <si>
    <t>Winter_2011</t>
  </si>
  <si>
    <t>Spring_2011</t>
  </si>
  <si>
    <t>Fall_2011</t>
  </si>
  <si>
    <t>Winter_2012</t>
  </si>
  <si>
    <t>Spring_2012</t>
  </si>
  <si>
    <t>Fall_2012</t>
  </si>
  <si>
    <t>Winter_2013</t>
  </si>
  <si>
    <t>Spring_2013</t>
  </si>
  <si>
    <t>Fall_2013</t>
  </si>
  <si>
    <t>From Carl Saunders June 16th email -- Barker Model survivals from the beav MS (Jun 2015 version)</t>
  </si>
  <si>
    <t>USE these for presmolt stages</t>
  </si>
  <si>
    <t>Use these for parr stages (they are size-adjusted and have potential for change due to growth/covariate)</t>
  </si>
  <si>
    <t>egg-parr</t>
  </si>
  <si>
    <t>&lt;&lt;-- mean egg-to-parr survival</t>
  </si>
  <si>
    <t>NREI?</t>
  </si>
  <si>
    <t>redds</t>
  </si>
  <si>
    <t>fec</t>
  </si>
  <si>
    <t>method</t>
  </si>
  <si>
    <t>NREI</t>
  </si>
  <si>
    <t>habSI</t>
  </si>
  <si>
    <t>This is the full-meal-deal Stochastic run</t>
  </si>
  <si>
    <t>CV</t>
  </si>
  <si>
    <t>&lt;&lt;designed to give 30% CV</t>
  </si>
  <si>
    <t>Table SX. Estimates of ocean adult survival and maturation probability by age…</t>
  </si>
  <si>
    <t>Symbol</t>
  </si>
  <si>
    <t>Est.</t>
  </si>
  <si>
    <t>CV(Est.)</t>
  </si>
  <si>
    <t>Parameter desc.</t>
  </si>
  <si>
    <t>Based on mean/SD yearly estimates</t>
  </si>
  <si>
    <t>OA-1 survival</t>
  </si>
  <si>
    <t>OA-2 survival</t>
  </si>
  <si>
    <t>OA-3 survival</t>
  </si>
  <si>
    <t>Prob. maturing OA 1</t>
  </si>
  <si>
    <t>Prob. maturing OA 2</t>
  </si>
  <si>
    <t>Prob. maturing OA 3</t>
  </si>
  <si>
    <t>S6</t>
  </si>
  <si>
    <t>S7</t>
  </si>
  <si>
    <t>S8</t>
  </si>
  <si>
    <t>S9</t>
  </si>
  <si>
    <t>S4</t>
  </si>
  <si>
    <t>S5</t>
  </si>
  <si>
    <t>S3, e1</t>
  </si>
  <si>
    <t>S4, e2</t>
  </si>
  <si>
    <t>S5, e3</t>
  </si>
  <si>
    <t>S10</t>
  </si>
  <si>
    <t>S11</t>
  </si>
  <si>
    <t>f1, f2, f3+</t>
  </si>
  <si>
    <t>N BON</t>
  </si>
  <si>
    <t>N TDA</t>
  </si>
  <si>
    <t>N TDA then JD1</t>
  </si>
  <si>
    <t>N TDA then MCN then JD1</t>
  </si>
  <si>
    <t>N TDA then MCN and never again downstream</t>
  </si>
  <si>
    <t>N TDA and never again anywhere</t>
  </si>
  <si>
    <t>Definition</t>
  </si>
  <si>
    <t>Egg-to-fry survival</t>
  </si>
  <si>
    <t>Fry-to-parr survival</t>
  </si>
  <si>
    <t>PS1-to-PS2 survival</t>
  </si>
  <si>
    <t>Survival from OA0 to OA1</t>
  </si>
  <si>
    <t>Survival from OA1 to OA2</t>
  </si>
  <si>
    <t>Survival from OA2 to OA3</t>
  </si>
  <si>
    <t>PS2-to-PS3 survival, and resident O. mykiss 3+ survival</t>
  </si>
  <si>
    <t>Post-spawn survival and repeat Bonneville return probability</t>
  </si>
  <si>
    <r>
      <rPr>
        <b/>
        <sz val="10"/>
        <color theme="1"/>
        <rFont val="Calibri"/>
        <family val="2"/>
        <scheme val="minor"/>
      </rPr>
      <t xml:space="preserve">Table S1. </t>
    </r>
    <r>
      <rPr>
        <sz val="10"/>
        <color theme="1"/>
        <rFont val="Calibri"/>
        <family val="2"/>
        <scheme val="minor"/>
      </rPr>
      <t>Life cycle model base parameter details.</t>
    </r>
  </si>
  <si>
    <t>Emigration probability for age 1 presmolts</t>
  </si>
  <si>
    <t>Emigration probability for age 2 presmolts</t>
  </si>
  <si>
    <t>Maturation probability for ocean age 1 fish</t>
  </si>
  <si>
    <t>Maturation probability for ocean age 2 fish</t>
  </si>
  <si>
    <t>Maturation probability for ocean age 3+ fish, assumed to be 100%</t>
  </si>
  <si>
    <t>Bouwes et al. (in prep) Barker Model capture-recapture estimates</t>
  </si>
  <si>
    <t>Bare et al. (2015) Cormack-Jolly-Seber survival estimates</t>
  </si>
  <si>
    <t>Derived from published SARs (McCann et al. 2015) using estimation framework described in supplementary appendix.</t>
  </si>
  <si>
    <t>J. Ruzycki and I. Tattam, unpublished data</t>
  </si>
  <si>
    <r>
      <rPr>
        <i/>
        <sz val="10"/>
        <color theme="1"/>
        <rFont val="Calibri"/>
        <family val="2"/>
        <scheme val="minor"/>
      </rPr>
      <t>S</t>
    </r>
    <r>
      <rPr>
        <vertAlign val="subscript"/>
        <sz val="10"/>
        <color theme="1"/>
        <rFont val="Calibri"/>
        <family val="2"/>
        <scheme val="minor"/>
      </rPr>
      <t>1</t>
    </r>
  </si>
  <si>
    <r>
      <rPr>
        <i/>
        <sz val="10"/>
        <color theme="1"/>
        <rFont val="Calibri"/>
        <family val="2"/>
        <scheme val="minor"/>
      </rPr>
      <t>S</t>
    </r>
    <r>
      <rPr>
        <vertAlign val="subscript"/>
        <sz val="10"/>
        <color theme="1"/>
        <rFont val="Calibri"/>
        <family val="2"/>
        <scheme val="minor"/>
      </rPr>
      <t>2</t>
    </r>
    <r>
      <rPr>
        <sz val="11"/>
        <color theme="1"/>
        <rFont val="Calibri"/>
        <family val="2"/>
        <scheme val="minor"/>
      </rPr>
      <t/>
    </r>
  </si>
  <si>
    <r>
      <rPr>
        <i/>
        <sz val="10"/>
        <color theme="1"/>
        <rFont val="Calibri"/>
        <family val="2"/>
        <scheme val="minor"/>
      </rPr>
      <t>S</t>
    </r>
    <r>
      <rPr>
        <vertAlign val="subscript"/>
        <sz val="10"/>
        <color theme="1"/>
        <rFont val="Calibri"/>
        <family val="2"/>
        <scheme val="minor"/>
      </rPr>
      <t>3</t>
    </r>
    <r>
      <rPr>
        <sz val="11"/>
        <color theme="1"/>
        <rFont val="Calibri"/>
        <family val="2"/>
        <scheme val="minor"/>
      </rPr>
      <t/>
    </r>
  </si>
  <si>
    <r>
      <rPr>
        <i/>
        <sz val="10"/>
        <color theme="1"/>
        <rFont val="Calibri"/>
        <family val="2"/>
        <scheme val="minor"/>
      </rPr>
      <t>S</t>
    </r>
    <r>
      <rPr>
        <vertAlign val="subscript"/>
        <sz val="10"/>
        <color theme="1"/>
        <rFont val="Calibri"/>
        <family val="2"/>
        <scheme val="minor"/>
      </rPr>
      <t>4</t>
    </r>
    <r>
      <rPr>
        <sz val="11"/>
        <color theme="1"/>
        <rFont val="Calibri"/>
        <family val="2"/>
        <scheme val="minor"/>
      </rPr>
      <t/>
    </r>
  </si>
  <si>
    <r>
      <rPr>
        <i/>
        <sz val="10"/>
        <color theme="1"/>
        <rFont val="Calibri"/>
        <family val="2"/>
        <scheme val="minor"/>
      </rPr>
      <t>S</t>
    </r>
    <r>
      <rPr>
        <vertAlign val="subscript"/>
        <sz val="10"/>
        <color theme="1"/>
        <rFont val="Calibri"/>
        <family val="2"/>
        <scheme val="minor"/>
      </rPr>
      <t>5</t>
    </r>
    <r>
      <rPr>
        <sz val="11"/>
        <color theme="1"/>
        <rFont val="Calibri"/>
        <family val="2"/>
        <scheme val="minor"/>
      </rPr>
      <t/>
    </r>
  </si>
  <si>
    <r>
      <rPr>
        <i/>
        <sz val="10"/>
        <color theme="1"/>
        <rFont val="Calibri"/>
        <family val="2"/>
        <scheme val="minor"/>
      </rPr>
      <t>S</t>
    </r>
    <r>
      <rPr>
        <vertAlign val="subscript"/>
        <sz val="10"/>
        <color theme="1"/>
        <rFont val="Calibri"/>
        <family val="2"/>
        <scheme val="minor"/>
      </rPr>
      <t>6</t>
    </r>
    <r>
      <rPr>
        <sz val="11"/>
        <color theme="1"/>
        <rFont val="Calibri"/>
        <family val="2"/>
        <scheme val="minor"/>
      </rPr>
      <t/>
    </r>
  </si>
  <si>
    <r>
      <rPr>
        <i/>
        <sz val="10"/>
        <color theme="1"/>
        <rFont val="Calibri"/>
        <family val="2"/>
        <scheme val="minor"/>
      </rPr>
      <t>S</t>
    </r>
    <r>
      <rPr>
        <vertAlign val="subscript"/>
        <sz val="10"/>
        <color theme="1"/>
        <rFont val="Calibri"/>
        <family val="2"/>
        <scheme val="minor"/>
      </rPr>
      <t>7</t>
    </r>
    <r>
      <rPr>
        <sz val="11"/>
        <color theme="1"/>
        <rFont val="Calibri"/>
        <family val="2"/>
        <scheme val="minor"/>
      </rPr>
      <t/>
    </r>
  </si>
  <si>
    <r>
      <rPr>
        <i/>
        <sz val="10"/>
        <color theme="1"/>
        <rFont val="Calibri"/>
        <family val="2"/>
        <scheme val="minor"/>
      </rPr>
      <t>S</t>
    </r>
    <r>
      <rPr>
        <vertAlign val="subscript"/>
        <sz val="10"/>
        <color theme="1"/>
        <rFont val="Calibri"/>
        <family val="2"/>
        <scheme val="minor"/>
      </rPr>
      <t>8</t>
    </r>
    <r>
      <rPr>
        <sz val="11"/>
        <color theme="1"/>
        <rFont val="Calibri"/>
        <family val="2"/>
        <scheme val="minor"/>
      </rPr>
      <t/>
    </r>
  </si>
  <si>
    <r>
      <rPr>
        <i/>
        <sz val="10"/>
        <color theme="1"/>
        <rFont val="Calibri"/>
        <family val="2"/>
        <scheme val="minor"/>
      </rPr>
      <t>S</t>
    </r>
    <r>
      <rPr>
        <vertAlign val="subscript"/>
        <sz val="10"/>
        <color theme="1"/>
        <rFont val="Calibri"/>
        <family val="2"/>
        <scheme val="minor"/>
      </rPr>
      <t>9</t>
    </r>
    <r>
      <rPr>
        <sz val="11"/>
        <color theme="1"/>
        <rFont val="Calibri"/>
        <family val="2"/>
        <scheme val="minor"/>
      </rPr>
      <t/>
    </r>
  </si>
  <si>
    <r>
      <rPr>
        <i/>
        <sz val="10"/>
        <color theme="1"/>
        <rFont val="Calibri"/>
        <family val="2"/>
        <scheme val="minor"/>
      </rPr>
      <t>S</t>
    </r>
    <r>
      <rPr>
        <vertAlign val="subscript"/>
        <sz val="10"/>
        <color theme="1"/>
        <rFont val="Calibri"/>
        <family val="2"/>
        <scheme val="minor"/>
      </rPr>
      <t>10</t>
    </r>
    <r>
      <rPr>
        <sz val="11"/>
        <color theme="1"/>
        <rFont val="Calibri"/>
        <family val="2"/>
        <scheme val="minor"/>
      </rPr>
      <t/>
    </r>
  </si>
  <si>
    <r>
      <rPr>
        <i/>
        <sz val="10"/>
        <color theme="1"/>
        <rFont val="Calibri"/>
        <family val="2"/>
        <scheme val="minor"/>
      </rPr>
      <t>S</t>
    </r>
    <r>
      <rPr>
        <vertAlign val="subscript"/>
        <sz val="10"/>
        <color theme="1"/>
        <rFont val="Calibri"/>
        <family val="2"/>
        <scheme val="minor"/>
      </rPr>
      <t>11</t>
    </r>
  </si>
  <si>
    <r>
      <rPr>
        <i/>
        <sz val="10"/>
        <color theme="1"/>
        <rFont val="Calibri"/>
        <family val="2"/>
        <scheme val="minor"/>
      </rPr>
      <t>e</t>
    </r>
    <r>
      <rPr>
        <vertAlign val="subscript"/>
        <sz val="10"/>
        <color theme="1"/>
        <rFont val="Calibri"/>
        <family val="2"/>
        <scheme val="minor"/>
      </rPr>
      <t>1</t>
    </r>
    <r>
      <rPr>
        <sz val="11"/>
        <color theme="1"/>
        <rFont val="Calibri"/>
        <family val="2"/>
        <scheme val="minor"/>
      </rPr>
      <t/>
    </r>
  </si>
  <si>
    <r>
      <rPr>
        <i/>
        <sz val="10"/>
        <color theme="1"/>
        <rFont val="Calibri"/>
        <family val="2"/>
        <scheme val="minor"/>
      </rPr>
      <t>e</t>
    </r>
    <r>
      <rPr>
        <vertAlign val="subscript"/>
        <sz val="10"/>
        <color theme="1"/>
        <rFont val="Calibri"/>
        <family val="2"/>
        <scheme val="minor"/>
      </rPr>
      <t>2</t>
    </r>
    <r>
      <rPr>
        <sz val="11"/>
        <color theme="1"/>
        <rFont val="Calibri"/>
        <family val="2"/>
        <scheme val="minor"/>
      </rPr>
      <t/>
    </r>
  </si>
  <si>
    <r>
      <rPr>
        <i/>
        <sz val="10"/>
        <color theme="1"/>
        <rFont val="Calibri"/>
        <family val="2"/>
        <scheme val="minor"/>
      </rPr>
      <t>e</t>
    </r>
    <r>
      <rPr>
        <vertAlign val="subscript"/>
        <sz val="10"/>
        <color theme="1"/>
        <rFont val="Calibri"/>
        <family val="2"/>
        <scheme val="minor"/>
      </rPr>
      <t>3</t>
    </r>
    <r>
      <rPr>
        <sz val="11"/>
        <color theme="1"/>
        <rFont val="Calibri"/>
        <family val="2"/>
        <scheme val="minor"/>
      </rPr>
      <t/>
    </r>
  </si>
  <si>
    <r>
      <rPr>
        <i/>
        <sz val="10"/>
        <color theme="1"/>
        <rFont val="Calibri"/>
        <family val="2"/>
        <scheme val="minor"/>
      </rPr>
      <t>m</t>
    </r>
    <r>
      <rPr>
        <vertAlign val="subscript"/>
        <sz val="10"/>
        <color theme="1"/>
        <rFont val="Calibri"/>
        <family val="2"/>
        <scheme val="minor"/>
      </rPr>
      <t>1</t>
    </r>
    <r>
      <rPr>
        <sz val="11"/>
        <color theme="1"/>
        <rFont val="Calibri"/>
        <family val="2"/>
        <scheme val="minor"/>
      </rPr>
      <t/>
    </r>
  </si>
  <si>
    <r>
      <rPr>
        <i/>
        <sz val="10"/>
        <color theme="1"/>
        <rFont val="Calibri"/>
        <family val="2"/>
        <scheme val="minor"/>
      </rPr>
      <t>m</t>
    </r>
    <r>
      <rPr>
        <vertAlign val="subscript"/>
        <sz val="10"/>
        <color theme="1"/>
        <rFont val="Calibri"/>
        <family val="2"/>
        <scheme val="minor"/>
      </rPr>
      <t>2</t>
    </r>
    <r>
      <rPr>
        <sz val="11"/>
        <color theme="1"/>
        <rFont val="Calibri"/>
        <family val="2"/>
        <scheme val="minor"/>
      </rPr>
      <t/>
    </r>
  </si>
  <si>
    <r>
      <rPr>
        <i/>
        <sz val="10"/>
        <color theme="1"/>
        <rFont val="Calibri"/>
        <family val="2"/>
        <scheme val="minor"/>
      </rPr>
      <t>m</t>
    </r>
    <r>
      <rPr>
        <vertAlign val="subscript"/>
        <sz val="10"/>
        <color theme="1"/>
        <rFont val="Calibri"/>
        <family val="2"/>
        <scheme val="minor"/>
      </rPr>
      <t>3</t>
    </r>
    <r>
      <rPr>
        <sz val="11"/>
        <color theme="1"/>
        <rFont val="Calibri"/>
        <family val="2"/>
        <scheme val="minor"/>
      </rPr>
      <t/>
    </r>
  </si>
  <si>
    <r>
      <rPr>
        <i/>
        <sz val="10"/>
        <color theme="1"/>
        <rFont val="Calibri"/>
        <family val="2"/>
        <scheme val="minor"/>
      </rPr>
      <t>f</t>
    </r>
    <r>
      <rPr>
        <vertAlign val="subscript"/>
        <sz val="10"/>
        <color theme="1"/>
        <rFont val="Calibri"/>
        <family val="2"/>
        <scheme val="minor"/>
      </rPr>
      <t>1</t>
    </r>
    <r>
      <rPr>
        <sz val="11"/>
        <color theme="1"/>
        <rFont val="Calibri"/>
        <family val="2"/>
        <scheme val="minor"/>
      </rPr>
      <t/>
    </r>
  </si>
  <si>
    <r>
      <rPr>
        <i/>
        <sz val="10"/>
        <color theme="1"/>
        <rFont val="Calibri"/>
        <family val="2"/>
        <scheme val="minor"/>
      </rPr>
      <t>f</t>
    </r>
    <r>
      <rPr>
        <vertAlign val="subscript"/>
        <sz val="10"/>
        <color theme="1"/>
        <rFont val="Calibri"/>
        <family val="2"/>
        <scheme val="minor"/>
      </rPr>
      <t>2</t>
    </r>
    <r>
      <rPr>
        <sz val="11"/>
        <color theme="1"/>
        <rFont val="Calibri"/>
        <family val="2"/>
        <scheme val="minor"/>
      </rPr>
      <t/>
    </r>
  </si>
  <si>
    <r>
      <rPr>
        <i/>
        <sz val="10"/>
        <color theme="1"/>
        <rFont val="Calibri"/>
        <family val="2"/>
        <scheme val="minor"/>
      </rPr>
      <t>f</t>
    </r>
    <r>
      <rPr>
        <vertAlign val="subscript"/>
        <sz val="10"/>
        <color theme="1"/>
        <rFont val="Calibri"/>
        <family val="2"/>
        <scheme val="minor"/>
      </rPr>
      <t>3</t>
    </r>
    <r>
      <rPr>
        <sz val="11"/>
        <color theme="1"/>
        <rFont val="Calibri"/>
        <family val="2"/>
        <scheme val="minor"/>
      </rPr>
      <t/>
    </r>
  </si>
  <si>
    <r>
      <rPr>
        <i/>
        <sz val="10"/>
        <color theme="1"/>
        <rFont val="Calibri"/>
        <family val="2"/>
        <scheme val="minor"/>
      </rPr>
      <t>P</t>
    </r>
    <r>
      <rPr>
        <vertAlign val="subscript"/>
        <sz val="10"/>
        <color theme="1"/>
        <rFont val="Calibri"/>
        <family val="2"/>
        <scheme val="minor"/>
      </rPr>
      <t>fem</t>
    </r>
  </si>
  <si>
    <t>Parr-to-PS1 (age 1 presmolt) survival</t>
  </si>
  <si>
    <t>Emigration probability for age 3 presmolts</t>
  </si>
  <si>
    <t>Fecundity of ocean age 1 fish</t>
  </si>
  <si>
    <t>Fecundity of ocean age 2 fish</t>
  </si>
  <si>
    <t>Fecundity of ocean age 3+ fish</t>
  </si>
  <si>
    <t>Adult sex ratio (proportion female)</t>
  </si>
  <si>
    <t>Life history variant</t>
  </si>
  <si>
    <r>
      <t xml:space="preserve">A joint </t>
    </r>
    <r>
      <rPr>
        <i/>
        <sz val="10"/>
        <color theme="1"/>
        <rFont val="Calibri"/>
        <family val="2"/>
        <scheme val="minor"/>
      </rPr>
      <t>S</t>
    </r>
    <r>
      <rPr>
        <vertAlign val="subscript"/>
        <sz val="10"/>
        <color theme="1"/>
        <rFont val="Calibri"/>
        <family val="2"/>
        <scheme val="minor"/>
      </rPr>
      <t>1</t>
    </r>
    <r>
      <rPr>
        <i/>
        <sz val="10"/>
        <color theme="1"/>
        <rFont val="Calibri"/>
        <family val="2"/>
        <scheme val="minor"/>
      </rPr>
      <t>S</t>
    </r>
    <r>
      <rPr>
        <vertAlign val="subscript"/>
        <sz val="10"/>
        <color theme="1"/>
        <rFont val="Calibri"/>
        <family val="2"/>
        <scheme val="minor"/>
      </rPr>
      <t>2</t>
    </r>
    <r>
      <rPr>
        <sz val="10"/>
        <color theme="1"/>
        <rFont val="Calibri"/>
        <family val="2"/>
        <scheme val="minor"/>
      </rPr>
      <t xml:space="preserve"> product was computed as a residual given estimates of </t>
    </r>
    <r>
      <rPr>
        <i/>
        <sz val="10"/>
        <color theme="1"/>
        <rFont val="Calibri"/>
        <family val="2"/>
        <scheme val="minor"/>
      </rPr>
      <t>S</t>
    </r>
    <r>
      <rPr>
        <vertAlign val="subscript"/>
        <sz val="10"/>
        <color theme="1"/>
        <rFont val="Calibri"/>
        <family val="2"/>
        <scheme val="minor"/>
      </rPr>
      <t>3</t>
    </r>
    <r>
      <rPr>
        <sz val="10"/>
        <color theme="1"/>
        <rFont val="Calibri"/>
        <family val="2"/>
        <scheme val="minor"/>
      </rPr>
      <t>-</t>
    </r>
    <r>
      <rPr>
        <i/>
        <sz val="10"/>
        <color theme="1"/>
        <rFont val="Calibri"/>
        <family val="2"/>
        <scheme val="minor"/>
      </rPr>
      <t>S</t>
    </r>
    <r>
      <rPr>
        <vertAlign val="subscript"/>
        <sz val="10"/>
        <color theme="1"/>
        <rFont val="Calibri"/>
        <family val="2"/>
        <scheme val="minor"/>
      </rPr>
      <t>5</t>
    </r>
    <r>
      <rPr>
        <sz val="10"/>
        <color theme="1"/>
        <rFont val="Calibri"/>
        <family val="2"/>
        <scheme val="minor"/>
      </rPr>
      <t xml:space="preserve">, smolts/spawner, brood year adult returns, </t>
    </r>
    <r>
      <rPr>
        <i/>
        <sz val="10"/>
        <color theme="1"/>
        <rFont val="Calibri"/>
        <family val="2"/>
        <scheme val="minor"/>
      </rPr>
      <t>f</t>
    </r>
    <r>
      <rPr>
        <vertAlign val="subscript"/>
        <sz val="10"/>
        <color theme="1"/>
        <rFont val="Calibri"/>
        <family val="2"/>
        <scheme val="minor"/>
      </rPr>
      <t>1</t>
    </r>
    <r>
      <rPr>
        <sz val="10"/>
        <color theme="1"/>
        <rFont val="Calibri"/>
        <family val="2"/>
        <scheme val="minor"/>
      </rPr>
      <t>-</t>
    </r>
    <r>
      <rPr>
        <i/>
        <sz val="10"/>
        <color theme="1"/>
        <rFont val="Calibri"/>
        <family val="2"/>
        <scheme val="minor"/>
      </rPr>
      <t>f</t>
    </r>
    <r>
      <rPr>
        <vertAlign val="subscript"/>
        <sz val="10"/>
        <color theme="1"/>
        <rFont val="Calibri"/>
        <family val="2"/>
        <scheme val="minor"/>
      </rPr>
      <t>3</t>
    </r>
    <r>
      <rPr>
        <sz val="10"/>
        <color theme="1"/>
        <rFont val="Calibri"/>
        <family val="2"/>
        <scheme val="minor"/>
      </rPr>
      <t>, and an assumed sex ratio (see text for details)</t>
    </r>
  </si>
  <si>
    <t>Steelhead</t>
  </si>
  <si>
    <t>Redband trout</t>
  </si>
  <si>
    <t>Survival from egg through to age 3+ life stages</t>
  </si>
  <si>
    <t>maturation for age 2+ redband trout</t>
  </si>
  <si>
    <t>Schill et al. (2010), values are gender biased and range from 45%/10% for age-2 males/females to 100% for all age 6+ fish</t>
  </si>
  <si>
    <t>fecundity for age 2+ redband trout</t>
  </si>
  <si>
    <t>Parameter source &amp; estimaton notes</t>
  </si>
  <si>
    <t>Based on MFJD sampling estimates of size-at-age (Bare et al. 2015) and the length-fecundity relationship of Schill et al. (2010)</t>
  </si>
  <si>
    <t>Bonneville Dam length-at-age observations (e.g., Whiteaker &amp; Fryer 2008) and the length--fecundty relationship of Hodges et al. (2014)</t>
  </si>
  <si>
    <t>Assumed to be 55-60% females given Bonneville Dam adult observations (e.g., Whiteaker &amp; Fryer 2008) and a review of sex-biased smolt patterns (Ohms et al. 2014)</t>
  </si>
  <si>
    <t>Survival from Bonneville Dam to the spawning grounds</t>
  </si>
  <si>
    <t>Survival from MFJD juvenile trap to John Day Dam</t>
  </si>
  <si>
    <r>
      <rPr>
        <i/>
        <sz val="10"/>
        <color theme="1"/>
        <rFont val="Calibri"/>
        <family val="2"/>
        <scheme val="minor"/>
      </rPr>
      <t>S</t>
    </r>
    <r>
      <rPr>
        <vertAlign val="subscript"/>
        <sz val="10"/>
        <color theme="1"/>
        <rFont val="Calibri"/>
        <family val="2"/>
        <scheme val="minor"/>
      </rPr>
      <t>1</t>
    </r>
    <r>
      <rPr>
        <sz val="10"/>
        <color theme="1"/>
        <rFont val="Calibri"/>
        <family val="2"/>
        <scheme val="minor"/>
      </rPr>
      <t>,</t>
    </r>
    <r>
      <rPr>
        <i/>
        <sz val="10"/>
        <color theme="1"/>
        <rFont val="Calibri"/>
        <family val="2"/>
        <scheme val="minor"/>
      </rPr>
      <t>S</t>
    </r>
    <r>
      <rPr>
        <vertAlign val="subscript"/>
        <sz val="10"/>
        <color theme="1"/>
        <rFont val="Calibri"/>
        <family val="2"/>
        <scheme val="minor"/>
      </rPr>
      <t>2</t>
    </r>
    <r>
      <rPr>
        <sz val="10"/>
        <color theme="1"/>
        <rFont val="Calibri"/>
        <family val="2"/>
        <scheme val="minor"/>
      </rPr>
      <t>,..,</t>
    </r>
    <r>
      <rPr>
        <i/>
        <sz val="10"/>
        <color theme="1"/>
        <rFont val="Calibri"/>
        <family val="2"/>
        <scheme val="minor"/>
      </rPr>
      <t>S</t>
    </r>
    <r>
      <rPr>
        <vertAlign val="subscript"/>
        <sz val="10"/>
        <color theme="1"/>
        <rFont val="Calibri"/>
        <family val="2"/>
        <scheme val="minor"/>
      </rPr>
      <t>5</t>
    </r>
  </si>
  <si>
    <r>
      <rPr>
        <i/>
        <sz val="10"/>
        <color theme="1"/>
        <rFont val="Calibri"/>
        <family val="2"/>
        <scheme val="minor"/>
      </rPr>
      <t>m</t>
    </r>
    <r>
      <rPr>
        <vertAlign val="subscript"/>
        <sz val="10"/>
        <color theme="1"/>
        <rFont val="Calibri"/>
        <family val="2"/>
        <scheme val="minor"/>
      </rPr>
      <t>1</t>
    </r>
    <r>
      <rPr>
        <sz val="10"/>
        <color theme="1"/>
        <rFont val="Calibri"/>
        <family val="2"/>
        <scheme val="minor"/>
      </rPr>
      <t>, m</t>
    </r>
    <r>
      <rPr>
        <vertAlign val="subscript"/>
        <sz val="10"/>
        <color theme="1"/>
        <rFont val="Calibri"/>
        <family val="2"/>
        <scheme val="minor"/>
      </rPr>
      <t>2</t>
    </r>
    <r>
      <rPr>
        <sz val="10"/>
        <color theme="1"/>
        <rFont val="Calibri"/>
        <family val="2"/>
        <scheme val="minor"/>
      </rPr>
      <t xml:space="preserve">, </t>
    </r>
    <r>
      <rPr>
        <i/>
        <sz val="10"/>
        <color theme="1"/>
        <rFont val="Calibri"/>
        <family val="2"/>
        <scheme val="minor"/>
      </rPr>
      <t>m</t>
    </r>
    <r>
      <rPr>
        <vertAlign val="subscript"/>
        <sz val="10"/>
        <color theme="1"/>
        <rFont val="Calibri"/>
        <family val="2"/>
        <scheme val="minor"/>
      </rPr>
      <t>3+</t>
    </r>
  </si>
  <si>
    <r>
      <rPr>
        <i/>
        <sz val="10"/>
        <color theme="1"/>
        <rFont val="Calibri"/>
        <family val="2"/>
        <scheme val="minor"/>
      </rPr>
      <t>f</t>
    </r>
    <r>
      <rPr>
        <vertAlign val="subscript"/>
        <sz val="10"/>
        <color theme="1"/>
        <rFont val="Calibri"/>
        <family val="2"/>
        <scheme val="minor"/>
      </rPr>
      <t>1</t>
    </r>
    <r>
      <rPr>
        <sz val="10"/>
        <color theme="1"/>
        <rFont val="Calibri"/>
        <family val="2"/>
        <scheme val="minor"/>
      </rPr>
      <t>, f</t>
    </r>
    <r>
      <rPr>
        <vertAlign val="subscript"/>
        <sz val="10"/>
        <color theme="1"/>
        <rFont val="Calibri"/>
        <family val="2"/>
        <scheme val="minor"/>
      </rPr>
      <t>2</t>
    </r>
    <r>
      <rPr>
        <sz val="10"/>
        <color theme="1"/>
        <rFont val="Calibri"/>
        <family val="2"/>
        <scheme val="minor"/>
      </rPr>
      <t xml:space="preserve">, </t>
    </r>
    <r>
      <rPr>
        <i/>
        <sz val="10"/>
        <color theme="1"/>
        <rFont val="Calibri"/>
        <family val="2"/>
        <scheme val="minor"/>
      </rPr>
      <t>f</t>
    </r>
    <r>
      <rPr>
        <vertAlign val="subscript"/>
        <sz val="10"/>
        <color theme="1"/>
        <rFont val="Calibri"/>
        <family val="2"/>
        <scheme val="minor"/>
      </rPr>
      <t>3+</t>
    </r>
  </si>
  <si>
    <t>Adult spawning capacity</t>
  </si>
  <si>
    <t>Estimated at the reach scale by CHaMP (CHaMP 2015) using the drift-foraging model of Wall et al. (in review); apportioned to age-0/age-1+ fractions based on average age structure (Bare et al. 2015); scaled to network/population-scale as described in manuscript body</t>
  </si>
  <si>
    <r>
      <rPr>
        <i/>
        <sz val="10"/>
        <color theme="1"/>
        <rFont val="Calibri"/>
        <family val="2"/>
        <scheme val="minor"/>
      </rPr>
      <t>c</t>
    </r>
    <r>
      <rPr>
        <vertAlign val="subscript"/>
        <sz val="10"/>
        <color theme="1"/>
        <rFont val="Calibri"/>
        <family val="2"/>
        <scheme val="minor"/>
      </rPr>
      <t>age0</t>
    </r>
  </si>
  <si>
    <r>
      <rPr>
        <i/>
        <sz val="10"/>
        <color theme="1"/>
        <rFont val="Calibri"/>
        <family val="2"/>
        <scheme val="minor"/>
      </rPr>
      <t>c</t>
    </r>
    <r>
      <rPr>
        <vertAlign val="subscript"/>
        <sz val="10"/>
        <color theme="1"/>
        <rFont val="Calibri"/>
        <family val="2"/>
        <scheme val="minor"/>
      </rPr>
      <t>age1+</t>
    </r>
  </si>
  <si>
    <r>
      <rPr>
        <i/>
        <sz val="10"/>
        <color theme="1"/>
        <rFont val="Calibri"/>
        <family val="2"/>
        <scheme val="minor"/>
      </rPr>
      <t>c</t>
    </r>
    <r>
      <rPr>
        <vertAlign val="subscript"/>
        <sz val="10"/>
        <color theme="1"/>
        <rFont val="Calibri"/>
        <family val="2"/>
        <scheme val="minor"/>
      </rPr>
      <t>spawn</t>
    </r>
  </si>
  <si>
    <r>
      <t xml:space="preserve">See note under </t>
    </r>
    <r>
      <rPr>
        <i/>
        <sz val="10"/>
        <color theme="1"/>
        <rFont val="Calibri"/>
        <family val="2"/>
        <scheme val="minor"/>
      </rPr>
      <t>c</t>
    </r>
    <r>
      <rPr>
        <vertAlign val="subscript"/>
        <sz val="10"/>
        <color theme="1"/>
        <rFont val="Calibri"/>
        <family val="2"/>
        <scheme val="minor"/>
      </rPr>
      <t>age0</t>
    </r>
  </si>
  <si>
    <r>
      <t xml:space="preserve">See note under </t>
    </r>
    <r>
      <rPr>
        <i/>
        <sz val="10"/>
        <color theme="1"/>
        <rFont val="Calibri"/>
        <family val="2"/>
        <scheme val="minor"/>
      </rPr>
      <t>S</t>
    </r>
    <r>
      <rPr>
        <vertAlign val="subscript"/>
        <sz val="10"/>
        <color theme="1"/>
        <rFont val="Calibri"/>
        <family val="2"/>
        <scheme val="minor"/>
      </rPr>
      <t>7</t>
    </r>
  </si>
  <si>
    <r>
      <t xml:space="preserve">See notes under </t>
    </r>
    <r>
      <rPr>
        <i/>
        <sz val="10"/>
        <color theme="1"/>
        <rFont val="Calibri"/>
        <family val="2"/>
        <scheme val="minor"/>
      </rPr>
      <t>S</t>
    </r>
    <r>
      <rPr>
        <vertAlign val="subscript"/>
        <sz val="10"/>
        <color theme="1"/>
        <rFont val="Calibri"/>
        <family val="2"/>
        <scheme val="minor"/>
      </rPr>
      <t>1</t>
    </r>
  </si>
  <si>
    <r>
      <t xml:space="preserve">Rearing capacity for age-0 </t>
    </r>
    <r>
      <rPr>
        <i/>
        <sz val="10"/>
        <color theme="1"/>
        <rFont val="Calibri"/>
        <family val="2"/>
        <scheme val="minor"/>
      </rPr>
      <t>O. mykiss</t>
    </r>
    <r>
      <rPr>
        <sz val="10"/>
        <color theme="1"/>
        <rFont val="Calibri"/>
        <family val="2"/>
        <scheme val="minor"/>
      </rPr>
      <t xml:space="preserve"> (steelhead + redband trout) parr</t>
    </r>
  </si>
  <si>
    <r>
      <t xml:space="preserve">Rearing capacity for age-1+ </t>
    </r>
    <r>
      <rPr>
        <i/>
        <sz val="10"/>
        <color theme="1"/>
        <rFont val="Calibri"/>
        <family val="2"/>
        <scheme val="minor"/>
      </rPr>
      <t>O. mykiss</t>
    </r>
    <r>
      <rPr>
        <sz val="10"/>
        <color theme="1"/>
        <rFont val="Calibri"/>
        <family val="2"/>
        <scheme val="minor"/>
      </rPr>
      <t xml:space="preserve"> (steelhead + redband trout) pre-smolts/residents</t>
    </r>
  </si>
  <si>
    <t>Estimated at the reach scale by CHaMP (CHaMP 2015) using a habitat suitability model-based approach (REF!!!!) and scaled to network/population-scale as described in manuscript body; note, the units for this input are eggs in the gravel</t>
  </si>
  <si>
    <r>
      <t xml:space="preserve">Same as steelhead values; </t>
    </r>
    <r>
      <rPr>
        <i/>
        <sz val="10"/>
        <color theme="1"/>
        <rFont val="Calibri"/>
        <family val="2"/>
        <scheme val="minor"/>
      </rPr>
      <t>S</t>
    </r>
    <r>
      <rPr>
        <vertAlign val="subscript"/>
        <sz val="10"/>
        <color theme="1"/>
        <rFont val="Calibri"/>
        <family val="2"/>
        <scheme val="minor"/>
      </rPr>
      <t>5</t>
    </r>
    <r>
      <rPr>
        <sz val="10"/>
        <color theme="1"/>
        <rFont val="Calibri"/>
        <family val="2"/>
        <scheme val="minor"/>
      </rPr>
      <t xml:space="preserve"> assumed for resident trout ages 3+ (max age = 6)</t>
    </r>
  </si>
  <si>
    <t>Nsmolt1</t>
  </si>
  <si>
    <t>Nsmolt2</t>
  </si>
  <si>
    <t>Nsmolt3</t>
  </si>
  <si>
    <t>Ntotal1</t>
  </si>
  <si>
    <t>Ntotal2</t>
  </si>
  <si>
    <t>Ntotal3</t>
  </si>
  <si>
    <t>e3*</t>
  </si>
  <si>
    <t>Egg-to-parr
Survival
(S1S2)</t>
  </si>
  <si>
    <t>Ntotal0</t>
  </si>
  <si>
    <t>mean:</t>
  </si>
  <si>
    <t>CV(mean):</t>
  </si>
  <si>
    <t>Stage-specific abundance</t>
  </si>
  <si>
    <t>Stage-specific vital rates</t>
  </si>
  <si>
    <t>Brood
Year</t>
  </si>
  <si>
    <t>&lt;&lt; percent of all fish making it ot age 1 presmolts that end up surviving to age 3 and staying as residents</t>
  </si>
  <si>
    <t>&lt;&lt; percent of all fish making it to age 3 that end up staying</t>
  </si>
  <si>
    <t>(all sites, years; GRTS rollup)</t>
  </si>
  <si>
    <t>% parr</t>
  </si>
  <si>
    <t>% presmolt</t>
  </si>
  <si>
    <t>Call:</t>
  </si>
  <si>
    <t xml:space="preserve">svyglm(formula = Fis100 ~ bfw * Tlev, data = data1, design = ssssrv, </t>
  </si>
  <si>
    <t>Survey design:</t>
  </si>
  <si>
    <t>svydesign(id = data1$FID, data = data1, weights = data1$wts)</t>
  </si>
  <si>
    <t>Coefficients:</t>
  </si>
  <si>
    <t>---</t>
  </si>
  <si>
    <t>Signif. codes:  0 ‘***’ 0.001 ‘**’ 0.01 ‘*’ 0.05 ‘.’ 0.1 ‘ ’ 1</t>
  </si>
  <si>
    <t>Number of Fisher Scoring iterations: 6</t>
  </si>
  <si>
    <t>bfw</t>
  </si>
  <si>
    <t>Tlev</t>
  </si>
  <si>
    <t>maxT</t>
  </si>
  <si>
    <t>s.length</t>
  </si>
  <si>
    <t>OBJECTID *</t>
  </si>
  <si>
    <t>From Carl's MFJD_1KmSegment_Bfwidth layer, with Pete's fancy footwork to merge Kris McNyset's temp</t>
  </si>
  <si>
    <t>&lt;&lt;&lt; THESE ARE THE PROPORTIONS THAT ARE USED TO DISAGGREGATE JUV CAP</t>
  </si>
  <si>
    <t xml:space="preserve">         INTO PARR AND PRESMOLT COMPONENTS (BASED ON AVE. DATA)</t>
  </si>
  <si>
    <t>Number of Fisher Scoring iterations: 5</t>
  </si>
  <si>
    <t>NREI was modeled as a function of Bankfull Width and a binary max Temp varaible (&gt;=24.4, &lt;24.4)</t>
  </si>
  <si>
    <t>Adult/egg capacity was modeled as a function of Bankfull Width</t>
  </si>
  <si>
    <t>NREI specs:</t>
  </si>
  <si>
    <t>1. Used average max for Jul-Aug 2013 as temp, where</t>
  </si>
  <si>
    <t xml:space="preserve">     the max is a rescaling of Kris's 8-d Ave layer for 2013 based</t>
  </si>
  <si>
    <t xml:space="preserve">     on empirical 7d mean vs. 7d max trib &amp; mainstem relations</t>
  </si>
  <si>
    <t xml:space="preserve">     based on means computed from all CHaMP samples in MFJD</t>
  </si>
  <si>
    <t>3. Used whatever year's run was available for each site,</t>
  </si>
  <si>
    <t xml:space="preserve">     this necessarily involved a hodgepodge of years</t>
  </si>
  <si>
    <t>4. Based on a generic 100 mm O. mykiss, barring pre-ran</t>
  </si>
  <si>
    <t xml:space="preserve">    sites which were based on a 91 mm fish (very close);</t>
  </si>
  <si>
    <t xml:space="preserve">    this aggregate capacity was disaggregated based on L-F data</t>
  </si>
  <si>
    <t xml:space="preserve">    from CHaMP reaches in the MFJD</t>
  </si>
  <si>
    <t>&lt;&lt;--Basin-scale capacity for 100 mm juveniles</t>
  </si>
  <si>
    <t>&lt;&lt;--Basin-scale capacity for eggs</t>
  </si>
  <si>
    <t>Adult capacity specs:</t>
  </si>
  <si>
    <t>These are based on Sara's July 2015 HSI runs; they're based on the Maret steelhead criteria</t>
  </si>
  <si>
    <t>with the CHaMP implementation, i.e., the capacity estimate is effectively the number of female</t>
  </si>
  <si>
    <t>territories (# redds * territory scalar) that can exist within a CHaMP reach; these were rescaled to</t>
  </si>
  <si>
    <t>fish/m for analysis purposes based on site length and the ratio of wetted area/modeled area (see Eric Wall Jul 21 email for MN specs)</t>
  </si>
  <si>
    <t>These values were then converted to eggs per meter based on the average fecundity of a female for the  MFJD (See S.egg for deets)</t>
  </si>
  <si>
    <t>FID_1</t>
  </si>
  <si>
    <t>Shape *</t>
  </si>
  <si>
    <t>FID_1_1</t>
  </si>
  <si>
    <t>Id</t>
  </si>
  <si>
    <t>length</t>
  </si>
  <si>
    <t>ORIG_FID</t>
  </si>
  <si>
    <t>Count_</t>
  </si>
  <si>
    <t>Avg_x_star</t>
  </si>
  <si>
    <t>Avg_y_star</t>
  </si>
  <si>
    <t>Avg_x_end</t>
  </si>
  <si>
    <t>Avg_y_end</t>
  </si>
  <si>
    <t>Avg_ORIG_F</t>
  </si>
  <si>
    <t>Avg_Trans_</t>
  </si>
  <si>
    <t>Avg_Len_Co</t>
  </si>
  <si>
    <t>Count_1</t>
  </si>
  <si>
    <t>Avg_Tmn_13_177</t>
  </si>
  <si>
    <t>Avg_Tmn_13_185</t>
  </si>
  <si>
    <t>Avg_Tmn_13_193</t>
  </si>
  <si>
    <t>Avg_Tmn_13_201</t>
  </si>
  <si>
    <t>Avg_Tmn_13_209</t>
  </si>
  <si>
    <t>Avg_Tmn_13_217</t>
  </si>
  <si>
    <t>Avg_Tmn_13_225</t>
  </si>
  <si>
    <t>Avg_Tmn_13_233</t>
  </si>
  <si>
    <t>Avg_Tmn_13_241</t>
  </si>
  <si>
    <t>Avg_RCAID</t>
  </si>
  <si>
    <t>Avg_COMID</t>
  </si>
  <si>
    <t>Avg_JulAug8DAA</t>
  </si>
  <si>
    <t>Avg_AveMax</t>
  </si>
  <si>
    <t>Avg_BUFF_DIST</t>
  </si>
  <si>
    <t>Avg_ORIG_FID</t>
  </si>
  <si>
    <t>Avg_Shape_Length</t>
  </si>
  <si>
    <t>Avg_Shape_Area</t>
  </si>
  <si>
    <t>Shape_Length</t>
  </si>
  <si>
    <t>Reach</t>
  </si>
  <si>
    <t>Polyline ZM</t>
  </si>
  <si>
    <t>IMW km</t>
  </si>
  <si>
    <t>Tot km</t>
  </si>
  <si>
    <t>compute assuming single thread</t>
  </si>
  <si>
    <t>Stream</t>
  </si>
  <si>
    <t>KM</t>
  </si>
  <si>
    <t>HS km</t>
  </si>
  <si>
    <t>ORIGINAL</t>
  </si>
  <si>
    <t>HEATSOURCE</t>
  </si>
  <si>
    <t>Not Including Spawning Gravel</t>
  </si>
  <si>
    <t>Number of MonteCarlo Simulations (R)</t>
  </si>
  <si>
    <t>Juvenile Scen</t>
  </si>
  <si>
    <t>(50 plus 25 year burn in)</t>
  </si>
  <si>
    <t>Ian Tattam, Oct 2015 Update</t>
  </si>
  <si>
    <t>BON-JD R</t>
  </si>
  <si>
    <t>&lt;&lt; Mean</t>
  </si>
  <si>
    <t>&lt;&lt; SD</t>
  </si>
  <si>
    <t>&lt;&lt; CV</t>
  </si>
  <si>
    <t>2 levels</t>
  </si>
  <si>
    <t>Optimistic</t>
  </si>
  <si>
    <t>Pessimistic</t>
  </si>
  <si>
    <t>For modeling</t>
  </si>
  <si>
    <t>(is actual SD based on 2012-2014 run reconstructions)</t>
  </si>
  <si>
    <t>UPDTED OCT 2015</t>
  </si>
  <si>
    <t>[Ian says ODFW data suggests it is considerably higher [80%+], esp. for fems;  given uncertainty, we'll use a conservative in-between value, 50%]</t>
  </si>
  <si>
    <t>(Bateman et al. 2009, NAJFM; Table 1) -- Bateman is 74%</t>
  </si>
  <si>
    <t>Opt/Pes/Bas</t>
  </si>
  <si>
    <t>Although validation is virtually impossible with a model like this, we can at least cross check predictions with a few empirical observations, including:</t>
  </si>
  <si>
    <t>1. average escapement</t>
  </si>
  <si>
    <t>2. spawner:spawner</t>
  </si>
  <si>
    <t>3. adult age structure</t>
  </si>
  <si>
    <t>4. juvenile emigrant age structure</t>
  </si>
  <si>
    <t>5. smolts/spawner</t>
  </si>
  <si>
    <t>not really independent</t>
  </si>
  <si>
    <t>sort of independent</t>
  </si>
  <si>
    <t>NTP</t>
  </si>
  <si>
    <t>HS NTP</t>
  </si>
  <si>
    <t>HS Rest</t>
  </si>
  <si>
    <t>Restore+20</t>
  </si>
  <si>
    <t>Temperatures from Heat Source Run</t>
  </si>
  <si>
    <t>CCC</t>
  </si>
  <si>
    <t>HS CCC</t>
  </si>
  <si>
    <t>Base 2013 temp</t>
  </si>
  <si>
    <t>Restoration</t>
  </si>
  <si>
    <t>CCC dif</t>
  </si>
  <si>
    <t>NTP dif</t>
  </si>
  <si>
    <t>Rest dif</t>
  </si>
  <si>
    <t>NTP temp</t>
  </si>
  <si>
    <t>Prediction files for R (all are formlae referencing things to left)</t>
  </si>
  <si>
    <t>The intermediate work up table.</t>
  </si>
  <si>
    <t>Jul-Aug Ave8DADM</t>
  </si>
  <si>
    <t>base</t>
  </si>
  <si>
    <t>Rest</t>
  </si>
  <si>
    <t>OldNTP</t>
  </si>
  <si>
    <t xml:space="preserve">    family = quasipoisson)</t>
  </si>
  <si>
    <t>(Dispersion parameter for quasipoisson family taken to be 12.61252)</t>
  </si>
  <si>
    <t>2. Used a trib (1.6) and mainstem (1.1) drift density,</t>
  </si>
  <si>
    <t>5. We also used a 55% cap efficiency</t>
  </si>
  <si>
    <t xml:space="preserve">[1,] "Base Cap =  1168495" </t>
  </si>
  <si>
    <t xml:space="preserve">[2,] "NTP Cap =  1865950"  </t>
  </si>
  <si>
    <t>[3,] "Rest. Cap =  1277604"</t>
  </si>
  <si>
    <t>&lt;&lt;--NTP (climax restoration) capacity for 100 mm juveniles</t>
  </si>
  <si>
    <t>&lt;&lt;--Ongoing restoration capacity for 100 mm juveniles</t>
  </si>
  <si>
    <t>Pseudo-R2 =</t>
  </si>
  <si>
    <t>svyglm(formula = eggP ~ bfw, data = data1, design = ssssrv, family = quasipoisson)</t>
  </si>
  <si>
    <t>(Dispersion parameter for quasipoisson family taken to be 110.5896)</t>
  </si>
  <si>
    <t>Pseudo R2 = 0.7695</t>
  </si>
  <si>
    <t>Parameter</t>
  </si>
  <si>
    <t>Intercept</t>
  </si>
  <si>
    <t>BFW</t>
  </si>
  <si>
    <t>t</t>
  </si>
  <si>
    <t>P-value</t>
  </si>
  <si>
    <t>Std.</t>
  </si>
  <si>
    <t>Error</t>
  </si>
  <si>
    <t>value</t>
  </si>
  <si>
    <t>Pr(&gt;|t|)</t>
  </si>
  <si>
    <t>(Intercept)</t>
  </si>
  <si>
    <t>&lt;</t>
  </si>
  <si>
    <t>***</t>
  </si>
  <si>
    <t>&lt;0.001</t>
  </si>
  <si>
    <t>Dispersion parameter: 110.6</t>
  </si>
  <si>
    <t>Residual Deviance: 644; Null Deviance: 9392</t>
  </si>
  <si>
    <t>DF  Total = 53; DF Resid = 50</t>
  </si>
  <si>
    <r>
      <t>Pseudo-R</t>
    </r>
    <r>
      <rPr>
        <vertAlign val="superscript"/>
        <sz val="11"/>
        <color theme="1"/>
        <rFont val="Calibri"/>
        <family val="2"/>
        <scheme val="minor"/>
      </rPr>
      <t>2</t>
    </r>
    <r>
      <rPr>
        <sz val="11"/>
        <color theme="1"/>
        <rFont val="Calibri"/>
        <family val="2"/>
        <scheme val="minor"/>
      </rPr>
      <t>: 0.93</t>
    </r>
  </si>
  <si>
    <t>bfw:Tlev</t>
  </si>
  <si>
    <t>DF  Total = 53; DF Resid = 52</t>
  </si>
  <si>
    <t>Dispersion parameter: 12.6</t>
  </si>
  <si>
    <t>Residual Deviance: 6267; Null Deviance: 26770</t>
  </si>
  <si>
    <r>
      <t>Pseudo-R</t>
    </r>
    <r>
      <rPr>
        <vertAlign val="superscript"/>
        <sz val="11"/>
        <color theme="1"/>
        <rFont val="Calibri"/>
        <family val="2"/>
        <scheme val="minor"/>
      </rPr>
      <t>2</t>
    </r>
    <r>
      <rPr>
        <sz val="11"/>
        <color theme="1"/>
        <rFont val="Calibri"/>
        <family val="2"/>
        <scheme val="minor"/>
      </rPr>
      <t>: 0.77</t>
    </r>
  </si>
  <si>
    <t>Temp</t>
  </si>
  <si>
    <t>TempXBFW</t>
  </si>
  <si>
    <t>&lt;&lt;-grts</t>
  </si>
  <si>
    <t>T</t>
  </si>
  <si>
    <t>Sbase</t>
  </si>
  <si>
    <t>SNTP</t>
  </si>
  <si>
    <t>Srest</t>
  </si>
  <si>
    <t>Temperature scalar</t>
  </si>
  <si>
    <t>&lt;&lt;---increase to get N at end of burn in to be close to present</t>
  </si>
  <si>
    <t>Example work up for modeling the temperature restoration benefits for juvenile survival</t>
  </si>
  <si>
    <t>Ave Jul-Aug Max T</t>
  </si>
  <si>
    <t>60-d survival based on Bear et al.</t>
  </si>
  <si>
    <t>Length (m)</t>
  </si>
  <si>
    <t>Base</t>
  </si>
  <si>
    <t>Restore</t>
  </si>
  <si>
    <t>Step 1. compute the weighted-average survival for basin for each scenario using Bear et al. (2007) TAFS equation</t>
  </si>
  <si>
    <t>&lt;&lt;= weighted average survivals for all reaches based on from Bear et al. equation</t>
  </si>
  <si>
    <t>Step 2. compute scalar differential between base and scenario weighted-average survival</t>
  </si>
  <si>
    <t>Base scalar (= 1.00)</t>
  </si>
  <si>
    <t>NTP scalar</t>
  </si>
  <si>
    <t>Rest scalar</t>
  </si>
  <si>
    <t>Step 3. Re-scale the baseline survival input for a given stage using the scalar.</t>
  </si>
  <si>
    <t>Base age-0 S (just e.g., value)</t>
  </si>
  <si>
    <t>NTP age-0 S</t>
  </si>
  <si>
    <t>Rest age-0 S</t>
  </si>
  <si>
    <t>RestorationScen</t>
  </si>
  <si>
    <t>S1 point est's</t>
  </si>
  <si>
    <t>average year</t>
  </si>
  <si>
    <t>low years</t>
  </si>
  <si>
    <t>high years</t>
  </si>
  <si>
    <t>pattern:</t>
  </si>
  <si>
    <t>low-low-average-high-high-average-low-low-average…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</si>
</sst>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3" formatCode="_(* #,##0.00_);_(* \(#,##0.00\);_(* &quot;-&quot;??_);_(@_)"/>
    <numFmt numFmtId="164" formatCode="0.000"/>
    <numFmt numFmtId="165" formatCode="0.0"/>
    <numFmt numFmtId="166" formatCode="#,##0.0"/>
    <numFmt numFmtId="167" formatCode="0.0%"/>
    <numFmt numFmtId="168" formatCode="0.0000"/>
    <numFmt numFmtId="169" formatCode="0.00000"/>
    <numFmt numFmtId="170" formatCode="0.000%"/>
    <numFmt numFmtId="171" formatCode="0.0000%"/>
    <numFmt numFmtId="172" formatCode="0.000000000000000%"/>
    <numFmt numFmtId="173" formatCode="_(* #,##0_);_(* \(#,##0\);_(* &quot;-&quot;??_);_(@_)"/>
  </numFmts>
  <fonts count="44">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2"/>
      <color theme="1"/>
      <name val="Calibri"/>
      <family val="2"/>
      <scheme val="minor"/>
    </font>
    <font>
      <b/>
      <sz val="11"/>
      <color rgb="FFFF0000"/>
      <name val="Calibri"/>
      <family val="2"/>
      <scheme val="minor"/>
    </font>
    <font>
      <b/>
      <sz val="9"/>
      <color indexed="81"/>
      <name val="Tahoma"/>
      <family val="2"/>
    </font>
    <font>
      <sz val="9"/>
      <color indexed="81"/>
      <name val="Tahoma"/>
      <family val="2"/>
    </font>
    <font>
      <sz val="11"/>
      <color rgb="FF9C0006"/>
      <name val="Calibri"/>
      <family val="2"/>
      <scheme val="minor"/>
    </font>
    <font>
      <sz val="11"/>
      <color theme="0"/>
      <name val="Calibri"/>
      <family val="2"/>
      <scheme val="minor"/>
    </font>
    <font>
      <vertAlign val="superscript"/>
      <sz val="11"/>
      <color theme="1"/>
      <name val="Calibri"/>
      <family val="2"/>
      <scheme val="minor"/>
    </font>
    <font>
      <b/>
      <sz val="14"/>
      <color theme="1"/>
      <name val="Calibri"/>
      <family val="2"/>
      <scheme val="minor"/>
    </font>
    <font>
      <b/>
      <i/>
      <sz val="14"/>
      <color theme="1"/>
      <name val="Calibri"/>
      <family val="2"/>
      <scheme val="minor"/>
    </font>
    <font>
      <i/>
      <sz val="12"/>
      <color theme="1"/>
      <name val="Calibri"/>
      <family val="2"/>
      <scheme val="minor"/>
    </font>
    <font>
      <b/>
      <sz val="10"/>
      <name val="Arial"/>
      <family val="2"/>
    </font>
    <font>
      <sz val="10"/>
      <name val="Arial"/>
      <family val="2"/>
    </font>
    <font>
      <b/>
      <u/>
      <sz val="14"/>
      <color theme="1"/>
      <name val="Calibri"/>
      <family val="2"/>
      <scheme val="minor"/>
    </font>
    <font>
      <b/>
      <u/>
      <sz val="11"/>
      <color theme="1"/>
      <name val="Calibri"/>
      <family val="2"/>
      <scheme val="minor"/>
    </font>
    <font>
      <b/>
      <sz val="12"/>
      <color rgb="FFFF0000"/>
      <name val="Calibri"/>
      <family val="2"/>
      <scheme val="minor"/>
    </font>
    <font>
      <sz val="12"/>
      <color rgb="FFFF0000"/>
      <name val="Calibri"/>
      <family val="2"/>
      <scheme val="minor"/>
    </font>
    <font>
      <b/>
      <sz val="11"/>
      <color rgb="FF0070C0"/>
      <name val="Calibri"/>
      <family val="2"/>
      <scheme val="minor"/>
    </font>
    <font>
      <sz val="11"/>
      <name val="Calibri"/>
      <family val="2"/>
      <scheme val="minor"/>
    </font>
    <font>
      <sz val="10"/>
      <color theme="1"/>
      <name val="Helvetica Light"/>
      <family val="2"/>
    </font>
    <font>
      <sz val="16"/>
      <color theme="1"/>
      <name val="Calibri"/>
      <family val="2"/>
      <scheme val="minor"/>
    </font>
    <font>
      <b/>
      <sz val="11"/>
      <name val="Calibri"/>
      <family val="2"/>
      <scheme val="minor"/>
    </font>
    <font>
      <u/>
      <sz val="11"/>
      <color theme="1"/>
      <name val="Calibri"/>
      <family val="2"/>
      <scheme val="minor"/>
    </font>
    <font>
      <strike/>
      <sz val="11"/>
      <color theme="1"/>
      <name val="Calibri"/>
      <family val="2"/>
      <scheme val="minor"/>
    </font>
    <font>
      <b/>
      <sz val="12"/>
      <color theme="0"/>
      <name val="Calibri"/>
      <family val="2"/>
      <scheme val="minor"/>
    </font>
    <font>
      <b/>
      <sz val="14"/>
      <color theme="0"/>
      <name val="Calibri"/>
      <family val="2"/>
      <scheme val="minor"/>
    </font>
    <font>
      <sz val="11"/>
      <color theme="4" tint="-0.499984740745262"/>
      <name val="Calibri"/>
      <family val="2"/>
      <scheme val="minor"/>
    </font>
    <font>
      <sz val="11"/>
      <color indexed="8"/>
      <name val="Calibri"/>
      <family val="2"/>
    </font>
    <font>
      <sz val="10"/>
      <color indexed="8"/>
      <name val="Arial"/>
      <family val="2"/>
    </font>
    <font>
      <sz val="11"/>
      <color rgb="FF9C6500"/>
      <name val="Calibri"/>
      <family val="2"/>
      <scheme val="minor"/>
    </font>
    <font>
      <sz val="10"/>
      <color theme="1"/>
      <name val="Calibri"/>
      <family val="2"/>
      <scheme val="minor"/>
    </font>
    <font>
      <b/>
      <sz val="10"/>
      <color theme="1"/>
      <name val="Calibri"/>
      <family val="2"/>
      <scheme val="minor"/>
    </font>
    <font>
      <vertAlign val="subscript"/>
      <sz val="10"/>
      <color theme="1"/>
      <name val="Calibri"/>
      <family val="2"/>
      <scheme val="minor"/>
    </font>
    <font>
      <i/>
      <sz val="10"/>
      <color theme="1"/>
      <name val="Calibri"/>
      <family val="2"/>
      <scheme val="minor"/>
    </font>
    <font>
      <sz val="11"/>
      <color rgb="FF006100"/>
      <name val="Calibri"/>
      <family val="2"/>
      <scheme val="minor"/>
    </font>
    <font>
      <sz val="10"/>
      <color rgb="FF000000"/>
      <name val="Lucida Console"/>
      <family val="3"/>
    </font>
    <font>
      <b/>
      <sz val="14"/>
      <color theme="4" tint="-0.249977111117893"/>
      <name val="Calibri"/>
      <family val="2"/>
      <scheme val="minor"/>
    </font>
    <font>
      <b/>
      <sz val="16"/>
      <color rgb="FF006100"/>
      <name val="Calibri"/>
      <family val="2"/>
      <scheme val="minor"/>
    </font>
    <font>
      <sz val="12"/>
      <color theme="1"/>
      <name val="Calibri"/>
      <family val="2"/>
      <scheme val="minor"/>
    </font>
    <font>
      <b/>
      <sz val="16"/>
      <color theme="1"/>
      <name val="Calibri"/>
      <family val="2"/>
      <scheme val="minor"/>
    </font>
    <font>
      <sz val="11"/>
      <color rgb="FF3F3F76"/>
      <name val="Calibri"/>
      <family val="2"/>
      <scheme val="minor"/>
    </font>
  </fonts>
  <fills count="38">
    <fill>
      <patternFill patternType="none"/>
    </fill>
    <fill>
      <patternFill patternType="gray125"/>
    </fill>
    <fill>
      <patternFill patternType="solid">
        <fgColor theme="7" tint="0.39997558519241921"/>
        <bgColor indexed="64"/>
      </patternFill>
    </fill>
    <fill>
      <patternFill patternType="solid">
        <fgColor theme="5" tint="0.39997558519241921"/>
        <bgColor indexed="64"/>
      </patternFill>
    </fill>
    <fill>
      <patternFill patternType="solid">
        <fgColor theme="0" tint="-0.34998626667073579"/>
        <bgColor indexed="64"/>
      </patternFill>
    </fill>
    <fill>
      <patternFill patternType="solid">
        <fgColor rgb="FFFFFF00"/>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C7CE"/>
      </patternFill>
    </fill>
    <fill>
      <patternFill patternType="solid">
        <fgColor theme="5"/>
      </patternFill>
    </fill>
    <fill>
      <patternFill patternType="solid">
        <fgColor theme="5" tint="0.59999389629810485"/>
        <bgColor indexed="65"/>
      </patternFill>
    </fill>
    <fill>
      <patternFill patternType="solid">
        <fgColor rgb="FFFFC000"/>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39997558519241921"/>
        <bgColor indexed="65"/>
      </patternFill>
    </fill>
    <fill>
      <patternFill patternType="solid">
        <fgColor theme="8"/>
      </patternFill>
    </fill>
    <fill>
      <patternFill patternType="solid">
        <fgColor theme="3" tint="0.39997558519241921"/>
        <bgColor indexed="64"/>
      </patternFill>
    </fill>
    <fill>
      <patternFill patternType="solid">
        <fgColor theme="6" tint="0.39997558519241921"/>
        <bgColor indexed="64"/>
      </patternFill>
    </fill>
    <fill>
      <patternFill patternType="solid">
        <fgColor theme="8" tint="0.79998168889431442"/>
        <bgColor indexed="65"/>
      </patternFill>
    </fill>
    <fill>
      <patternFill patternType="solid">
        <fgColor theme="9"/>
      </patternFill>
    </fill>
    <fill>
      <patternFill patternType="solid">
        <fgColor rgb="FF92D050"/>
        <bgColor indexed="64"/>
      </patternFill>
    </fill>
    <fill>
      <patternFill patternType="solid">
        <fgColor theme="9" tint="0.59999389629810485"/>
        <bgColor indexed="65"/>
      </patternFill>
    </fill>
    <fill>
      <patternFill patternType="solid">
        <fgColor theme="3" tint="0.59999389629810485"/>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rgb="FFFF3300"/>
        <bgColor indexed="64"/>
      </patternFill>
    </fill>
    <fill>
      <patternFill patternType="solid">
        <fgColor rgb="FF669900"/>
        <bgColor indexed="64"/>
      </patternFill>
    </fill>
    <fill>
      <patternFill patternType="solid">
        <fgColor theme="6" tint="0.79998168889431442"/>
        <bgColor indexed="65"/>
      </patternFill>
    </fill>
    <fill>
      <patternFill patternType="solid">
        <fgColor rgb="FFFFEB9C"/>
      </patternFill>
    </fill>
    <fill>
      <patternFill patternType="solid">
        <fgColor theme="0" tint="-0.499984740745262"/>
        <bgColor indexed="64"/>
      </patternFill>
    </fill>
    <fill>
      <patternFill patternType="solid">
        <fgColor rgb="FFC6EFCE"/>
      </patternFill>
    </fill>
    <fill>
      <patternFill patternType="solid">
        <fgColor rgb="FFFF5050"/>
        <bgColor indexed="64"/>
      </patternFill>
    </fill>
    <fill>
      <patternFill patternType="solid">
        <fgColor rgb="FFFFCC99"/>
      </patternFill>
    </fill>
    <fill>
      <patternFill patternType="solid">
        <fgColor theme="8" tint="0.39997558519241921"/>
        <bgColor indexed="64"/>
      </patternFill>
    </fill>
  </fills>
  <borders count="46">
    <border>
      <left/>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s>
  <cellStyleXfs count="20">
    <xf numFmtId="0" fontId="0" fillId="0" borderId="0"/>
    <xf numFmtId="9" fontId="1" fillId="0" borderId="0" applyFont="0" applyFill="0" applyBorder="0" applyAlignment="0" applyProtection="0"/>
    <xf numFmtId="0" fontId="8" fillId="10" borderId="0" applyNumberFormat="0" applyBorder="0" applyAlignment="0" applyProtection="0"/>
    <xf numFmtId="0" fontId="9" fillId="11" borderId="0" applyNumberFormat="0" applyBorder="0" applyAlignment="0" applyProtection="0"/>
    <xf numFmtId="0" fontId="1" fillId="12"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1" fillId="22" borderId="0" applyNumberFormat="0" applyBorder="0" applyAlignment="0" applyProtection="0"/>
    <xf numFmtId="0" fontId="9" fillId="23" borderId="0" applyNumberFormat="0" applyBorder="0" applyAlignment="0" applyProtection="0"/>
    <xf numFmtId="0" fontId="1" fillId="25" borderId="0" applyNumberFormat="0" applyBorder="0" applyAlignment="0" applyProtection="0"/>
    <xf numFmtId="0" fontId="22" fillId="0" borderId="0"/>
    <xf numFmtId="0" fontId="9" fillId="29" borderId="0">
      <alignment horizontal="center"/>
    </xf>
    <xf numFmtId="0" fontId="9" fillId="30" borderId="0">
      <alignment horizontal="center"/>
    </xf>
    <xf numFmtId="0" fontId="1" fillId="31" borderId="0" applyNumberFormat="0" applyBorder="0" applyAlignment="0" applyProtection="0"/>
    <xf numFmtId="43" fontId="30" fillId="0" borderId="0" applyFont="0" applyFill="0" applyBorder="0" applyAlignment="0" applyProtection="0"/>
    <xf numFmtId="0" fontId="31" fillId="0" borderId="0"/>
    <xf numFmtId="0" fontId="32" fillId="32" borderId="0" applyNumberFormat="0" applyBorder="0" applyAlignment="0" applyProtection="0"/>
    <xf numFmtId="0" fontId="37" fillId="34" borderId="0" applyNumberFormat="0" applyBorder="0" applyAlignment="0" applyProtection="0"/>
    <xf numFmtId="43" fontId="1" fillId="0" borderId="0" applyFont="0" applyFill="0" applyBorder="0" applyAlignment="0" applyProtection="0"/>
    <xf numFmtId="0" fontId="43" fillId="36" borderId="45" applyNumberFormat="0" applyAlignment="0" applyProtection="0"/>
  </cellStyleXfs>
  <cellXfs count="635">
    <xf numFmtId="0" fontId="0" fillId="0" borderId="0" xfId="0"/>
    <xf numFmtId="0" fontId="3" fillId="0" borderId="0" xfId="0" applyFont="1"/>
    <xf numFmtId="0" fontId="4" fillId="2" borderId="0" xfId="0" applyFont="1" applyFill="1"/>
    <xf numFmtId="0" fontId="0" fillId="2" borderId="0" xfId="0" applyFont="1" applyFill="1"/>
    <xf numFmtId="0" fontId="0" fillId="4" borderId="0" xfId="0" applyFill="1"/>
    <xf numFmtId="0" fontId="0" fillId="5" borderId="0" xfId="0" applyFill="1"/>
    <xf numFmtId="0" fontId="0" fillId="0" borderId="1" xfId="0" applyBorder="1"/>
    <xf numFmtId="0" fontId="0" fillId="7" borderId="0" xfId="0" applyFill="1"/>
    <xf numFmtId="0" fontId="0" fillId="2" borderId="0" xfId="0" applyFill="1"/>
    <xf numFmtId="0" fontId="0" fillId="4" borderId="1" xfId="0" applyFill="1" applyBorder="1"/>
    <xf numFmtId="165" fontId="0" fillId="0" borderId="0" xfId="0" applyNumberFormat="1" applyAlignment="1">
      <alignment horizontal="center"/>
    </xf>
    <xf numFmtId="1" fontId="0" fillId="3" borderId="0" xfId="0" applyNumberFormat="1" applyFill="1"/>
    <xf numFmtId="164" fontId="0" fillId="7" borderId="0" xfId="0" applyNumberFormat="1" applyFill="1"/>
    <xf numFmtId="0" fontId="0" fillId="0" borderId="0" xfId="0" applyBorder="1"/>
    <xf numFmtId="0" fontId="2" fillId="0" borderId="0" xfId="0" applyFont="1"/>
    <xf numFmtId="2" fontId="0" fillId="0" borderId="0" xfId="0" applyNumberFormat="1"/>
    <xf numFmtId="3" fontId="0" fillId="0" borderId="0" xfId="0" applyNumberFormat="1"/>
    <xf numFmtId="3" fontId="0" fillId="0" borderId="0" xfId="0" applyNumberFormat="1" applyFill="1"/>
    <xf numFmtId="9" fontId="0" fillId="0" borderId="0" xfId="1" applyFont="1" applyAlignment="1">
      <alignment horizontal="center"/>
    </xf>
    <xf numFmtId="0" fontId="0" fillId="0" borderId="12" xfId="0" applyBorder="1"/>
    <xf numFmtId="0" fontId="0" fillId="0" borderId="13" xfId="0" applyBorder="1"/>
    <xf numFmtId="0" fontId="0" fillId="0" borderId="14" xfId="0" applyBorder="1"/>
    <xf numFmtId="0" fontId="0" fillId="0" borderId="0" xfId="0" applyFill="1" applyBorder="1"/>
    <xf numFmtId="0" fontId="0" fillId="0" borderId="1" xfId="0" applyBorder="1" applyAlignment="1">
      <alignment horizontal="center"/>
    </xf>
    <xf numFmtId="0" fontId="0" fillId="9" borderId="0" xfId="0" applyFill="1"/>
    <xf numFmtId="1" fontId="0" fillId="0" borderId="0" xfId="0" applyNumberFormat="1"/>
    <xf numFmtId="1" fontId="0" fillId="0" borderId="0" xfId="0" applyNumberFormat="1" applyAlignment="1">
      <alignment horizontal="center"/>
    </xf>
    <xf numFmtId="167" fontId="0" fillId="0" borderId="0" xfId="1" applyNumberFormat="1" applyFont="1"/>
    <xf numFmtId="0" fontId="0" fillId="0" borderId="0" xfId="0" applyAlignment="1">
      <alignment horizontal="center"/>
    </xf>
    <xf numFmtId="164" fontId="2" fillId="8" borderId="0" xfId="0" applyNumberFormat="1" applyFont="1" applyFill="1"/>
    <xf numFmtId="0" fontId="0" fillId="0" borderId="6" xfId="0" applyBorder="1"/>
    <xf numFmtId="0" fontId="0" fillId="0" borderId="7" xfId="0" applyBorder="1"/>
    <xf numFmtId="0" fontId="0" fillId="0" borderId="0" xfId="0" applyBorder="1" applyAlignment="1">
      <alignment horizontal="right"/>
    </xf>
    <xf numFmtId="164" fontId="2" fillId="8" borderId="0" xfId="0" applyNumberFormat="1" applyFont="1" applyFill="1" applyBorder="1"/>
    <xf numFmtId="0" fontId="0" fillId="0" borderId="11" xfId="0" applyBorder="1"/>
    <xf numFmtId="164" fontId="2" fillId="8" borderId="1" xfId="0" applyNumberFormat="1" applyFont="1" applyFill="1" applyBorder="1"/>
    <xf numFmtId="0" fontId="0" fillId="0" borderId="9" xfId="0" applyBorder="1"/>
    <xf numFmtId="0" fontId="2" fillId="8" borderId="0" xfId="0" applyFont="1" applyFill="1" applyBorder="1"/>
    <xf numFmtId="164" fontId="0" fillId="0" borderId="0" xfId="0" applyNumberFormat="1"/>
    <xf numFmtId="165" fontId="0" fillId="0" borderId="0" xfId="0" applyNumberFormat="1"/>
    <xf numFmtId="11" fontId="0" fillId="5" borderId="0" xfId="0" applyNumberFormat="1" applyFill="1"/>
    <xf numFmtId="167" fontId="0" fillId="0" borderId="6" xfId="1" applyNumberFormat="1" applyFont="1" applyBorder="1"/>
    <xf numFmtId="0" fontId="0" fillId="0" borderId="18" xfId="0" applyBorder="1"/>
    <xf numFmtId="0" fontId="0" fillId="0" borderId="15" xfId="0" applyBorder="1" applyAlignment="1">
      <alignment horizontal="center"/>
    </xf>
    <xf numFmtId="0" fontId="0" fillId="0" borderId="17" xfId="0" applyBorder="1" applyAlignment="1">
      <alignment horizontal="center"/>
    </xf>
    <xf numFmtId="0" fontId="0" fillId="0" borderId="0" xfId="0" quotePrefix="1"/>
    <xf numFmtId="0" fontId="3" fillId="0" borderId="0" xfId="0" applyFont="1" applyAlignment="1">
      <alignment horizontal="center"/>
    </xf>
    <xf numFmtId="0" fontId="3" fillId="0" borderId="0" xfId="0"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0" fontId="3" fillId="0" borderId="1" xfId="0" applyFont="1" applyBorder="1"/>
    <xf numFmtId="0" fontId="3" fillId="0" borderId="4" xfId="0" applyFont="1" applyBorder="1"/>
    <xf numFmtId="0" fontId="0" fillId="0" borderId="0" xfId="0" applyFont="1" applyBorder="1" applyAlignment="1">
      <alignment horizontal="center"/>
    </xf>
    <xf numFmtId="2" fontId="0" fillId="9" borderId="1" xfId="0" applyNumberFormat="1" applyFill="1" applyBorder="1" applyAlignment="1">
      <alignment horizontal="center"/>
    </xf>
    <xf numFmtId="9" fontId="0" fillId="0" borderId="1" xfId="1" applyFont="1" applyBorder="1" applyAlignment="1">
      <alignment horizontal="center"/>
    </xf>
    <xf numFmtId="9" fontId="0" fillId="9" borderId="1" xfId="1" applyFont="1" applyFill="1" applyBorder="1" applyAlignment="1">
      <alignment horizontal="center"/>
    </xf>
    <xf numFmtId="0" fontId="11" fillId="0" borderId="0" xfId="0" applyFont="1"/>
    <xf numFmtId="0" fontId="3" fillId="0" borderId="4" xfId="0" applyFont="1" applyBorder="1" applyAlignment="1">
      <alignment horizontal="center"/>
    </xf>
    <xf numFmtId="0" fontId="0" fillId="0" borderId="0" xfId="0"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0" fontId="0" fillId="0" borderId="0" xfId="0" applyFont="1"/>
    <xf numFmtId="165" fontId="0" fillId="0" borderId="1" xfId="0" applyNumberFormat="1" applyBorder="1" applyAlignment="1">
      <alignment horizontal="center"/>
    </xf>
    <xf numFmtId="168" fontId="0" fillId="0" borderId="0" xfId="0" applyNumberFormat="1" applyAlignment="1">
      <alignment horizontal="center"/>
    </xf>
    <xf numFmtId="168" fontId="0" fillId="0" borderId="1" xfId="0" applyNumberFormat="1" applyBorder="1" applyAlignment="1">
      <alignment horizontal="center"/>
    </xf>
    <xf numFmtId="164" fontId="0" fillId="0" borderId="0" xfId="0" applyNumberFormat="1" applyAlignment="1">
      <alignment horizontal="center"/>
    </xf>
    <xf numFmtId="0" fontId="3" fillId="0" borderId="6" xfId="0" applyFont="1" applyBorder="1"/>
    <xf numFmtId="167" fontId="0" fillId="0" borderId="1" xfId="1" applyNumberFormat="1" applyFont="1" applyBorder="1"/>
    <xf numFmtId="0" fontId="0" fillId="0" borderId="4" xfId="0" applyBorder="1"/>
    <xf numFmtId="0" fontId="13" fillId="0" borderId="0" xfId="0" applyFont="1"/>
    <xf numFmtId="0" fontId="3" fillId="5" borderId="4" xfId="0" applyFont="1" applyFill="1" applyBorder="1"/>
    <xf numFmtId="0" fontId="3" fillId="0" borderId="0" xfId="0" applyFont="1" applyFill="1" applyBorder="1"/>
    <xf numFmtId="167" fontId="0" fillId="5" borderId="4" xfId="1" applyNumberFormat="1" applyFont="1" applyFill="1" applyBorder="1"/>
    <xf numFmtId="167" fontId="0" fillId="0" borderId="0" xfId="1" applyNumberFormat="1" applyFont="1" applyAlignment="1">
      <alignment horizontal="center"/>
    </xf>
    <xf numFmtId="0" fontId="0" fillId="0" borderId="0" xfId="0"/>
    <xf numFmtId="0" fontId="3" fillId="0" borderId="0" xfId="0" applyFont="1" applyFill="1" applyBorder="1" applyAlignment="1">
      <alignment horizontal="center"/>
    </xf>
    <xf numFmtId="0" fontId="0" fillId="0" borderId="0" xfId="0" applyAlignment="1">
      <alignment horizontal="left"/>
    </xf>
    <xf numFmtId="3" fontId="0" fillId="0" borderId="6" xfId="0" applyNumberFormat="1" applyBorder="1" applyAlignment="1">
      <alignment horizontal="center"/>
    </xf>
    <xf numFmtId="3" fontId="0" fillId="0" borderId="0" xfId="0" applyNumberFormat="1" applyBorder="1" applyAlignment="1">
      <alignment horizontal="center"/>
    </xf>
    <xf numFmtId="9" fontId="0" fillId="0" borderId="6" xfId="1" applyFont="1" applyBorder="1" applyAlignment="1">
      <alignment horizontal="center"/>
    </xf>
    <xf numFmtId="9" fontId="0" fillId="0" borderId="0" xfId="1" applyFont="1" applyBorder="1" applyAlignment="1">
      <alignment horizontal="center"/>
    </xf>
    <xf numFmtId="3" fontId="0" fillId="5" borderId="0" xfId="0" applyNumberFormat="1" applyFill="1" applyBorder="1" applyAlignment="1">
      <alignment horizontal="center"/>
    </xf>
    <xf numFmtId="2" fontId="0" fillId="0" borderId="0" xfId="0" applyNumberFormat="1" applyBorder="1"/>
    <xf numFmtId="0" fontId="14" fillId="0" borderId="0" xfId="0" applyFont="1" applyBorder="1" applyAlignment="1">
      <alignment horizontal="center"/>
    </xf>
    <xf numFmtId="164" fontId="0" fillId="7" borderId="0" xfId="0" applyNumberFormat="1" applyFill="1" applyBorder="1" applyAlignment="1">
      <alignment horizontal="center"/>
    </xf>
    <xf numFmtId="0" fontId="14" fillId="0" borderId="0" xfId="0" applyFont="1" applyFill="1" applyBorder="1" applyAlignment="1">
      <alignment horizontal="center"/>
    </xf>
    <xf numFmtId="0" fontId="14" fillId="0" borderId="10" xfId="0" applyFont="1" applyFill="1" applyBorder="1" applyAlignment="1">
      <alignment horizontal="center"/>
    </xf>
    <xf numFmtId="9" fontId="0" fillId="0" borderId="10" xfId="1" applyFont="1" applyBorder="1" applyAlignment="1">
      <alignment horizontal="center"/>
    </xf>
    <xf numFmtId="9" fontId="0" fillId="0" borderId="8" xfId="1" applyFont="1" applyBorder="1" applyAlignment="1">
      <alignment horizontal="center"/>
    </xf>
    <xf numFmtId="9" fontId="0" fillId="0" borderId="0" xfId="0" applyNumberFormat="1" applyFont="1" applyBorder="1" applyAlignment="1">
      <alignment horizontal="center"/>
    </xf>
    <xf numFmtId="0" fontId="0" fillId="0" borderId="21" xfId="0" applyBorder="1"/>
    <xf numFmtId="0" fontId="14" fillId="0" borderId="15" xfId="0" applyFont="1" applyBorder="1" applyAlignment="1">
      <alignment horizontal="center"/>
    </xf>
    <xf numFmtId="0" fontId="3" fillId="0" borderId="16" xfId="0" applyFont="1" applyBorder="1" applyAlignment="1">
      <alignment horizontal="center"/>
    </xf>
    <xf numFmtId="0" fontId="0" fillId="0" borderId="15" xfId="0" applyBorder="1"/>
    <xf numFmtId="9" fontId="0" fillId="0" borderId="16" xfId="1" applyFont="1" applyBorder="1" applyAlignment="1">
      <alignment horizontal="center"/>
    </xf>
    <xf numFmtId="0" fontId="15" fillId="0" borderId="15" xfId="0" applyFont="1" applyBorder="1"/>
    <xf numFmtId="9" fontId="0" fillId="0" borderId="22" xfId="1" applyFont="1" applyBorder="1" applyAlignment="1">
      <alignment horizontal="center"/>
    </xf>
    <xf numFmtId="0" fontId="0" fillId="0" borderId="16" xfId="0" applyBorder="1"/>
    <xf numFmtId="0" fontId="3" fillId="0" borderId="23" xfId="0" applyFont="1" applyBorder="1" applyAlignment="1">
      <alignment horizontal="center"/>
    </xf>
    <xf numFmtId="3" fontId="0" fillId="0" borderId="0" xfId="0" applyNumberFormat="1" applyBorder="1"/>
    <xf numFmtId="3" fontId="0" fillId="0" borderId="18" xfId="0" applyNumberFormat="1" applyBorder="1" applyAlignment="1">
      <alignment horizontal="center"/>
    </xf>
    <xf numFmtId="3" fontId="0" fillId="0" borderId="18" xfId="0" applyNumberFormat="1" applyBorder="1"/>
    <xf numFmtId="0" fontId="0" fillId="0" borderId="19" xfId="0" applyBorder="1"/>
    <xf numFmtId="0" fontId="3" fillId="0" borderId="0" xfId="0" applyFont="1" applyAlignment="1">
      <alignment horizontal="left"/>
    </xf>
    <xf numFmtId="0" fontId="3" fillId="0" borderId="24" xfId="0" applyFont="1" applyBorder="1" applyAlignment="1">
      <alignment horizontal="center"/>
    </xf>
    <xf numFmtId="0" fontId="3" fillId="0" borderId="25" xfId="0" applyFont="1" applyBorder="1" applyAlignment="1">
      <alignment horizontal="center"/>
    </xf>
    <xf numFmtId="0" fontId="3" fillId="0" borderId="26" xfId="0" applyFont="1" applyBorder="1" applyAlignment="1">
      <alignment horizontal="center"/>
    </xf>
    <xf numFmtId="9" fontId="0" fillId="0" borderId="16" xfId="0" applyNumberFormat="1" applyFont="1" applyBorder="1" applyAlignment="1">
      <alignment horizontal="center"/>
    </xf>
    <xf numFmtId="0" fontId="0" fillId="5" borderId="15" xfId="0" applyFill="1" applyBorder="1" applyAlignment="1">
      <alignment horizontal="center"/>
    </xf>
    <xf numFmtId="0" fontId="0" fillId="5" borderId="17" xfId="0" applyFill="1" applyBorder="1" applyAlignment="1">
      <alignment horizontal="center"/>
    </xf>
    <xf numFmtId="164" fontId="0" fillId="7" borderId="16" xfId="0" applyNumberFormat="1" applyFill="1" applyBorder="1" applyAlignment="1">
      <alignment horizontal="center"/>
    </xf>
    <xf numFmtId="164" fontId="0" fillId="0" borderId="16" xfId="0" applyNumberFormat="1" applyBorder="1" applyAlignment="1">
      <alignment horizontal="center"/>
    </xf>
    <xf numFmtId="164" fontId="0" fillId="0" borderId="18" xfId="0" applyNumberFormat="1" applyBorder="1" applyAlignment="1">
      <alignment horizontal="center"/>
    </xf>
    <xf numFmtId="164" fontId="0" fillId="0" borderId="19" xfId="0" applyNumberFormat="1" applyBorder="1" applyAlignment="1">
      <alignment horizontal="center"/>
    </xf>
    <xf numFmtId="0" fontId="0" fillId="0" borderId="27" xfId="0" applyBorder="1" applyAlignment="1">
      <alignment horizontal="center"/>
    </xf>
    <xf numFmtId="3" fontId="0" fillId="0" borderId="28" xfId="0" applyNumberFormat="1" applyBorder="1" applyAlignment="1">
      <alignment horizontal="center"/>
    </xf>
    <xf numFmtId="3" fontId="0" fillId="0" borderId="16" xfId="0" applyNumberFormat="1" applyBorder="1" applyAlignment="1">
      <alignment horizontal="center"/>
    </xf>
    <xf numFmtId="3" fontId="0" fillId="5" borderId="16" xfId="0" applyNumberFormat="1" applyFill="1" applyBorder="1" applyAlignment="1">
      <alignment horizontal="center"/>
    </xf>
    <xf numFmtId="3" fontId="0" fillId="5" borderId="18" xfId="0" applyNumberFormat="1" applyFill="1" applyBorder="1" applyAlignment="1">
      <alignment horizontal="center"/>
    </xf>
    <xf numFmtId="3" fontId="0" fillId="5" borderId="19" xfId="0" applyNumberFormat="1" applyFill="1" applyBorder="1" applyAlignment="1">
      <alignment horizontal="center"/>
    </xf>
    <xf numFmtId="3" fontId="0" fillId="7" borderId="0" xfId="0" applyNumberFormat="1" applyFill="1" applyBorder="1" applyAlignment="1">
      <alignment horizontal="center"/>
    </xf>
    <xf numFmtId="0" fontId="0" fillId="7" borderId="0" xfId="0" applyFill="1" applyAlignment="1">
      <alignment horizontal="center"/>
    </xf>
    <xf numFmtId="167" fontId="0" fillId="0" borderId="0" xfId="1" applyNumberFormat="1" applyFont="1" applyBorder="1"/>
    <xf numFmtId="1" fontId="0" fillId="0" borderId="0" xfId="0" applyNumberFormat="1" applyFont="1" applyBorder="1" applyAlignment="1">
      <alignment horizontal="center"/>
    </xf>
    <xf numFmtId="1" fontId="0" fillId="0" borderId="1" xfId="0" applyNumberFormat="1" applyBorder="1" applyAlignment="1">
      <alignment horizontal="center"/>
    </xf>
    <xf numFmtId="1" fontId="0" fillId="9" borderId="1" xfId="0" applyNumberFormat="1" applyFill="1" applyBorder="1" applyAlignment="1">
      <alignment horizontal="center"/>
    </xf>
    <xf numFmtId="0" fontId="3" fillId="5" borderId="6" xfId="0" applyFont="1" applyFill="1" applyBorder="1" applyAlignment="1">
      <alignment horizontal="center"/>
    </xf>
    <xf numFmtId="0" fontId="3" fillId="5" borderId="1" xfId="0" applyFont="1" applyFill="1" applyBorder="1" applyAlignment="1">
      <alignment horizontal="center"/>
    </xf>
    <xf numFmtId="0" fontId="0" fillId="15" borderId="1" xfId="0" applyFill="1" applyBorder="1" applyAlignment="1">
      <alignment horizontal="center"/>
    </xf>
    <xf numFmtId="0" fontId="0" fillId="14" borderId="1" xfId="0" applyFill="1" applyBorder="1" applyAlignment="1">
      <alignment horizontal="center"/>
    </xf>
    <xf numFmtId="0" fontId="8" fillId="10" borderId="6" xfId="2" applyBorder="1"/>
    <xf numFmtId="0" fontId="8" fillId="10" borderId="1" xfId="2" applyBorder="1" applyAlignment="1">
      <alignment horizontal="center"/>
    </xf>
    <xf numFmtId="0" fontId="8" fillId="10" borderId="0" xfId="2" applyAlignment="1">
      <alignment horizontal="center"/>
    </xf>
    <xf numFmtId="0" fontId="8" fillId="10" borderId="0" xfId="2"/>
    <xf numFmtId="0" fontId="3" fillId="16" borderId="6" xfId="0" applyFont="1" applyFill="1" applyBorder="1" applyAlignment="1">
      <alignment horizontal="center"/>
    </xf>
    <xf numFmtId="0" fontId="3" fillId="16" borderId="1" xfId="0" applyFont="1" applyFill="1" applyBorder="1" applyAlignment="1">
      <alignment horizontal="center"/>
    </xf>
    <xf numFmtId="0" fontId="3" fillId="5" borderId="0" xfId="0" applyFont="1" applyFill="1" applyBorder="1" applyAlignment="1">
      <alignment horizontal="center"/>
    </xf>
    <xf numFmtId="0" fontId="3" fillId="15" borderId="0" xfId="0" applyFont="1" applyFill="1" applyBorder="1" applyAlignment="1">
      <alignment horizontal="center"/>
    </xf>
    <xf numFmtId="0" fontId="3" fillId="0" borderId="0" xfId="0" applyFont="1" applyFill="1" applyBorder="1" applyAlignment="1">
      <alignment horizontal="left"/>
    </xf>
    <xf numFmtId="167" fontId="0" fillId="13" borderId="0" xfId="1" applyNumberFormat="1" applyFont="1" applyFill="1"/>
    <xf numFmtId="0" fontId="3" fillId="0" borderId="15" xfId="0" applyFont="1" applyBorder="1" applyAlignment="1">
      <alignment horizontal="center"/>
    </xf>
    <xf numFmtId="9" fontId="0" fillId="0" borderId="0" xfId="0" applyNumberFormat="1" applyAlignment="1">
      <alignment horizontal="center"/>
    </xf>
    <xf numFmtId="0" fontId="3" fillId="0" borderId="0" xfId="0" applyFont="1" applyBorder="1"/>
    <xf numFmtId="0" fontId="3" fillId="0" borderId="1" xfId="0" applyFont="1" applyBorder="1" applyAlignment="1">
      <alignment horizontal="center" wrapText="1"/>
    </xf>
    <xf numFmtId="166" fontId="0" fillId="0" borderId="0" xfId="0" applyNumberFormat="1" applyBorder="1" applyAlignment="1">
      <alignment horizontal="center"/>
    </xf>
    <xf numFmtId="3" fontId="0" fillId="0" borderId="1" xfId="0" applyNumberFormat="1" applyBorder="1" applyAlignment="1">
      <alignment horizontal="center"/>
    </xf>
    <xf numFmtId="0" fontId="3" fillId="0" borderId="29" xfId="0" applyFont="1" applyBorder="1" applyAlignment="1">
      <alignment horizontal="center"/>
    </xf>
    <xf numFmtId="0" fontId="3" fillId="0" borderId="30" xfId="0" applyFont="1" applyBorder="1" applyAlignment="1">
      <alignment horizontal="center"/>
    </xf>
    <xf numFmtId="3" fontId="0" fillId="0" borderId="31" xfId="0" applyNumberFormat="1" applyBorder="1" applyAlignment="1">
      <alignment horizontal="center"/>
    </xf>
    <xf numFmtId="3" fontId="0" fillId="0" borderId="32" xfId="0" applyNumberFormat="1" applyFill="1" applyBorder="1" applyAlignment="1">
      <alignment horizontal="center"/>
    </xf>
    <xf numFmtId="3" fontId="0" fillId="0" borderId="32" xfId="0" applyNumberFormat="1" applyBorder="1" applyAlignment="1">
      <alignment horizontal="center"/>
    </xf>
    <xf numFmtId="3" fontId="0" fillId="0" borderId="33" xfId="0" applyNumberFormat="1" applyBorder="1" applyAlignment="1">
      <alignment horizontal="center"/>
    </xf>
    <xf numFmtId="0" fontId="3" fillId="0" borderId="34" xfId="0" applyFont="1" applyBorder="1" applyAlignment="1">
      <alignment horizontal="center" wrapText="1"/>
    </xf>
    <xf numFmtId="0" fontId="3" fillId="0" borderId="22" xfId="0" applyFont="1" applyBorder="1" applyAlignment="1">
      <alignment horizontal="center"/>
    </xf>
    <xf numFmtId="9" fontId="0" fillId="0" borderId="27" xfId="1" applyFont="1" applyBorder="1" applyAlignment="1">
      <alignment horizontal="center"/>
    </xf>
    <xf numFmtId="9" fontId="0" fillId="0" borderId="28" xfId="1" applyFont="1" applyBorder="1" applyAlignment="1">
      <alignment horizontal="center"/>
    </xf>
    <xf numFmtId="9" fontId="0" fillId="0" borderId="15" xfId="1" applyFont="1" applyBorder="1" applyAlignment="1">
      <alignment horizontal="center"/>
    </xf>
    <xf numFmtId="9" fontId="0" fillId="0" borderId="17" xfId="1" applyFont="1" applyBorder="1" applyAlignment="1">
      <alignment horizontal="center"/>
    </xf>
    <xf numFmtId="9" fontId="0" fillId="0" borderId="18" xfId="1" applyFont="1" applyBorder="1" applyAlignment="1">
      <alignment horizontal="center"/>
    </xf>
    <xf numFmtId="9" fontId="0" fillId="0" borderId="19" xfId="1" applyFont="1" applyBorder="1" applyAlignment="1">
      <alignment horizontal="center"/>
    </xf>
    <xf numFmtId="0" fontId="3" fillId="0" borderId="14" xfId="0" applyFont="1" applyBorder="1"/>
    <xf numFmtId="3" fontId="0" fillId="0" borderId="19" xfId="0" applyNumberFormat="1" applyBorder="1" applyAlignment="1">
      <alignment horizontal="center"/>
    </xf>
    <xf numFmtId="0" fontId="8" fillId="10" borderId="29" xfId="2" applyBorder="1"/>
    <xf numFmtId="0" fontId="8" fillId="10" borderId="30" xfId="2"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0" fillId="0" borderId="33" xfId="0" applyBorder="1" applyAlignment="1">
      <alignment horizontal="center"/>
    </xf>
    <xf numFmtId="0" fontId="11" fillId="0" borderId="0" xfId="0" applyFont="1" applyAlignment="1">
      <alignment horizontal="left"/>
    </xf>
    <xf numFmtId="0" fontId="3" fillId="0" borderId="34" xfId="0" applyFont="1" applyFill="1" applyBorder="1" applyAlignment="1">
      <alignment horizontal="center"/>
    </xf>
    <xf numFmtId="0" fontId="3" fillId="0" borderId="22" xfId="0" applyFont="1" applyFill="1" applyBorder="1" applyAlignment="1">
      <alignment horizontal="center"/>
    </xf>
    <xf numFmtId="0" fontId="3" fillId="0" borderId="1" xfId="0" applyFont="1" applyFill="1" applyBorder="1" applyAlignment="1">
      <alignment horizontal="center"/>
    </xf>
    <xf numFmtId="0" fontId="0" fillId="6" borderId="1" xfId="0" applyFill="1" applyBorder="1" applyAlignment="1">
      <alignment horizontal="center"/>
    </xf>
    <xf numFmtId="164" fontId="0" fillId="0" borderId="16" xfId="0" applyNumberFormat="1" applyFont="1" applyFill="1" applyBorder="1" applyAlignment="1">
      <alignment horizontal="center"/>
    </xf>
    <xf numFmtId="164" fontId="0" fillId="13" borderId="19" xfId="0" applyNumberFormat="1" applyFont="1" applyFill="1" applyBorder="1" applyAlignment="1">
      <alignment horizontal="center"/>
    </xf>
    <xf numFmtId="0" fontId="0" fillId="0" borderId="4" xfId="0" applyBorder="1" applyAlignment="1">
      <alignment horizontal="center"/>
    </xf>
    <xf numFmtId="0" fontId="0" fillId="5" borderId="5" xfId="0" applyFill="1" applyBorder="1" applyAlignment="1">
      <alignment horizontal="center"/>
    </xf>
    <xf numFmtId="0" fontId="0" fillId="0" borderId="10" xfId="0" applyBorder="1" applyAlignment="1">
      <alignment horizontal="center"/>
    </xf>
    <xf numFmtId="0" fontId="0" fillId="0" borderId="0" xfId="0" applyFill="1" applyBorder="1" applyAlignment="1">
      <alignment horizontal="left"/>
    </xf>
    <xf numFmtId="0" fontId="0" fillId="2" borderId="0" xfId="0" applyFill="1" applyBorder="1" applyAlignment="1">
      <alignment horizontal="left"/>
    </xf>
    <xf numFmtId="0" fontId="0" fillId="0" borderId="0" xfId="0" applyBorder="1" applyAlignment="1">
      <alignment horizontal="left"/>
    </xf>
    <xf numFmtId="0" fontId="0" fillId="17" borderId="35" xfId="0" applyFill="1" applyBorder="1" applyAlignment="1">
      <alignment horizontal="center"/>
    </xf>
    <xf numFmtId="164" fontId="0" fillId="0" borderId="11" xfId="0" applyNumberFormat="1" applyBorder="1" applyAlignment="1">
      <alignment horizontal="center"/>
    </xf>
    <xf numFmtId="0" fontId="0" fillId="3" borderId="35" xfId="0" applyFill="1" applyBorder="1" applyAlignment="1">
      <alignment horizontal="center"/>
    </xf>
    <xf numFmtId="0" fontId="0" fillId="8" borderId="2" xfId="0" applyFill="1" applyBorder="1" applyAlignment="1">
      <alignment horizontal="center"/>
    </xf>
    <xf numFmtId="0" fontId="0" fillId="0" borderId="8" xfId="0" applyFill="1" applyBorder="1" applyAlignment="1">
      <alignment horizontal="center"/>
    </xf>
    <xf numFmtId="0" fontId="0" fillId="0" borderId="1" xfId="0" applyBorder="1" applyAlignment="1">
      <alignment horizontal="left"/>
    </xf>
    <xf numFmtId="0" fontId="0" fillId="2" borderId="1" xfId="0" applyFill="1" applyBorder="1" applyAlignment="1">
      <alignment horizontal="left"/>
    </xf>
    <xf numFmtId="0" fontId="0" fillId="3" borderId="2" xfId="0" applyFill="1" applyBorder="1" applyAlignment="1">
      <alignment horizontal="center"/>
    </xf>
    <xf numFmtId="164" fontId="0" fillId="0" borderId="9" xfId="0" applyNumberFormat="1" applyBorder="1" applyAlignment="1">
      <alignment horizontal="center"/>
    </xf>
    <xf numFmtId="0" fontId="0" fillId="0" borderId="0" xfId="0" applyFill="1" applyBorder="1" applyAlignment="1">
      <alignment horizontal="center"/>
    </xf>
    <xf numFmtId="2" fontId="0" fillId="0" borderId="0" xfId="0" applyNumberFormat="1" applyFill="1" applyBorder="1" applyAlignment="1">
      <alignment horizontal="center"/>
    </xf>
    <xf numFmtId="9" fontId="0" fillId="0" borderId="0" xfId="1" applyFont="1" applyFill="1"/>
    <xf numFmtId="164" fontId="0" fillId="0" borderId="0" xfId="0" applyNumberFormat="1" applyFill="1" applyAlignment="1">
      <alignment horizontal="center"/>
    </xf>
    <xf numFmtId="2" fontId="0" fillId="0" borderId="0" xfId="0" applyNumberFormat="1" applyFill="1" applyAlignment="1">
      <alignment horizontal="center"/>
    </xf>
    <xf numFmtId="165" fontId="0" fillId="0" borderId="0" xfId="0" applyNumberFormat="1" applyFill="1"/>
    <xf numFmtId="0" fontId="0" fillId="6" borderId="3" xfId="0" applyFill="1" applyBorder="1" applyAlignment="1">
      <alignment horizontal="center"/>
    </xf>
    <xf numFmtId="0" fontId="0" fillId="0" borderId="12" xfId="0" applyBorder="1" applyAlignment="1">
      <alignment horizontal="left"/>
    </xf>
    <xf numFmtId="0" fontId="0" fillId="0" borderId="13" xfId="0" applyBorder="1" applyAlignment="1">
      <alignment horizontal="center"/>
    </xf>
    <xf numFmtId="0" fontId="0" fillId="0" borderId="14" xfId="0" applyBorder="1" applyAlignment="1">
      <alignment horizontal="center"/>
    </xf>
    <xf numFmtId="0" fontId="0" fillId="0" borderId="16" xfId="0" applyBorder="1" applyAlignment="1">
      <alignment horizontal="center"/>
    </xf>
    <xf numFmtId="3" fontId="0" fillId="0" borderId="15" xfId="0" applyNumberFormat="1" applyFont="1" applyBorder="1" applyAlignment="1">
      <alignment horizontal="center"/>
    </xf>
    <xf numFmtId="3" fontId="0" fillId="0" borderId="0" xfId="0" applyNumberFormat="1" applyFont="1" applyFill="1" applyBorder="1" applyAlignment="1">
      <alignment horizontal="center"/>
    </xf>
    <xf numFmtId="3" fontId="0" fillId="0" borderId="16" xfId="0" applyNumberFormat="1" applyFont="1" applyFill="1" applyBorder="1" applyAlignment="1">
      <alignment horizontal="center"/>
    </xf>
    <xf numFmtId="3" fontId="0" fillId="0" borderId="17" xfId="0" applyNumberFormat="1" applyFont="1" applyBorder="1" applyAlignment="1">
      <alignment horizontal="center"/>
    </xf>
    <xf numFmtId="3" fontId="0" fillId="0" borderId="18" xfId="0" applyNumberFormat="1" applyFont="1" applyFill="1" applyBorder="1" applyAlignment="1">
      <alignment horizontal="center"/>
    </xf>
    <xf numFmtId="3" fontId="0" fillId="0" borderId="19" xfId="0" applyNumberFormat="1" applyFont="1" applyFill="1" applyBorder="1" applyAlignment="1">
      <alignment horizontal="center"/>
    </xf>
    <xf numFmtId="0" fontId="0" fillId="15" borderId="34" xfId="0" applyFill="1" applyBorder="1" applyAlignment="1">
      <alignment horizontal="center"/>
    </xf>
    <xf numFmtId="0" fontId="0" fillId="15" borderId="22" xfId="0" applyFill="1" applyBorder="1" applyAlignment="1">
      <alignment horizontal="center"/>
    </xf>
    <xf numFmtId="0" fontId="0" fillId="14" borderId="34" xfId="0" applyFill="1" applyBorder="1" applyAlignment="1">
      <alignment horizontal="center"/>
    </xf>
    <xf numFmtId="0" fontId="0" fillId="14" borderId="22" xfId="0" applyFill="1" applyBorder="1" applyAlignment="1">
      <alignment horizontal="center"/>
    </xf>
    <xf numFmtId="0" fontId="0" fillId="0" borderId="12" xfId="0" applyFill="1" applyBorder="1" applyAlignment="1">
      <alignment horizontal="left"/>
    </xf>
    <xf numFmtId="0" fontId="0" fillId="6" borderId="34" xfId="0" applyFill="1" applyBorder="1" applyAlignment="1">
      <alignment horizontal="center"/>
    </xf>
    <xf numFmtId="0" fontId="0" fillId="6" borderId="22" xfId="0" applyFill="1" applyBorder="1" applyAlignment="1">
      <alignment horizontal="center"/>
    </xf>
    <xf numFmtId="3" fontId="0" fillId="0" borderId="15" xfId="0" applyNumberFormat="1" applyBorder="1"/>
    <xf numFmtId="3" fontId="0" fillId="0" borderId="16" xfId="0" applyNumberFormat="1" applyBorder="1"/>
    <xf numFmtId="3" fontId="0" fillId="0" borderId="17" xfId="0" applyNumberFormat="1" applyBorder="1"/>
    <xf numFmtId="3" fontId="0" fillId="0" borderId="19" xfId="0" applyNumberFormat="1" applyBorder="1"/>
    <xf numFmtId="0" fontId="3" fillId="15" borderId="36" xfId="0" applyFont="1" applyFill="1" applyBorder="1" applyAlignment="1">
      <alignment horizontal="center"/>
    </xf>
    <xf numFmtId="0" fontId="0" fillId="0" borderId="32" xfId="0" applyFont="1" applyFill="1" applyBorder="1" applyAlignment="1">
      <alignment horizontal="center"/>
    </xf>
    <xf numFmtId="0" fontId="0" fillId="0" borderId="33" xfId="0" applyFont="1" applyFill="1" applyBorder="1" applyAlignment="1">
      <alignment horizontal="center"/>
    </xf>
    <xf numFmtId="0" fontId="3" fillId="0" borderId="36" xfId="0" applyFont="1" applyBorder="1" applyAlignment="1">
      <alignment horizontal="center"/>
    </xf>
    <xf numFmtId="3" fontId="0" fillId="0" borderId="32" xfId="0" applyNumberFormat="1" applyFont="1" applyBorder="1" applyAlignment="1">
      <alignment horizontal="center"/>
    </xf>
    <xf numFmtId="3" fontId="0" fillId="0" borderId="33" xfId="0" applyNumberFormat="1" applyFont="1" applyBorder="1" applyAlignment="1">
      <alignment horizontal="center"/>
    </xf>
    <xf numFmtId="0" fontId="0" fillId="0" borderId="14" xfId="0" applyFill="1" applyBorder="1" applyAlignment="1">
      <alignment horizontal="center"/>
    </xf>
    <xf numFmtId="0" fontId="0" fillId="0" borderId="16" xfId="0" applyFill="1" applyBorder="1" applyAlignment="1">
      <alignment horizontal="center"/>
    </xf>
    <xf numFmtId="0" fontId="0" fillId="0" borderId="15" xfId="0" applyBorder="1" applyAlignment="1">
      <alignment horizontal="left"/>
    </xf>
    <xf numFmtId="0" fontId="3" fillId="0" borderId="24" xfId="0" applyFont="1" applyBorder="1"/>
    <xf numFmtId="0" fontId="0" fillId="0" borderId="17" xfId="0" applyBorder="1"/>
    <xf numFmtId="0" fontId="0" fillId="0" borderId="32" xfId="0" applyBorder="1"/>
    <xf numFmtId="0" fontId="0" fillId="0" borderId="33" xfId="0" applyBorder="1"/>
    <xf numFmtId="0" fontId="3" fillId="0" borderId="36" xfId="0" applyFont="1" applyBorder="1"/>
    <xf numFmtId="165" fontId="0" fillId="0" borderId="32" xfId="0" applyNumberFormat="1" applyBorder="1" applyAlignment="1">
      <alignment horizontal="center"/>
    </xf>
    <xf numFmtId="165" fontId="0" fillId="0" borderId="33" xfId="0" applyNumberFormat="1" applyBorder="1" applyAlignment="1">
      <alignment horizontal="center"/>
    </xf>
    <xf numFmtId="1" fontId="0" fillId="0" borderId="32" xfId="0" applyNumberFormat="1" applyBorder="1" applyAlignment="1">
      <alignment horizontal="center"/>
    </xf>
    <xf numFmtId="1" fontId="0" fillId="0" borderId="33" xfId="0" applyNumberFormat="1" applyBorder="1" applyAlignment="1">
      <alignment horizontal="center"/>
    </xf>
    <xf numFmtId="0" fontId="3" fillId="0" borderId="12" xfId="0" applyFont="1" applyBorder="1"/>
    <xf numFmtId="0" fontId="3" fillId="0" borderId="23" xfId="0" applyFont="1" applyBorder="1"/>
    <xf numFmtId="0" fontId="3" fillId="0" borderId="37" xfId="0" applyFont="1" applyBorder="1"/>
    <xf numFmtId="168" fontId="0" fillId="0" borderId="15" xfId="0" applyNumberFormat="1" applyBorder="1" applyAlignment="1">
      <alignment horizontal="center"/>
    </xf>
    <xf numFmtId="168" fontId="0" fillId="0" borderId="34" xfId="0" applyNumberFormat="1" applyBorder="1" applyAlignment="1">
      <alignment horizontal="center"/>
    </xf>
    <xf numFmtId="0" fontId="0" fillId="0" borderId="22" xfId="0" applyBorder="1"/>
    <xf numFmtId="168" fontId="0" fillId="0" borderId="18" xfId="0" applyNumberFormat="1" applyBorder="1"/>
    <xf numFmtId="0" fontId="0" fillId="0" borderId="18" xfId="0" applyBorder="1" applyAlignment="1">
      <alignment horizontal="center"/>
    </xf>
    <xf numFmtId="0" fontId="0" fillId="0" borderId="19" xfId="0" applyBorder="1" applyAlignment="1">
      <alignment horizontal="center"/>
    </xf>
    <xf numFmtId="3" fontId="0" fillId="0" borderId="0" xfId="0" applyNumberFormat="1" applyFont="1" applyBorder="1" applyAlignment="1">
      <alignment horizontal="center"/>
    </xf>
    <xf numFmtId="3" fontId="0" fillId="0" borderId="0" xfId="0" applyNumberFormat="1" applyAlignment="1">
      <alignment horizontal="center"/>
    </xf>
    <xf numFmtId="1" fontId="1" fillId="12" borderId="0" xfId="4" applyNumberFormat="1" applyAlignment="1">
      <alignment horizontal="center"/>
    </xf>
    <xf numFmtId="0" fontId="3" fillId="12" borderId="6" xfId="4" applyFont="1" applyBorder="1" applyAlignment="1">
      <alignment horizontal="center"/>
    </xf>
    <xf numFmtId="0" fontId="3" fillId="12" borderId="1" xfId="4" applyFont="1" applyBorder="1" applyAlignment="1">
      <alignment horizontal="center"/>
    </xf>
    <xf numFmtId="3" fontId="3" fillId="0" borderId="0" xfId="0" applyNumberFormat="1" applyFont="1" applyAlignment="1">
      <alignment horizontal="center"/>
    </xf>
    <xf numFmtId="0" fontId="0" fillId="0" borderId="0" xfId="0" applyAlignment="1">
      <alignment horizontal="right"/>
    </xf>
    <xf numFmtId="9" fontId="0" fillId="2" borderId="0" xfId="1" applyFont="1" applyFill="1"/>
    <xf numFmtId="0" fontId="3" fillId="2" borderId="0" xfId="0" applyFont="1" applyFill="1"/>
    <xf numFmtId="0" fontId="3" fillId="21" borderId="0" xfId="0" applyFont="1" applyFill="1"/>
    <xf numFmtId="9" fontId="0" fillId="21" borderId="0" xfId="1" applyFont="1" applyFill="1"/>
    <xf numFmtId="0" fontId="0" fillId="20" borderId="0" xfId="0" applyFill="1"/>
    <xf numFmtId="0" fontId="1" fillId="18" borderId="12" xfId="5" applyFont="1" applyBorder="1" applyAlignment="1">
      <alignment horizontal="center"/>
    </xf>
    <xf numFmtId="0" fontId="1" fillId="18" borderId="15" xfId="5" applyFont="1" applyBorder="1" applyAlignment="1">
      <alignment horizontal="center"/>
    </xf>
    <xf numFmtId="0" fontId="1" fillId="18" borderId="17" xfId="5" applyFont="1" applyBorder="1"/>
    <xf numFmtId="9" fontId="0" fillId="0" borderId="32" xfId="1" applyFont="1" applyBorder="1" applyAlignment="1">
      <alignment horizontal="center"/>
    </xf>
    <xf numFmtId="9" fontId="0" fillId="0" borderId="33" xfId="1" applyFont="1" applyBorder="1" applyAlignment="1">
      <alignment horizontal="center"/>
    </xf>
    <xf numFmtId="164" fontId="2" fillId="5" borderId="1" xfId="0" applyNumberFormat="1" applyFont="1" applyFill="1" applyBorder="1"/>
    <xf numFmtId="164" fontId="2" fillId="5" borderId="1" xfId="0" quotePrefix="1" applyNumberFormat="1" applyFont="1" applyFill="1" applyBorder="1"/>
    <xf numFmtId="9" fontId="0" fillId="0" borderId="0" xfId="1" applyFont="1"/>
    <xf numFmtId="0" fontId="9" fillId="19" borderId="0" xfId="6"/>
    <xf numFmtId="0" fontId="1" fillId="22" borderId="0" xfId="7"/>
    <xf numFmtId="164" fontId="9" fillId="19" borderId="0" xfId="6" applyNumberFormat="1"/>
    <xf numFmtId="3" fontId="9" fillId="19" borderId="0" xfId="6" applyNumberFormat="1"/>
    <xf numFmtId="1" fontId="9" fillId="19" borderId="0" xfId="6" applyNumberFormat="1"/>
    <xf numFmtId="0" fontId="2" fillId="5" borderId="0" xfId="0" applyFont="1" applyFill="1"/>
    <xf numFmtId="0" fontId="16" fillId="0" borderId="0" xfId="0" applyFont="1"/>
    <xf numFmtId="0" fontId="19" fillId="0" borderId="0" xfId="0" applyFont="1"/>
    <xf numFmtId="0" fontId="20" fillId="0" borderId="0" xfId="0" applyFont="1"/>
    <xf numFmtId="0" fontId="0" fillId="0" borderId="38" xfId="0" applyBorder="1" applyAlignment="1">
      <alignment horizontal="center"/>
    </xf>
    <xf numFmtId="0" fontId="0" fillId="0" borderId="38" xfId="0" applyBorder="1"/>
    <xf numFmtId="0" fontId="3" fillId="0" borderId="38" xfId="0" applyFont="1" applyBorder="1" applyAlignment="1">
      <alignment horizontal="center"/>
    </xf>
    <xf numFmtId="0" fontId="3" fillId="24" borderId="38" xfId="0" applyFont="1" applyFill="1" applyBorder="1" applyAlignment="1">
      <alignment horizontal="center"/>
    </xf>
    <xf numFmtId="0" fontId="3" fillId="5" borderId="38" xfId="0" applyFont="1" applyFill="1" applyBorder="1" applyAlignment="1">
      <alignment horizontal="center"/>
    </xf>
    <xf numFmtId="164" fontId="0" fillId="0" borderId="38" xfId="0" applyNumberFormat="1" applyBorder="1" applyAlignment="1">
      <alignment horizontal="center"/>
    </xf>
    <xf numFmtId="0" fontId="0" fillId="24" borderId="38" xfId="0" applyFill="1" applyBorder="1"/>
    <xf numFmtId="0" fontId="0" fillId="5" borderId="38" xfId="0" applyFill="1" applyBorder="1"/>
    <xf numFmtId="164" fontId="3" fillId="0" borderId="38" xfId="0" applyNumberFormat="1" applyFont="1" applyBorder="1" applyAlignment="1">
      <alignment horizontal="center"/>
    </xf>
    <xf numFmtId="0" fontId="9" fillId="23" borderId="0" xfId="8"/>
    <xf numFmtId="0" fontId="3" fillId="7" borderId="1" xfId="0" applyFont="1" applyFill="1" applyBorder="1" applyAlignment="1">
      <alignment horizontal="center"/>
    </xf>
    <xf numFmtId="0" fontId="3" fillId="7" borderId="1" xfId="0" applyFont="1" applyFill="1" applyBorder="1"/>
    <xf numFmtId="0" fontId="3" fillId="7" borderId="0" xfId="0" applyFont="1" applyFill="1" applyBorder="1" applyAlignment="1">
      <alignment horizontal="center"/>
    </xf>
    <xf numFmtId="0" fontId="0" fillId="7" borderId="0" xfId="0" applyFont="1" applyFill="1" applyBorder="1" applyAlignment="1">
      <alignment horizontal="center"/>
    </xf>
    <xf numFmtId="0" fontId="0" fillId="7" borderId="0" xfId="0" applyFont="1" applyFill="1"/>
    <xf numFmtId="169" fontId="0" fillId="7" borderId="0" xfId="0" applyNumberFormat="1" applyFill="1"/>
    <xf numFmtId="2" fontId="0" fillId="7" borderId="0" xfId="0" applyNumberFormat="1" applyFill="1"/>
    <xf numFmtId="1" fontId="0" fillId="7" borderId="0" xfId="0" applyNumberFormat="1" applyFill="1"/>
    <xf numFmtId="3" fontId="0" fillId="7" borderId="0" xfId="0" applyNumberFormat="1" applyFill="1"/>
    <xf numFmtId="164" fontId="0" fillId="7" borderId="0" xfId="0" applyNumberFormat="1" applyFill="1" applyAlignment="1">
      <alignment horizontal="center"/>
    </xf>
    <xf numFmtId="2" fontId="0" fillId="7" borderId="0" xfId="0" applyNumberFormat="1" applyFill="1" applyAlignment="1">
      <alignment horizontal="center"/>
    </xf>
    <xf numFmtId="164" fontId="1" fillId="25" borderId="0" xfId="9" applyNumberFormat="1"/>
    <xf numFmtId="0" fontId="1" fillId="25" borderId="0" xfId="9"/>
    <xf numFmtId="9" fontId="0" fillId="2" borderId="0" xfId="1" applyNumberFormat="1" applyFont="1" applyFill="1"/>
    <xf numFmtId="0" fontId="0" fillId="0" borderId="0" xfId="0"/>
    <xf numFmtId="0" fontId="23" fillId="0" borderId="0" xfId="0" applyFont="1" applyFill="1"/>
    <xf numFmtId="0" fontId="0" fillId="0" borderId="0" xfId="0" applyFill="1"/>
    <xf numFmtId="164" fontId="9" fillId="11" borderId="9" xfId="3" applyNumberFormat="1" applyBorder="1" applyAlignment="1">
      <alignment horizontal="center"/>
    </xf>
    <xf numFmtId="164" fontId="9" fillId="11" borderId="11" xfId="3" applyNumberFormat="1" applyBorder="1" applyAlignment="1">
      <alignment horizontal="center"/>
    </xf>
    <xf numFmtId="164" fontId="9" fillId="11" borderId="0" xfId="3" applyNumberFormat="1" applyBorder="1"/>
    <xf numFmtId="168" fontId="0" fillId="0" borderId="0" xfId="0" applyNumberFormat="1" applyBorder="1" applyAlignment="1">
      <alignment horizontal="center"/>
    </xf>
    <xf numFmtId="164" fontId="0" fillId="0" borderId="15" xfId="0" applyNumberFormat="1" applyBorder="1" applyAlignment="1">
      <alignment horizontal="center"/>
    </xf>
    <xf numFmtId="164" fontId="0" fillId="0" borderId="17" xfId="0" applyNumberFormat="1" applyBorder="1" applyAlignment="1">
      <alignment horizontal="center"/>
    </xf>
    <xf numFmtId="168" fontId="0" fillId="0" borderId="16" xfId="0" applyNumberFormat="1" applyBorder="1" applyAlignment="1">
      <alignment horizontal="center"/>
    </xf>
    <xf numFmtId="168" fontId="0" fillId="0" borderId="17" xfId="0" applyNumberFormat="1" applyBorder="1" applyAlignment="1">
      <alignment horizontal="center"/>
    </xf>
    <xf numFmtId="168" fontId="0" fillId="0" borderId="18" xfId="0" applyNumberFormat="1" applyBorder="1" applyAlignment="1">
      <alignment horizontal="center"/>
    </xf>
    <xf numFmtId="168" fontId="0" fillId="0" borderId="19" xfId="0" applyNumberFormat="1" applyBorder="1" applyAlignment="1">
      <alignment horizontal="center"/>
    </xf>
    <xf numFmtId="164" fontId="1" fillId="18" borderId="0" xfId="5" applyNumberFormat="1" applyFont="1" applyBorder="1" applyAlignment="1">
      <alignment horizontal="center"/>
    </xf>
    <xf numFmtId="164" fontId="1" fillId="18" borderId="16" xfId="5" applyNumberFormat="1" applyFont="1" applyBorder="1" applyAlignment="1">
      <alignment horizontal="center"/>
    </xf>
    <xf numFmtId="9" fontId="1" fillId="18" borderId="18" xfId="5" applyNumberFormat="1" applyFont="1" applyBorder="1"/>
    <xf numFmtId="9" fontId="1" fillId="18" borderId="19" xfId="5" applyNumberFormat="1" applyFont="1" applyBorder="1"/>
    <xf numFmtId="0" fontId="21" fillId="4" borderId="12" xfId="0" applyFont="1" applyFill="1" applyBorder="1" applyAlignment="1">
      <alignment horizontal="left"/>
    </xf>
    <xf numFmtId="0" fontId="21" fillId="4" borderId="13" xfId="0" applyFont="1" applyFill="1" applyBorder="1" applyAlignment="1">
      <alignment horizontal="center"/>
    </xf>
    <xf numFmtId="0" fontId="21" fillId="4" borderId="14" xfId="0" applyFont="1" applyFill="1" applyBorder="1" applyAlignment="1">
      <alignment horizontal="center"/>
    </xf>
    <xf numFmtId="0" fontId="21" fillId="4" borderId="15" xfId="0" applyFont="1" applyFill="1" applyBorder="1" applyAlignment="1">
      <alignment horizontal="left"/>
    </xf>
    <xf numFmtId="0" fontId="21" fillId="4" borderId="0" xfId="0" applyFont="1" applyFill="1" applyBorder="1" applyAlignment="1">
      <alignment horizontal="center"/>
    </xf>
    <xf numFmtId="0" fontId="21" fillId="4" borderId="16" xfId="0" applyFont="1" applyFill="1" applyBorder="1" applyAlignment="1">
      <alignment horizontal="center"/>
    </xf>
    <xf numFmtId="0" fontId="24" fillId="4" borderId="34" xfId="0" applyFont="1" applyFill="1" applyBorder="1" applyAlignment="1">
      <alignment horizontal="center"/>
    </xf>
    <xf numFmtId="0" fontId="24" fillId="4" borderId="1" xfId="0" applyFont="1" applyFill="1" applyBorder="1" applyAlignment="1">
      <alignment horizontal="center"/>
    </xf>
    <xf numFmtId="0" fontId="24" fillId="4" borderId="22" xfId="0" applyFont="1" applyFill="1" applyBorder="1" applyAlignment="1">
      <alignment horizontal="center"/>
    </xf>
    <xf numFmtId="164" fontId="21" fillId="4" borderId="15" xfId="0" applyNumberFormat="1" applyFont="1" applyFill="1" applyBorder="1" applyAlignment="1">
      <alignment horizontal="center"/>
    </xf>
    <xf numFmtId="164" fontId="21" fillId="4" borderId="0" xfId="0" applyNumberFormat="1" applyFont="1" applyFill="1" applyBorder="1" applyAlignment="1">
      <alignment horizontal="center"/>
    </xf>
    <xf numFmtId="164" fontId="21" fillId="4" borderId="16" xfId="0" applyNumberFormat="1" applyFont="1" applyFill="1" applyBorder="1" applyAlignment="1">
      <alignment horizontal="center"/>
    </xf>
    <xf numFmtId="164" fontId="21" fillId="4" borderId="17" xfId="0" applyNumberFormat="1" applyFont="1" applyFill="1" applyBorder="1" applyAlignment="1">
      <alignment horizontal="center"/>
    </xf>
    <xf numFmtId="164" fontId="21" fillId="4" borderId="18" xfId="0" applyNumberFormat="1" applyFont="1" applyFill="1" applyBorder="1" applyAlignment="1">
      <alignment horizontal="center"/>
    </xf>
    <xf numFmtId="164" fontId="21" fillId="4" borderId="19" xfId="0" applyNumberFormat="1" applyFont="1" applyFill="1" applyBorder="1" applyAlignment="1">
      <alignment horizontal="center"/>
    </xf>
    <xf numFmtId="164" fontId="0" fillId="2" borderId="15" xfId="0" applyNumberFormat="1" applyFont="1" applyFill="1" applyBorder="1" applyAlignment="1">
      <alignment horizontal="center"/>
    </xf>
    <xf numFmtId="164" fontId="0" fillId="2" borderId="17" xfId="0" applyNumberFormat="1" applyFont="1" applyFill="1" applyBorder="1" applyAlignment="1">
      <alignment horizontal="center"/>
    </xf>
    <xf numFmtId="164" fontId="0" fillId="27" borderId="15" xfId="0" applyNumberFormat="1" applyFont="1" applyFill="1" applyBorder="1" applyAlignment="1">
      <alignment horizontal="center"/>
    </xf>
    <xf numFmtId="164" fontId="0" fillId="27" borderId="17" xfId="0" applyNumberFormat="1" applyFont="1" applyFill="1" applyBorder="1" applyAlignment="1">
      <alignment horizontal="center"/>
    </xf>
    <xf numFmtId="164" fontId="0" fillId="2" borderId="16" xfId="0" applyNumberFormat="1" applyFont="1" applyFill="1" applyBorder="1" applyAlignment="1">
      <alignment horizontal="center"/>
    </xf>
    <xf numFmtId="164" fontId="0" fillId="2" borderId="0" xfId="0" applyNumberFormat="1" applyFont="1" applyFill="1" applyBorder="1" applyAlignment="1">
      <alignment horizontal="center"/>
    </xf>
    <xf numFmtId="164" fontId="0" fillId="2" borderId="19" xfId="0" applyNumberFormat="1" applyFont="1" applyFill="1" applyBorder="1" applyAlignment="1">
      <alignment horizontal="center"/>
    </xf>
    <xf numFmtId="164" fontId="0" fillId="2" borderId="18" xfId="0" applyNumberFormat="1" applyFont="1" applyFill="1" applyBorder="1" applyAlignment="1">
      <alignment horizontal="center"/>
    </xf>
    <xf numFmtId="164" fontId="0" fillId="27" borderId="16" xfId="0" applyNumberFormat="1" applyFont="1" applyFill="1" applyBorder="1" applyAlignment="1">
      <alignment horizontal="center"/>
    </xf>
    <xf numFmtId="164" fontId="0" fillId="27" borderId="0" xfId="0" applyNumberFormat="1" applyFont="1" applyFill="1" applyBorder="1" applyAlignment="1">
      <alignment horizontal="center"/>
    </xf>
    <xf numFmtId="164" fontId="0" fillId="27" borderId="19" xfId="0" applyNumberFormat="1" applyFont="1" applyFill="1" applyBorder="1" applyAlignment="1">
      <alignment horizontal="center"/>
    </xf>
    <xf numFmtId="164" fontId="0" fillId="27" borderId="18" xfId="0" applyNumberFormat="1" applyFont="1" applyFill="1" applyBorder="1" applyAlignment="1">
      <alignment horizontal="center"/>
    </xf>
    <xf numFmtId="164" fontId="0" fillId="28" borderId="15" xfId="0" applyNumberFormat="1" applyFont="1" applyFill="1" applyBorder="1" applyAlignment="1">
      <alignment horizontal="center"/>
    </xf>
    <xf numFmtId="164" fontId="0" fillId="28" borderId="17" xfId="0" applyNumberFormat="1" applyFont="1" applyFill="1" applyBorder="1" applyAlignment="1">
      <alignment horizontal="center"/>
    </xf>
    <xf numFmtId="0" fontId="3" fillId="0" borderId="27" xfId="0" applyFont="1" applyBorder="1"/>
    <xf numFmtId="0" fontId="0" fillId="0" borderId="34" xfId="0" applyBorder="1"/>
    <xf numFmtId="0" fontId="0" fillId="0" borderId="0" xfId="0" applyAlignment="1"/>
    <xf numFmtId="9" fontId="0" fillId="0" borderId="0" xfId="0" applyNumberFormat="1"/>
    <xf numFmtId="0" fontId="9" fillId="19" borderId="22" xfId="6" applyBorder="1" applyAlignment="1">
      <alignment horizontal="center"/>
    </xf>
    <xf numFmtId="0" fontId="9" fillId="23" borderId="33" xfId="8" applyBorder="1" applyAlignment="1">
      <alignment horizontal="center"/>
    </xf>
    <xf numFmtId="2" fontId="9" fillId="23" borderId="0" xfId="8" applyNumberFormat="1"/>
    <xf numFmtId="164" fontId="0" fillId="0" borderId="0" xfId="1" applyNumberFormat="1" applyFont="1" applyFill="1"/>
    <xf numFmtId="164" fontId="0" fillId="27" borderId="0" xfId="0" applyNumberFormat="1" applyFill="1" applyAlignment="1">
      <alignment horizontal="center"/>
    </xf>
    <xf numFmtId="9" fontId="0" fillId="5" borderId="0" xfId="1" applyFont="1" applyFill="1" applyAlignment="1">
      <alignment horizontal="center"/>
    </xf>
    <xf numFmtId="9" fontId="0" fillId="6" borderId="0" xfId="1" applyFont="1" applyFill="1" applyAlignment="1">
      <alignment horizontal="center"/>
    </xf>
    <xf numFmtId="0" fontId="0" fillId="27" borderId="0" xfId="0" applyFill="1"/>
    <xf numFmtId="2" fontId="0" fillId="0" borderId="1" xfId="0" applyNumberFormat="1" applyBorder="1" applyAlignment="1">
      <alignment horizontal="center"/>
    </xf>
    <xf numFmtId="164" fontId="0" fillId="6" borderId="1" xfId="0" applyNumberFormat="1"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27" borderId="0" xfId="0" applyFill="1" applyAlignment="1">
      <alignment horizontal="center"/>
    </xf>
    <xf numFmtId="167" fontId="0" fillId="27" borderId="0" xfId="1" applyNumberFormat="1" applyFont="1" applyFill="1" applyAlignment="1">
      <alignment horizontal="center"/>
    </xf>
    <xf numFmtId="164" fontId="0" fillId="0" borderId="13" xfId="0" applyNumberFormat="1" applyBorder="1" applyAlignment="1">
      <alignment horizontal="center"/>
    </xf>
    <xf numFmtId="9" fontId="0" fillId="0" borderId="0" xfId="0" applyNumberFormat="1" applyBorder="1" applyAlignment="1">
      <alignment horizontal="left"/>
    </xf>
    <xf numFmtId="1" fontId="0" fillId="0" borderId="0" xfId="0" applyNumberFormat="1" applyBorder="1" applyAlignment="1">
      <alignment horizontal="center"/>
    </xf>
    <xf numFmtId="0" fontId="0" fillId="6" borderId="23" xfId="0" applyFill="1" applyBorder="1" applyAlignment="1">
      <alignment horizontal="center"/>
    </xf>
    <xf numFmtId="0" fontId="3" fillId="0" borderId="0" xfId="0" applyFont="1" applyBorder="1" applyAlignment="1">
      <alignment horizontal="left"/>
    </xf>
    <xf numFmtId="0" fontId="0" fillId="0" borderId="34" xfId="0" applyFill="1" applyBorder="1" applyAlignment="1">
      <alignment horizontal="center"/>
    </xf>
    <xf numFmtId="0" fontId="1" fillId="0" borderId="0" xfId="10" applyFont="1" applyFill="1" applyAlignment="1">
      <alignment horizontal="center"/>
    </xf>
    <xf numFmtId="0" fontId="1" fillId="0" borderId="0" xfId="0" applyFont="1" applyAlignment="1">
      <alignment horizontal="center"/>
    </xf>
    <xf numFmtId="0" fontId="1" fillId="17" borderId="0" xfId="0" applyFont="1" applyFill="1" applyAlignment="1">
      <alignment horizontal="center"/>
    </xf>
    <xf numFmtId="0" fontId="1" fillId="21" borderId="0" xfId="0" applyFont="1" applyFill="1" applyAlignment="1">
      <alignment horizontal="center"/>
    </xf>
    <xf numFmtId="0" fontId="1" fillId="26" borderId="0" xfId="0" applyFont="1" applyFill="1" applyAlignment="1">
      <alignment horizontal="center"/>
    </xf>
    <xf numFmtId="0" fontId="9" fillId="11" borderId="0" xfId="3" applyFont="1" applyAlignment="1">
      <alignment horizontal="center"/>
    </xf>
    <xf numFmtId="0" fontId="26" fillId="21" borderId="0" xfId="0" applyFont="1" applyFill="1" applyAlignment="1">
      <alignment horizontal="center"/>
    </xf>
    <xf numFmtId="0" fontId="1" fillId="0" borderId="0" xfId="0" applyFont="1" applyFill="1" applyAlignment="1">
      <alignment horizontal="center"/>
    </xf>
    <xf numFmtId="164" fontId="9" fillId="11" borderId="0" xfId="3" applyNumberFormat="1"/>
    <xf numFmtId="0" fontId="21" fillId="0" borderId="0" xfId="8" applyFont="1" applyFill="1"/>
    <xf numFmtId="0" fontId="21" fillId="0" borderId="13" xfId="8" applyFont="1" applyFill="1" applyBorder="1"/>
    <xf numFmtId="0" fontId="21" fillId="0" borderId="0" xfId="8" applyFont="1" applyFill="1" applyBorder="1"/>
    <xf numFmtId="0" fontId="21" fillId="0" borderId="0" xfId="0" applyFont="1" applyFill="1" applyBorder="1"/>
    <xf numFmtId="0" fontId="21" fillId="0" borderId="15" xfId="8" applyFont="1" applyFill="1" applyBorder="1"/>
    <xf numFmtId="0" fontId="21" fillId="0" borderId="17" xfId="8" applyFont="1" applyFill="1" applyBorder="1"/>
    <xf numFmtId="0" fontId="21" fillId="0" borderId="18" xfId="8" applyFont="1" applyFill="1" applyBorder="1"/>
    <xf numFmtId="0" fontId="24" fillId="0" borderId="12" xfId="8" applyFont="1" applyFill="1" applyBorder="1"/>
    <xf numFmtId="0" fontId="24" fillId="0" borderId="13" xfId="8" applyFont="1" applyFill="1" applyBorder="1"/>
    <xf numFmtId="0" fontId="3" fillId="4" borderId="12" xfId="0" applyFont="1" applyFill="1" applyBorder="1"/>
    <xf numFmtId="0" fontId="0" fillId="4" borderId="13" xfId="0" applyFill="1" applyBorder="1"/>
    <xf numFmtId="0" fontId="0" fillId="4" borderId="14" xfId="0" applyFill="1" applyBorder="1"/>
    <xf numFmtId="9" fontId="0" fillId="4" borderId="15" xfId="1" applyFont="1" applyFill="1" applyBorder="1" applyAlignment="1">
      <alignment horizontal="center"/>
    </xf>
    <xf numFmtId="0" fontId="0" fillId="4" borderId="0" xfId="0" applyFill="1" applyBorder="1"/>
    <xf numFmtId="0" fontId="0" fillId="4" borderId="16" xfId="0" applyFill="1" applyBorder="1"/>
    <xf numFmtId="2" fontId="3" fillId="4" borderId="17" xfId="0" applyNumberFormat="1" applyFont="1" applyFill="1" applyBorder="1" applyAlignment="1">
      <alignment horizontal="center"/>
    </xf>
    <xf numFmtId="0" fontId="0" fillId="4" borderId="18" xfId="0" applyFill="1" applyBorder="1"/>
    <xf numFmtId="0" fontId="0" fillId="4" borderId="19" xfId="0" applyFill="1" applyBorder="1"/>
    <xf numFmtId="0" fontId="28" fillId="19" borderId="0" xfId="6" applyFont="1" applyAlignment="1">
      <alignment horizontal="center"/>
    </xf>
    <xf numFmtId="164" fontId="9" fillId="19" borderId="0" xfId="6" applyNumberFormat="1" applyAlignment="1">
      <alignment horizontal="center"/>
    </xf>
    <xf numFmtId="9" fontId="28" fillId="19" borderId="0" xfId="6" applyNumberFormat="1" applyFont="1" applyAlignment="1">
      <alignment horizontal="center"/>
    </xf>
    <xf numFmtId="164" fontId="29" fillId="19" borderId="0" xfId="6" applyNumberFormat="1" applyFont="1"/>
    <xf numFmtId="164" fontId="27" fillId="19" borderId="13" xfId="6" applyNumberFormat="1" applyFont="1" applyBorder="1" applyAlignment="1">
      <alignment horizontal="center"/>
    </xf>
    <xf numFmtId="164" fontId="27" fillId="19" borderId="14" xfId="6" applyNumberFormat="1" applyFont="1" applyBorder="1" applyAlignment="1">
      <alignment horizontal="center"/>
    </xf>
    <xf numFmtId="0" fontId="0" fillId="0" borderId="1" xfId="0" applyFill="1" applyBorder="1"/>
    <xf numFmtId="9" fontId="28" fillId="19" borderId="15" xfId="6" applyNumberFormat="1" applyFont="1" applyBorder="1" applyAlignment="1">
      <alignment horizontal="center"/>
    </xf>
    <xf numFmtId="164" fontId="27" fillId="19" borderId="0" xfId="6" applyNumberFormat="1" applyFont="1" applyBorder="1"/>
    <xf numFmtId="2" fontId="27" fillId="19" borderId="0" xfId="6" applyNumberFormat="1" applyFont="1" applyBorder="1"/>
    <xf numFmtId="1" fontId="9" fillId="19" borderId="33" xfId="6" applyNumberFormat="1" applyBorder="1" applyAlignment="1">
      <alignment horizontal="center"/>
    </xf>
    <xf numFmtId="3" fontId="27" fillId="19" borderId="16" xfId="6" applyNumberFormat="1" applyFont="1" applyBorder="1" applyAlignment="1">
      <alignment horizontal="center"/>
    </xf>
    <xf numFmtId="3" fontId="27" fillId="19" borderId="19" xfId="6" applyNumberFormat="1" applyFont="1" applyBorder="1" applyAlignment="1">
      <alignment horizontal="center"/>
    </xf>
    <xf numFmtId="1" fontId="27" fillId="19" borderId="32" xfId="6" applyNumberFormat="1" applyFont="1" applyBorder="1" applyAlignment="1">
      <alignment horizontal="center"/>
    </xf>
    <xf numFmtId="0" fontId="29" fillId="19" borderId="0" xfId="6" applyFont="1" applyBorder="1" applyAlignment="1">
      <alignment horizontal="center"/>
    </xf>
    <xf numFmtId="0" fontId="29" fillId="19" borderId="0" xfId="6" applyFont="1" applyBorder="1"/>
    <xf numFmtId="0" fontId="29" fillId="19" borderId="0" xfId="6" applyFont="1" applyBorder="1" applyAlignment="1">
      <alignment horizontal="left"/>
    </xf>
    <xf numFmtId="1" fontId="29" fillId="19" borderId="0" xfId="6" applyNumberFormat="1" applyFont="1" applyBorder="1"/>
    <xf numFmtId="164" fontId="29" fillId="19" borderId="0" xfId="6" applyNumberFormat="1" applyFont="1" applyBorder="1"/>
    <xf numFmtId="164" fontId="29" fillId="19" borderId="0" xfId="6" applyNumberFormat="1" applyFont="1" applyBorder="1" applyAlignment="1">
      <alignment horizontal="center"/>
    </xf>
    <xf numFmtId="167" fontId="0" fillId="0" borderId="0" xfId="0" applyNumberFormat="1"/>
    <xf numFmtId="0" fontId="9" fillId="29" borderId="0" xfId="11">
      <alignment horizontal="center"/>
    </xf>
    <xf numFmtId="0" fontId="9" fillId="29" borderId="0" xfId="11" applyAlignment="1">
      <alignment horizontal="center"/>
    </xf>
    <xf numFmtId="10" fontId="28" fillId="19" borderId="20" xfId="6" applyNumberFormat="1" applyFont="1" applyBorder="1" applyAlignment="1">
      <alignment horizontal="center"/>
    </xf>
    <xf numFmtId="171" fontId="0" fillId="0" borderId="0" xfId="0" applyNumberFormat="1"/>
    <xf numFmtId="169" fontId="0" fillId="0" borderId="0" xfId="0" applyNumberFormat="1"/>
    <xf numFmtId="164" fontId="0" fillId="0" borderId="0" xfId="0" applyNumberFormat="1" applyFill="1"/>
    <xf numFmtId="3" fontId="0" fillId="0" borderId="1" xfId="0" applyNumberFormat="1" applyFill="1" applyBorder="1"/>
    <xf numFmtId="164" fontId="0" fillId="0" borderId="1" xfId="1" applyNumberFormat="1" applyFont="1" applyFill="1" applyBorder="1"/>
    <xf numFmtId="10" fontId="3" fillId="5" borderId="38" xfId="1" applyNumberFormat="1" applyFont="1" applyFill="1" applyBorder="1" applyAlignment="1">
      <alignment horizontal="center"/>
    </xf>
    <xf numFmtId="170" fontId="28" fillId="19" borderId="38" xfId="6" applyNumberFormat="1" applyFont="1" applyBorder="1" applyAlignment="1">
      <alignment horizontal="center"/>
    </xf>
    <xf numFmtId="169" fontId="9" fillId="19" borderId="0" xfId="6" applyNumberFormat="1"/>
    <xf numFmtId="0" fontId="0" fillId="0" borderId="6" xfId="0" quotePrefix="1" applyBorder="1"/>
    <xf numFmtId="2" fontId="1" fillId="18" borderId="0" xfId="5" applyNumberFormat="1" applyFont="1" applyBorder="1"/>
    <xf numFmtId="164" fontId="9" fillId="23" borderId="0" xfId="8" applyNumberFormat="1"/>
    <xf numFmtId="172" fontId="0" fillId="0" borderId="0" xfId="0" applyNumberFormat="1" applyBorder="1"/>
    <xf numFmtId="11" fontId="0" fillId="0" borderId="0" xfId="0" applyNumberFormat="1"/>
    <xf numFmtId="170" fontId="0" fillId="0" borderId="6" xfId="1" applyNumberFormat="1" applyFont="1" applyBorder="1"/>
    <xf numFmtId="170" fontId="0" fillId="0" borderId="0" xfId="1" applyNumberFormat="1" applyFont="1" applyBorder="1"/>
    <xf numFmtId="170" fontId="0" fillId="0" borderId="1" xfId="1" applyNumberFormat="1" applyFont="1" applyBorder="1"/>
    <xf numFmtId="0" fontId="9" fillId="30" borderId="0" xfId="12">
      <alignment horizontal="center"/>
    </xf>
    <xf numFmtId="0" fontId="11" fillId="21" borderId="0" xfId="0" applyFont="1" applyFill="1"/>
    <xf numFmtId="0" fontId="0" fillId="21" borderId="0" xfId="0" applyFill="1"/>
    <xf numFmtId="0" fontId="3" fillId="21" borderId="24" xfId="0" applyFont="1" applyFill="1" applyBorder="1" applyAlignment="1">
      <alignment horizontal="center"/>
    </xf>
    <xf numFmtId="0" fontId="3" fillId="21" borderId="25" xfId="0" applyFont="1" applyFill="1" applyBorder="1" applyAlignment="1">
      <alignment horizontal="center"/>
    </xf>
    <xf numFmtId="0" fontId="3" fillId="21" borderId="26" xfId="0" applyFont="1" applyFill="1" applyBorder="1" applyAlignment="1">
      <alignment horizontal="center"/>
    </xf>
    <xf numFmtId="0" fontId="0" fillId="21" borderId="15" xfId="0" applyFill="1" applyBorder="1" applyAlignment="1">
      <alignment horizontal="center"/>
    </xf>
    <xf numFmtId="164" fontId="0" fillId="21" borderId="0" xfId="0" applyNumberFormat="1" applyFill="1" applyBorder="1" applyAlignment="1">
      <alignment horizontal="center"/>
    </xf>
    <xf numFmtId="164" fontId="0" fillId="21" borderId="16" xfId="0" applyNumberFormat="1" applyFill="1" applyBorder="1" applyAlignment="1">
      <alignment horizontal="center"/>
    </xf>
    <xf numFmtId="0" fontId="0" fillId="21" borderId="17" xfId="0" applyFill="1" applyBorder="1" applyAlignment="1">
      <alignment horizontal="center"/>
    </xf>
    <xf numFmtId="164" fontId="0" fillId="21" borderId="18" xfId="0" applyNumberFormat="1" applyFill="1" applyBorder="1" applyAlignment="1">
      <alignment horizontal="center"/>
    </xf>
    <xf numFmtId="164" fontId="0" fillId="21" borderId="19" xfId="0" applyNumberFormat="1" applyFill="1" applyBorder="1" applyAlignment="1">
      <alignment horizontal="center"/>
    </xf>
    <xf numFmtId="164" fontId="9" fillId="21" borderId="0" xfId="6" applyNumberFormat="1" applyFill="1" applyAlignment="1">
      <alignment horizontal="center"/>
    </xf>
    <xf numFmtId="0" fontId="9" fillId="29" borderId="0" xfId="11" applyAlignment="1">
      <alignment horizontal="left"/>
    </xf>
    <xf numFmtId="3" fontId="0" fillId="21" borderId="0" xfId="0" applyNumberFormat="1" applyFill="1"/>
    <xf numFmtId="3" fontId="0" fillId="21" borderId="6" xfId="0" applyNumberFormat="1" applyFill="1" applyBorder="1" applyAlignment="1">
      <alignment horizontal="center"/>
    </xf>
    <xf numFmtId="3" fontId="0" fillId="21" borderId="28" xfId="0" applyNumberFormat="1" applyFill="1" applyBorder="1" applyAlignment="1">
      <alignment horizontal="center"/>
    </xf>
    <xf numFmtId="3" fontId="0" fillId="21" borderId="0" xfId="0" applyNumberFormat="1" applyFill="1" applyBorder="1" applyAlignment="1">
      <alignment horizontal="center"/>
    </xf>
    <xf numFmtId="3" fontId="0" fillId="21" borderId="16" xfId="0" applyNumberFormat="1" applyFill="1" applyBorder="1" applyAlignment="1">
      <alignment horizontal="center"/>
    </xf>
    <xf numFmtId="0" fontId="0" fillId="21" borderId="0" xfId="0" applyFill="1" applyAlignment="1">
      <alignment horizontal="center"/>
    </xf>
    <xf numFmtId="3" fontId="0" fillId="21" borderId="18" xfId="0" applyNumberFormat="1" applyFill="1" applyBorder="1" applyAlignment="1">
      <alignment horizontal="center"/>
    </xf>
    <xf numFmtId="3" fontId="0" fillId="21" borderId="19" xfId="0" applyNumberFormat="1" applyFill="1" applyBorder="1" applyAlignment="1">
      <alignment horizontal="center"/>
    </xf>
    <xf numFmtId="167" fontId="9" fillId="30" borderId="0" xfId="1" applyNumberFormat="1" applyFont="1" applyFill="1" applyAlignment="1">
      <alignment horizontal="center"/>
    </xf>
    <xf numFmtId="167" fontId="28" fillId="19" borderId="0" xfId="1" applyNumberFormat="1" applyFont="1" applyFill="1" applyBorder="1" applyAlignment="1">
      <alignment horizontal="center"/>
    </xf>
    <xf numFmtId="0" fontId="11" fillId="7" borderId="0" xfId="0" applyFont="1" applyFill="1" applyAlignment="1">
      <alignment horizontal="left"/>
    </xf>
    <xf numFmtId="0" fontId="0" fillId="7" borderId="12" xfId="0" applyFill="1" applyBorder="1"/>
    <xf numFmtId="0" fontId="0" fillId="7" borderId="13" xfId="0" applyFill="1" applyBorder="1"/>
    <xf numFmtId="0" fontId="0" fillId="7" borderId="21" xfId="0" applyFill="1" applyBorder="1"/>
    <xf numFmtId="0" fontId="0" fillId="7" borderId="14" xfId="0" applyFill="1" applyBorder="1"/>
    <xf numFmtId="0" fontId="14" fillId="7" borderId="15" xfId="0" applyFont="1" applyFill="1" applyBorder="1" applyAlignment="1">
      <alignment horizontal="center"/>
    </xf>
    <xf numFmtId="0" fontId="14" fillId="7" borderId="0" xfId="0" applyFont="1" applyFill="1" applyBorder="1" applyAlignment="1">
      <alignment horizontal="center"/>
    </xf>
    <xf numFmtId="0" fontId="14" fillId="7" borderId="10" xfId="0" applyFont="1" applyFill="1" applyBorder="1" applyAlignment="1">
      <alignment horizontal="center"/>
    </xf>
    <xf numFmtId="0" fontId="3" fillId="7" borderId="16" xfId="0" applyFont="1" applyFill="1" applyBorder="1" applyAlignment="1">
      <alignment horizontal="center"/>
    </xf>
    <xf numFmtId="0" fontId="0" fillId="7" borderId="15" xfId="0" applyFill="1" applyBorder="1"/>
    <xf numFmtId="0" fontId="0" fillId="7" borderId="0" xfId="0" applyFill="1" applyBorder="1"/>
    <xf numFmtId="2" fontId="0" fillId="7" borderId="0" xfId="0" applyNumberFormat="1" applyFill="1" applyBorder="1"/>
    <xf numFmtId="9" fontId="0" fillId="7" borderId="10" xfId="1" applyFont="1" applyFill="1" applyBorder="1" applyAlignment="1">
      <alignment horizontal="center"/>
    </xf>
    <xf numFmtId="9" fontId="0" fillId="7" borderId="0" xfId="1" applyFont="1" applyFill="1" applyBorder="1" applyAlignment="1">
      <alignment horizontal="center"/>
    </xf>
    <xf numFmtId="9" fontId="0" fillId="7" borderId="16" xfId="1" applyFont="1" applyFill="1" applyBorder="1" applyAlignment="1">
      <alignment horizontal="center"/>
    </xf>
    <xf numFmtId="0" fontId="15" fillId="7" borderId="15" xfId="0" applyFont="1" applyFill="1" applyBorder="1"/>
    <xf numFmtId="9" fontId="0" fillId="7" borderId="8" xfId="1" applyFont="1" applyFill="1" applyBorder="1" applyAlignment="1">
      <alignment horizontal="center"/>
    </xf>
    <xf numFmtId="9" fontId="0" fillId="7" borderId="1" xfId="1" applyFont="1" applyFill="1" applyBorder="1" applyAlignment="1">
      <alignment horizontal="center"/>
    </xf>
    <xf numFmtId="9" fontId="0" fillId="7" borderId="22" xfId="1" applyFont="1" applyFill="1" applyBorder="1" applyAlignment="1">
      <alignment horizontal="center"/>
    </xf>
    <xf numFmtId="0" fontId="0" fillId="7" borderId="16" xfId="0" applyFill="1" applyBorder="1"/>
    <xf numFmtId="0" fontId="3" fillId="7" borderId="23" xfId="0" applyFont="1" applyFill="1" applyBorder="1" applyAlignment="1">
      <alignment horizontal="center"/>
    </xf>
    <xf numFmtId="0" fontId="3" fillId="7" borderId="4" xfId="0" applyFont="1" applyFill="1" applyBorder="1" applyAlignment="1">
      <alignment horizontal="center"/>
    </xf>
    <xf numFmtId="0" fontId="3" fillId="7" borderId="15" xfId="0" applyFont="1" applyFill="1" applyBorder="1" applyAlignment="1">
      <alignment horizontal="center"/>
    </xf>
    <xf numFmtId="0" fontId="0" fillId="7" borderId="15" xfId="0" applyFill="1" applyBorder="1" applyAlignment="1">
      <alignment horizontal="center"/>
    </xf>
    <xf numFmtId="3" fontId="0" fillId="7" borderId="0" xfId="0" applyNumberFormat="1" applyFill="1" applyBorder="1"/>
    <xf numFmtId="0" fontId="0" fillId="7" borderId="17" xfId="0" applyFill="1" applyBorder="1" applyAlignment="1">
      <alignment horizontal="center"/>
    </xf>
    <xf numFmtId="3" fontId="0" fillId="7" borderId="18" xfId="0" applyNumberFormat="1" applyFill="1" applyBorder="1" applyAlignment="1">
      <alignment horizontal="center"/>
    </xf>
    <xf numFmtId="3" fontId="0" fillId="7" borderId="18" xfId="0" applyNumberFormat="1" applyFill="1" applyBorder="1"/>
    <xf numFmtId="0" fontId="0" fillId="7" borderId="18" xfId="0" applyFill="1" applyBorder="1"/>
    <xf numFmtId="0" fontId="0" fillId="7" borderId="19" xfId="0" applyFill="1" applyBorder="1"/>
    <xf numFmtId="169" fontId="0" fillId="0" borderId="11" xfId="0" applyNumberFormat="1" applyBorder="1" applyAlignment="1">
      <alignment horizontal="center"/>
    </xf>
    <xf numFmtId="164" fontId="1" fillId="26" borderId="0" xfId="0" applyNumberFormat="1" applyFont="1" applyFill="1" applyAlignment="1">
      <alignment horizontal="center"/>
    </xf>
    <xf numFmtId="3" fontId="9" fillId="19" borderId="0" xfId="6" applyNumberFormat="1" applyAlignment="1">
      <alignment horizontal="center"/>
    </xf>
    <xf numFmtId="164" fontId="0" fillId="5" borderId="0" xfId="0" applyNumberFormat="1" applyFill="1"/>
    <xf numFmtId="0" fontId="4" fillId="0" borderId="0" xfId="0" applyFont="1"/>
    <xf numFmtId="0" fontId="27" fillId="30" borderId="0" xfId="12" applyFont="1" applyAlignment="1">
      <alignment horizontal="left"/>
    </xf>
    <xf numFmtId="10" fontId="0" fillId="0" borderId="0" xfId="0" applyNumberFormat="1"/>
    <xf numFmtId="10" fontId="0" fillId="0" borderId="0" xfId="1" applyNumberFormat="1" applyFont="1"/>
    <xf numFmtId="10" fontId="0" fillId="0" borderId="0" xfId="1" applyNumberFormat="1" applyFont="1" applyAlignment="1">
      <alignment horizontal="center"/>
    </xf>
    <xf numFmtId="168" fontId="0" fillId="0" borderId="0" xfId="0" applyNumberFormat="1"/>
    <xf numFmtId="0" fontId="0" fillId="0" borderId="0" xfId="0"/>
    <xf numFmtId="0" fontId="0" fillId="0" borderId="3" xfId="0" applyBorder="1" applyAlignment="1">
      <alignment horizontal="left"/>
    </xf>
    <xf numFmtId="0" fontId="0" fillId="0" borderId="4" xfId="0" applyBorder="1" applyAlignment="1">
      <alignment horizontal="left" wrapText="1"/>
    </xf>
    <xf numFmtId="0" fontId="0" fillId="0" borderId="4" xfId="0" applyBorder="1" applyAlignment="1">
      <alignment horizontal="left"/>
    </xf>
    <xf numFmtId="0" fontId="0" fillId="0" borderId="0" xfId="0" applyFill="1" applyBorder="1" applyAlignment="1">
      <alignment horizontal="left" vertical="center"/>
    </xf>
    <xf numFmtId="0" fontId="1" fillId="0" borderId="0" xfId="13" applyFill="1" applyBorder="1" applyAlignment="1">
      <alignment horizontal="left" vertical="center"/>
    </xf>
    <xf numFmtId="0" fontId="30" fillId="0" borderId="0" xfId="15" applyFont="1" applyFill="1" applyBorder="1" applyAlignment="1">
      <alignment horizontal="left" vertical="center"/>
    </xf>
    <xf numFmtId="0" fontId="0" fillId="0" borderId="1" xfId="0" applyFill="1" applyBorder="1" applyAlignment="1">
      <alignment horizontal="left" vertical="center"/>
    </xf>
    <xf numFmtId="0" fontId="1" fillId="0" borderId="1" xfId="13" applyFill="1" applyBorder="1" applyAlignment="1">
      <alignment horizontal="left" vertical="center"/>
    </xf>
    <xf numFmtId="164" fontId="0" fillId="0" borderId="0" xfId="0" applyNumberFormat="1" applyFill="1" applyBorder="1" applyAlignment="1">
      <alignment horizontal="left" vertical="center"/>
    </xf>
    <xf numFmtId="164" fontId="0" fillId="0" borderId="1" xfId="0" applyNumberFormat="1" applyFill="1" applyBorder="1" applyAlignment="1">
      <alignment horizontal="left" vertical="center"/>
    </xf>
    <xf numFmtId="3" fontId="0" fillId="0" borderId="32" xfId="0" applyNumberFormat="1" applyFont="1" applyFill="1" applyBorder="1" applyAlignment="1">
      <alignment horizontal="center"/>
    </xf>
    <xf numFmtId="0" fontId="9" fillId="30" borderId="32" xfId="12" applyBorder="1">
      <alignment horizontal="center"/>
    </xf>
    <xf numFmtId="0" fontId="9" fillId="30" borderId="33" xfId="12" applyBorder="1">
      <alignment horizontal="center"/>
    </xf>
    <xf numFmtId="0" fontId="9" fillId="23" borderId="29" xfId="8" quotePrefix="1" applyBorder="1" applyAlignment="1">
      <alignment horizontal="center"/>
    </xf>
    <xf numFmtId="167" fontId="3" fillId="0" borderId="0" xfId="1" applyNumberFormat="1" applyFont="1"/>
    <xf numFmtId="168" fontId="21" fillId="5" borderId="0" xfId="6" applyNumberFormat="1" applyFont="1" applyFill="1"/>
    <xf numFmtId="0" fontId="0" fillId="2" borderId="39" xfId="0" applyFill="1" applyBorder="1" applyAlignment="1">
      <alignment horizontal="center"/>
    </xf>
    <xf numFmtId="0" fontId="0" fillId="2" borderId="0" xfId="0" applyFill="1" applyAlignment="1">
      <alignment horizontal="center"/>
    </xf>
    <xf numFmtId="0" fontId="0" fillId="2" borderId="2" xfId="0" applyFill="1" applyBorder="1" applyAlignment="1">
      <alignment horizontal="center"/>
    </xf>
    <xf numFmtId="0" fontId="0" fillId="2" borderId="3" xfId="0" applyFill="1" applyBorder="1"/>
    <xf numFmtId="0" fontId="0" fillId="2" borderId="4" xfId="0" applyFill="1" applyBorder="1"/>
    <xf numFmtId="0" fontId="0" fillId="2" borderId="5" xfId="0" applyFill="1" applyBorder="1"/>
    <xf numFmtId="0" fontId="0" fillId="2" borderId="40" xfId="0" applyFill="1" applyBorder="1"/>
    <xf numFmtId="0" fontId="0" fillId="2" borderId="6" xfId="0" applyFill="1" applyBorder="1" applyAlignment="1">
      <alignment horizontal="center"/>
    </xf>
    <xf numFmtId="0" fontId="0" fillId="2" borderId="7" xfId="0" applyFill="1" applyBorder="1" applyAlignment="1">
      <alignment horizontal="center"/>
    </xf>
    <xf numFmtId="0" fontId="0" fillId="2" borderId="8" xfId="0" applyFill="1" applyBorder="1"/>
    <xf numFmtId="0" fontId="0" fillId="2" borderId="1" xfId="0" applyFill="1" applyBorder="1" applyAlignment="1">
      <alignment horizontal="center"/>
    </xf>
    <xf numFmtId="0" fontId="0" fillId="2" borderId="9" xfId="0" applyFill="1" applyBorder="1" applyAlignment="1">
      <alignment horizontal="center"/>
    </xf>
    <xf numFmtId="11" fontId="0" fillId="2" borderId="0" xfId="0" applyNumberFormat="1" applyFill="1"/>
    <xf numFmtId="164" fontId="9" fillId="30" borderId="0" xfId="12" applyNumberFormat="1">
      <alignment horizontal="center"/>
    </xf>
    <xf numFmtId="0" fontId="9" fillId="30" borderId="0" xfId="12" applyAlignment="1">
      <alignment horizontal="center"/>
    </xf>
    <xf numFmtId="0" fontId="32" fillId="32" borderId="0" xfId="16" applyAlignment="1">
      <alignment horizontal="center"/>
    </xf>
    <xf numFmtId="1" fontId="32" fillId="32" borderId="0" xfId="16" applyNumberFormat="1" applyAlignment="1">
      <alignment horizontal="center"/>
    </xf>
    <xf numFmtId="1" fontId="0" fillId="3" borderId="0" xfId="0" applyNumberFormat="1" applyFill="1" applyAlignment="1">
      <alignment horizontal="center"/>
    </xf>
    <xf numFmtId="164" fontId="9" fillId="19" borderId="0" xfId="6" applyNumberFormat="1" applyFont="1" applyAlignment="1">
      <alignment horizontal="center"/>
    </xf>
    <xf numFmtId="164" fontId="0" fillId="4" borderId="0" xfId="0" applyNumberFormat="1" applyFill="1" applyAlignment="1">
      <alignment horizontal="center"/>
    </xf>
    <xf numFmtId="164" fontId="2" fillId="8" borderId="0" xfId="0" applyNumberFormat="1" applyFont="1" applyFill="1" applyAlignment="1">
      <alignment horizontal="center"/>
    </xf>
    <xf numFmtId="1" fontId="9" fillId="19" borderId="0" xfId="6" applyNumberFormat="1" applyAlignment="1">
      <alignment horizontal="center"/>
    </xf>
    <xf numFmtId="164" fontId="2" fillId="5" borderId="1" xfId="0" quotePrefix="1" applyNumberFormat="1" applyFont="1" applyFill="1" applyBorder="1" applyAlignment="1">
      <alignment horizontal="center"/>
    </xf>
    <xf numFmtId="164" fontId="2" fillId="5" borderId="1" xfId="0" applyNumberFormat="1" applyFont="1" applyFill="1" applyBorder="1" applyAlignment="1">
      <alignment horizontal="center"/>
    </xf>
    <xf numFmtId="11" fontId="0" fillId="5" borderId="0" xfId="0" applyNumberFormat="1" applyFill="1" applyAlignment="1">
      <alignment horizontal="center"/>
    </xf>
    <xf numFmtId="0" fontId="0" fillId="33" borderId="0" xfId="0" applyFill="1"/>
    <xf numFmtId="0" fontId="0" fillId="0" borderId="0" xfId="0" applyFont="1" applyAlignment="1">
      <alignment horizontal="center"/>
    </xf>
    <xf numFmtId="167" fontId="0" fillId="0" borderId="1" xfId="1" applyNumberFormat="1" applyFont="1" applyBorder="1" applyAlignment="1">
      <alignment horizontal="center"/>
    </xf>
    <xf numFmtId="0" fontId="3" fillId="33" borderId="38" xfId="0" applyFont="1" applyFill="1" applyBorder="1" applyAlignment="1">
      <alignment horizontal="center"/>
    </xf>
    <xf numFmtId="164" fontId="0" fillId="33" borderId="38" xfId="0" applyNumberFormat="1" applyFill="1" applyBorder="1" applyAlignment="1">
      <alignment horizontal="center"/>
    </xf>
    <xf numFmtId="164" fontId="3" fillId="33" borderId="38" xfId="0" applyNumberFormat="1" applyFont="1" applyFill="1" applyBorder="1" applyAlignment="1">
      <alignment horizontal="center"/>
    </xf>
    <xf numFmtId="0" fontId="33" fillId="0" borderId="0" xfId="0" applyFont="1"/>
    <xf numFmtId="0" fontId="33" fillId="0" borderId="0" xfId="0" applyFont="1" applyFill="1" applyBorder="1" applyAlignment="1">
      <alignment horizontal="left" vertical="top" wrapText="1"/>
    </xf>
    <xf numFmtId="0" fontId="33" fillId="0" borderId="0" xfId="0" applyFont="1" applyBorder="1"/>
    <xf numFmtId="0" fontId="33" fillId="0" borderId="0" xfId="0" applyFont="1" applyBorder="1" applyAlignment="1">
      <alignment horizontal="left" vertical="top" wrapText="1"/>
    </xf>
    <xf numFmtId="0" fontId="33" fillId="0" borderId="0" xfId="0" applyFont="1" applyBorder="1" applyAlignment="1">
      <alignment horizontal="center" vertical="top" wrapText="1"/>
    </xf>
    <xf numFmtId="0" fontId="33" fillId="0" borderId="6" xfId="0" applyFont="1" applyBorder="1" applyAlignment="1">
      <alignment horizontal="left" vertical="top" wrapText="1"/>
    </xf>
    <xf numFmtId="0" fontId="33" fillId="0" borderId="6" xfId="0" applyFont="1" applyBorder="1" applyAlignment="1">
      <alignment horizontal="center" vertical="top" wrapText="1"/>
    </xf>
    <xf numFmtId="0" fontId="34" fillId="0" borderId="4" xfId="0" applyFont="1" applyBorder="1" applyAlignment="1">
      <alignment horizontal="center"/>
    </xf>
    <xf numFmtId="0" fontId="3" fillId="0" borderId="4" xfId="0" applyFont="1" applyFill="1" applyBorder="1" applyAlignment="1">
      <alignment horizontal="center"/>
    </xf>
    <xf numFmtId="0" fontId="3" fillId="0" borderId="4" xfId="0" applyFont="1" applyBorder="1" applyAlignment="1">
      <alignment horizontal="center" wrapText="1"/>
    </xf>
    <xf numFmtId="167" fontId="0" fillId="0" borderId="6" xfId="1" applyNumberFormat="1" applyFont="1" applyBorder="1" applyAlignment="1">
      <alignment horizontal="center"/>
    </xf>
    <xf numFmtId="3" fontId="0" fillId="0" borderId="6" xfId="0" applyNumberFormat="1" applyBorder="1"/>
    <xf numFmtId="167" fontId="0" fillId="0" borderId="0" xfId="1" applyNumberFormat="1" applyFont="1" applyBorder="1" applyAlignment="1">
      <alignment horizontal="center"/>
    </xf>
    <xf numFmtId="3" fontId="0" fillId="0" borderId="1" xfId="0" applyNumberFormat="1" applyBorder="1"/>
    <xf numFmtId="167" fontId="0" fillId="0" borderId="0" xfId="1" applyNumberFormat="1" applyFont="1" applyFill="1" applyBorder="1" applyAlignment="1">
      <alignment horizontal="center"/>
    </xf>
    <xf numFmtId="167" fontId="0" fillId="0" borderId="1" xfId="1" applyNumberFormat="1" applyFont="1" applyFill="1" applyBorder="1" applyAlignment="1">
      <alignment horizontal="center"/>
    </xf>
    <xf numFmtId="0" fontId="0" fillId="0" borderId="6" xfId="0" applyBorder="1" applyAlignment="1">
      <alignment horizontal="center"/>
    </xf>
    <xf numFmtId="0" fontId="0" fillId="0" borderId="1" xfId="0" applyBorder="1" applyAlignment="1">
      <alignment horizontal="right"/>
    </xf>
    <xf numFmtId="2" fontId="9" fillId="29" borderId="0" xfId="11" applyNumberFormat="1">
      <alignment horizontal="center"/>
    </xf>
    <xf numFmtId="170" fontId="0" fillId="0" borderId="0" xfId="1" applyNumberFormat="1" applyFont="1"/>
    <xf numFmtId="165" fontId="0" fillId="0" borderId="0" xfId="1" applyNumberFormat="1" applyFont="1" applyAlignment="1">
      <alignment horizontal="center"/>
    </xf>
    <xf numFmtId="1" fontId="9" fillId="30" borderId="0" xfId="12" applyNumberFormat="1">
      <alignment horizontal="center"/>
    </xf>
    <xf numFmtId="0" fontId="0" fillId="0" borderId="0" xfId="0" applyAlignment="1">
      <alignment vertical="center"/>
    </xf>
    <xf numFmtId="0" fontId="38" fillId="0" borderId="0" xfId="0" applyFont="1" applyAlignment="1">
      <alignment vertical="center"/>
    </xf>
    <xf numFmtId="0" fontId="3" fillId="2" borderId="0" xfId="0" applyFont="1" applyFill="1" applyBorder="1" applyAlignment="1">
      <alignment horizontal="center"/>
    </xf>
    <xf numFmtId="11" fontId="8" fillId="10" borderId="0" xfId="2" applyNumberFormat="1"/>
    <xf numFmtId="0" fontId="39" fillId="0" borderId="0" xfId="0" applyFont="1"/>
    <xf numFmtId="3" fontId="40" fillId="34" borderId="41" xfId="17" applyNumberFormat="1" applyFont="1" applyBorder="1" applyAlignment="1">
      <alignment vertical="center"/>
    </xf>
    <xf numFmtId="0" fontId="0" fillId="0" borderId="42" xfId="0" applyBorder="1"/>
    <xf numFmtId="0" fontId="0" fillId="0" borderId="43" xfId="0" applyBorder="1"/>
    <xf numFmtId="0" fontId="4" fillId="0" borderId="42" xfId="0" applyFont="1" applyBorder="1" applyAlignment="1">
      <alignment vertical="center"/>
    </xf>
    <xf numFmtId="1" fontId="0" fillId="2" borderId="0" xfId="0" applyNumberFormat="1" applyFill="1" applyAlignment="1">
      <alignment horizontal="center"/>
    </xf>
    <xf numFmtId="1" fontId="0" fillId="2" borderId="0" xfId="0" applyNumberFormat="1" applyFill="1"/>
    <xf numFmtId="2" fontId="8" fillId="10" borderId="0" xfId="2" applyNumberFormat="1"/>
    <xf numFmtId="0" fontId="8" fillId="0" borderId="0" xfId="2" applyFill="1"/>
    <xf numFmtId="2" fontId="8" fillId="0" borderId="0" xfId="2" applyNumberFormat="1" applyFill="1"/>
    <xf numFmtId="0" fontId="9" fillId="30" borderId="29" xfId="12" applyBorder="1">
      <alignment horizontal="center"/>
    </xf>
    <xf numFmtId="0" fontId="0" fillId="7" borderId="32" xfId="0" applyFill="1" applyBorder="1"/>
    <xf numFmtId="0" fontId="0" fillId="13" borderId="32" xfId="0" applyFill="1" applyBorder="1"/>
    <xf numFmtId="0" fontId="0" fillId="35" borderId="39" xfId="0" applyFill="1" applyBorder="1" applyAlignment="1">
      <alignment horizontal="center"/>
    </xf>
    <xf numFmtId="0" fontId="0" fillId="35" borderId="2" xfId="0" applyFill="1" applyBorder="1" applyAlignment="1">
      <alignment horizontal="center"/>
    </xf>
    <xf numFmtId="0" fontId="2" fillId="0" borderId="0" xfId="0" quotePrefix="1" applyFont="1"/>
    <xf numFmtId="0" fontId="9" fillId="35" borderId="0" xfId="6" applyFill="1"/>
    <xf numFmtId="164" fontId="2" fillId="35" borderId="1" xfId="0" quotePrefix="1" applyNumberFormat="1" applyFont="1" applyFill="1" applyBorder="1" applyAlignment="1">
      <alignment horizontal="center"/>
    </xf>
    <xf numFmtId="164" fontId="2" fillId="35" borderId="1" xfId="0" applyNumberFormat="1" applyFont="1" applyFill="1" applyBorder="1" applyAlignment="1">
      <alignment horizontal="center"/>
    </xf>
    <xf numFmtId="164" fontId="2" fillId="35" borderId="0" xfId="0" applyNumberFormat="1" applyFont="1" applyFill="1" applyAlignment="1">
      <alignment horizontal="center"/>
    </xf>
    <xf numFmtId="0" fontId="3" fillId="8" borderId="38" xfId="0" applyFont="1" applyFill="1" applyBorder="1" applyAlignment="1">
      <alignment horizontal="center"/>
    </xf>
    <xf numFmtId="9" fontId="0" fillId="8" borderId="38" xfId="1" applyFont="1" applyFill="1" applyBorder="1"/>
    <xf numFmtId="0" fontId="3" fillId="8" borderId="44" xfId="0" applyFont="1" applyFill="1" applyBorder="1" applyAlignment="1">
      <alignment horizontal="center"/>
    </xf>
    <xf numFmtId="0" fontId="0" fillId="8" borderId="16" xfId="0" applyFill="1" applyBorder="1"/>
    <xf numFmtId="0" fontId="0" fillId="8" borderId="44" xfId="0" applyFill="1" applyBorder="1"/>
    <xf numFmtId="0" fontId="0" fillId="8" borderId="15" xfId="0" applyFill="1" applyBorder="1"/>
    <xf numFmtId="9" fontId="0" fillId="8" borderId="0" xfId="0" applyNumberFormat="1" applyFill="1" applyBorder="1"/>
    <xf numFmtId="9" fontId="0" fillId="8" borderId="0" xfId="1" applyFont="1" applyFill="1" applyBorder="1"/>
    <xf numFmtId="0" fontId="0" fillId="8" borderId="17" xfId="0" applyFill="1" applyBorder="1"/>
    <xf numFmtId="9" fontId="0" fillId="8" borderId="18" xfId="0" applyNumberFormat="1" applyFill="1" applyBorder="1"/>
    <xf numFmtId="0" fontId="0" fillId="8" borderId="19" xfId="0" applyFill="1" applyBorder="1"/>
    <xf numFmtId="0" fontId="3" fillId="2" borderId="12" xfId="0" applyFont="1" applyFill="1" applyBorder="1"/>
    <xf numFmtId="0" fontId="0" fillId="2" borderId="13" xfId="0" applyFill="1" applyBorder="1"/>
    <xf numFmtId="0" fontId="0" fillId="2" borderId="14" xfId="0" applyFill="1" applyBorder="1"/>
    <xf numFmtId="0" fontId="41" fillId="0" borderId="0" xfId="0" applyFont="1"/>
    <xf numFmtId="9" fontId="9" fillId="29" borderId="0" xfId="11" applyNumberFormat="1">
      <alignment horizontal="center"/>
    </xf>
    <xf numFmtId="169" fontId="9" fillId="19" borderId="0" xfId="6" applyNumberFormat="1" applyAlignment="1">
      <alignment horizontal="center"/>
    </xf>
    <xf numFmtId="0" fontId="3" fillId="5" borderId="0" xfId="0" applyFont="1" applyFill="1"/>
    <xf numFmtId="0" fontId="9" fillId="29" borderId="13" xfId="11" applyBorder="1">
      <alignment horizontal="center"/>
    </xf>
    <xf numFmtId="0" fontId="0" fillId="13" borderId="0" xfId="0" applyFill="1" applyBorder="1"/>
    <xf numFmtId="0" fontId="9" fillId="29" borderId="18" xfId="11" applyBorder="1">
      <alignment horizontal="center"/>
    </xf>
    <xf numFmtId="0" fontId="9" fillId="29" borderId="19" xfId="11" applyBorder="1">
      <alignment horizontal="center"/>
    </xf>
    <xf numFmtId="0" fontId="42" fillId="0" borderId="0" xfId="0" applyFont="1"/>
    <xf numFmtId="0" fontId="32" fillId="32" borderId="0" xfId="16"/>
    <xf numFmtId="0" fontId="32" fillId="32" borderId="0" xfId="16" applyAlignment="1">
      <alignment horizontal="right" vertical="center"/>
    </xf>
    <xf numFmtId="0" fontId="0" fillId="0" borderId="0" xfId="0" quotePrefix="1" applyAlignment="1">
      <alignment horizontal="left"/>
    </xf>
    <xf numFmtId="173" fontId="0" fillId="0" borderId="0" xfId="18" applyNumberFormat="1" applyFont="1"/>
    <xf numFmtId="1" fontId="0" fillId="0" borderId="0" xfId="0" applyNumberFormat="1" applyFill="1"/>
    <xf numFmtId="1" fontId="0" fillId="37" borderId="0" xfId="0" applyNumberFormat="1" applyFill="1"/>
    <xf numFmtId="0" fontId="8" fillId="10" borderId="0" xfId="2" applyAlignment="1">
      <alignment horizontal="left"/>
    </xf>
    <xf numFmtId="164" fontId="32" fillId="32" borderId="0" xfId="16" applyNumberFormat="1" applyAlignment="1">
      <alignment horizontal="left"/>
    </xf>
    <xf numFmtId="164" fontId="32" fillId="32" borderId="0" xfId="16" applyNumberFormat="1"/>
    <xf numFmtId="164" fontId="32" fillId="32" borderId="0" xfId="16" applyNumberFormat="1" applyAlignment="1">
      <alignment horizontal="center"/>
    </xf>
    <xf numFmtId="0" fontId="43" fillId="36" borderId="45" xfId="19"/>
    <xf numFmtId="0" fontId="0" fillId="5" borderId="39" xfId="0" applyFill="1" applyBorder="1" applyAlignment="1">
      <alignment horizontal="center"/>
    </xf>
    <xf numFmtId="0" fontId="0" fillId="5" borderId="2" xfId="0" applyFill="1" applyBorder="1" applyAlignment="1">
      <alignment horizontal="center"/>
    </xf>
    <xf numFmtId="0" fontId="3" fillId="0" borderId="13" xfId="0" applyFont="1" applyBorder="1" applyAlignment="1">
      <alignment horizontal="center"/>
    </xf>
    <xf numFmtId="0" fontId="3" fillId="0" borderId="12" xfId="0" applyFont="1" applyBorder="1" applyAlignment="1">
      <alignment horizontal="center"/>
    </xf>
    <xf numFmtId="0" fontId="3" fillId="0" borderId="14" xfId="0" applyFont="1" applyBorder="1" applyAlignment="1">
      <alignment horizontal="center"/>
    </xf>
    <xf numFmtId="0" fontId="3" fillId="0" borderId="6" xfId="0" applyFont="1" applyBorder="1" applyAlignment="1">
      <alignment horizontal="center"/>
    </xf>
    <xf numFmtId="0" fontId="3" fillId="0" borderId="4" xfId="0" applyFont="1" applyBorder="1" applyAlignment="1">
      <alignment horizontal="center"/>
    </xf>
    <xf numFmtId="10" fontId="0" fillId="0" borderId="0" xfId="0" quotePrefix="1" applyNumberFormat="1"/>
  </cellXfs>
  <cellStyles count="20">
    <cellStyle name="20% - Accent3" xfId="13" builtinId="38"/>
    <cellStyle name="20% - Accent5" xfId="7" builtinId="46"/>
    <cellStyle name="40% - Accent2" xfId="4" builtinId="35"/>
    <cellStyle name="40% - Accent6" xfId="9" builtinId="51"/>
    <cellStyle name="60% - Accent4" xfId="5" builtinId="44"/>
    <cellStyle name="Accent2" xfId="3" builtinId="33"/>
    <cellStyle name="Accent5" xfId="6" builtinId="45"/>
    <cellStyle name="Accent6" xfId="8" builtinId="49"/>
    <cellStyle name="Bad" xfId="2" builtinId="27"/>
    <cellStyle name="Comma" xfId="18" builtinId="3"/>
    <cellStyle name="Comma 2" xfId="14"/>
    <cellStyle name="Good" xfId="17" builtinId="26"/>
    <cellStyle name="Input" xfId="19" builtinId="20"/>
    <cellStyle name="Neutral" xfId="16" builtinId="28"/>
    <cellStyle name="Normal" xfId="0" builtinId="0"/>
    <cellStyle name="Normal 2" xfId="10"/>
    <cellStyle name="Normal_Periods" xfId="15"/>
    <cellStyle name="Percent" xfId="1" builtinId="5"/>
    <cellStyle name="PeteStyle" xfId="11"/>
    <cellStyle name="PeteStyle2" xfId="12"/>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color auto="1"/>
      </font>
      <numFmt numFmtId="0" formatCode="General"/>
      <fill>
        <patternFill>
          <bgColor theme="0" tint="-0.34998626667073579"/>
        </patternFill>
      </fill>
    </dxf>
    <dxf>
      <font>
        <b val="0"/>
        <i val="0"/>
        <color auto="1"/>
      </font>
      <numFmt numFmtId="0" formatCode="General"/>
      <fill>
        <patternFill>
          <bgColor theme="0" tint="-0.34998626667073579"/>
        </patternFill>
      </fill>
    </dxf>
    <dxf>
      <font>
        <b val="0"/>
        <i val="0"/>
        <color auto="1"/>
      </font>
      <numFmt numFmtId="0" formatCode="General"/>
      <fill>
        <patternFill>
          <bgColor theme="0" tint="-0.34998626667073579"/>
        </patternFill>
      </fill>
    </dxf>
    <dxf>
      <font>
        <b val="0"/>
        <i val="0"/>
        <color auto="1"/>
      </font>
      <numFmt numFmtId="0" formatCode="General"/>
      <fill>
        <patternFill>
          <bgColor theme="0" tint="-0.34998626667073579"/>
        </patternFill>
      </fill>
    </dxf>
    <dxf>
      <font>
        <b val="0"/>
        <i val="0"/>
        <color auto="1"/>
      </font>
      <numFmt numFmtId="0" formatCode="General"/>
      <fill>
        <patternFill>
          <bgColor theme="0" tint="-0.34998626667073579"/>
        </patternFill>
      </fill>
    </dxf>
    <dxf>
      <font>
        <b val="0"/>
        <i val="0"/>
        <color auto="1"/>
      </font>
      <numFmt numFmtId="0" formatCode="General"/>
      <fill>
        <patternFill>
          <bgColor theme="0" tint="-0.34998626667073579"/>
        </patternFill>
      </fill>
    </dxf>
    <dxf>
      <font>
        <color rgb="FF9C6500"/>
      </font>
      <fill>
        <patternFill>
          <bgColor rgb="FFFFEB9C"/>
        </patternFill>
      </fill>
    </dxf>
    <dxf>
      <font>
        <b val="0"/>
        <i val="0"/>
        <color auto="1"/>
      </font>
      <numFmt numFmtId="0" formatCode="General"/>
      <fill>
        <patternFill>
          <bgColor theme="0" tint="-0.34998626667073579"/>
        </patternFill>
      </fill>
    </dxf>
    <dxf>
      <font>
        <b val="0"/>
        <i val="0"/>
        <color auto="1"/>
      </font>
      <numFmt numFmtId="0" formatCode="General"/>
      <fill>
        <patternFill>
          <bgColor theme="0" tint="-0.34998626667073579"/>
        </patternFill>
      </fill>
    </dxf>
    <dxf>
      <font>
        <b val="0"/>
        <i val="0"/>
        <color auto="1"/>
      </font>
      <numFmt numFmtId="0" formatCode="General"/>
      <fill>
        <patternFill>
          <bgColor theme="0" tint="-0.34998626667073579"/>
        </patternFill>
      </fill>
    </dxf>
    <dxf>
      <font>
        <b val="0"/>
        <i val="0"/>
        <color auto="1"/>
      </font>
      <numFmt numFmtId="0" formatCode="General"/>
      <fill>
        <patternFill>
          <bgColor theme="0" tint="-0.34998626667073579"/>
        </patternFill>
      </fill>
    </dxf>
    <dxf>
      <font>
        <b val="0"/>
        <i val="0"/>
        <color auto="1"/>
      </font>
      <numFmt numFmtId="0" formatCode="General"/>
      <fill>
        <patternFill>
          <bgColor theme="0" tint="-0.34998626667073579"/>
        </patternFill>
      </fill>
    </dxf>
    <dxf>
      <font>
        <b val="0"/>
        <i val="0"/>
        <color auto="1"/>
      </font>
      <numFmt numFmtId="0" formatCode="General"/>
      <fill>
        <patternFill>
          <bgColor theme="0" tint="-0.34998626667073579"/>
        </patternFill>
      </fill>
    </dxf>
    <dxf>
      <font>
        <b val="0"/>
        <i val="0"/>
        <color auto="1"/>
      </font>
      <numFmt numFmtId="0" formatCode="General"/>
      <fill>
        <patternFill>
          <bgColor theme="0" tint="-0.34998626667073579"/>
        </patternFill>
      </fill>
    </dxf>
    <dxf>
      <font>
        <b val="0"/>
        <i val="0"/>
        <color auto="1"/>
      </font>
      <numFmt numFmtId="0" formatCode="General"/>
      <fill>
        <patternFill>
          <bgColor theme="0" tint="-0.34998626667073579"/>
        </patternFill>
      </fill>
    </dxf>
    <dxf>
      <font>
        <b val="0"/>
        <i val="0"/>
        <color auto="1"/>
      </font>
      <numFmt numFmtId="0" formatCode="General"/>
      <fill>
        <patternFill>
          <bgColor theme="0" tint="-0.34998626667073579"/>
        </patternFill>
      </fill>
    </dxf>
    <dxf>
      <font>
        <b val="0"/>
        <i val="0"/>
        <color auto="1"/>
      </font>
      <numFmt numFmtId="0" formatCode="General"/>
      <fill>
        <patternFill>
          <bgColor theme="0" tint="-0.34998626667073579"/>
        </patternFill>
      </fill>
    </dxf>
    <dxf>
      <font>
        <b val="0"/>
        <i val="0"/>
        <color auto="1"/>
      </font>
      <numFmt numFmtId="0" formatCode="General"/>
      <fill>
        <patternFill>
          <bgColor theme="0" tint="-0.34998626667073579"/>
        </patternFill>
      </fill>
    </dxf>
    <dxf>
      <font>
        <b val="0"/>
        <i val="0"/>
        <color auto="1"/>
      </font>
      <numFmt numFmtId="0" formatCode="General"/>
      <fill>
        <patternFill>
          <bgColor theme="0" tint="-0.34998626667073579"/>
        </patternFill>
      </fill>
    </dxf>
    <dxf>
      <font>
        <b val="0"/>
        <i val="0"/>
        <color auto="1"/>
      </font>
      <numFmt numFmtId="0" formatCode="General"/>
      <fill>
        <patternFill>
          <bgColor theme="0" tint="-0.34998626667073579"/>
        </patternFill>
      </fill>
    </dxf>
    <dxf>
      <font>
        <b val="0"/>
        <i val="0"/>
        <color auto="1"/>
      </font>
      <numFmt numFmtId="0" formatCode="General"/>
      <fill>
        <patternFill>
          <bgColor theme="0" tint="-0.34998626667073579"/>
        </patternFill>
      </fill>
    </dxf>
    <dxf>
      <font>
        <b val="0"/>
        <i val="0"/>
        <color auto="1"/>
      </font>
      <numFmt numFmtId="0" formatCode="General"/>
      <fill>
        <patternFill>
          <bgColor theme="0" tint="-0.34998626667073579"/>
        </patternFill>
      </fill>
    </dxf>
    <dxf>
      <font>
        <color rgb="FF9C6500"/>
      </font>
      <fill>
        <patternFill>
          <bgColor rgb="FFFFEB9C"/>
        </patternFill>
      </fill>
    </dxf>
    <dxf>
      <font>
        <b val="0"/>
        <i val="0"/>
        <color auto="1"/>
      </font>
      <numFmt numFmtId="0" formatCode="General"/>
      <fill>
        <patternFill>
          <bgColor theme="0" tint="-0.34998626667073579"/>
        </patternFill>
      </fill>
    </dxf>
    <dxf>
      <font>
        <b val="0"/>
        <i val="0"/>
        <color auto="1"/>
      </font>
      <numFmt numFmtId="0" formatCode="General"/>
      <fill>
        <patternFill>
          <bgColor theme="0" tint="-0.34998626667073579"/>
        </patternFill>
      </fill>
    </dxf>
    <dxf>
      <font>
        <b val="0"/>
        <i val="0"/>
        <color auto="1"/>
      </font>
      <numFmt numFmtId="0" formatCode="General"/>
      <fill>
        <patternFill>
          <bgColor theme="0" tint="-0.34998626667073579"/>
        </patternFill>
      </fill>
    </dxf>
    <dxf>
      <font>
        <b val="0"/>
        <i val="0"/>
        <color auto="1"/>
      </font>
      <numFmt numFmtId="0" formatCode="General"/>
      <fill>
        <patternFill>
          <bgColor theme="0" tint="-0.34998626667073579"/>
        </patternFill>
      </fill>
    </dxf>
    <dxf>
      <font>
        <b val="0"/>
        <i val="0"/>
        <color auto="1"/>
      </font>
      <numFmt numFmtId="0" formatCode="General"/>
      <fill>
        <patternFill>
          <bgColor theme="0" tint="-0.34998626667073579"/>
        </patternFill>
      </fill>
    </dxf>
    <dxf>
      <font>
        <b val="0"/>
        <i val="0"/>
        <color auto="1"/>
      </font>
      <numFmt numFmtId="0" formatCode="General"/>
      <fill>
        <patternFill>
          <bgColor theme="0" tint="-0.34998626667073579"/>
        </patternFill>
      </fill>
    </dxf>
    <dxf>
      <font>
        <b val="0"/>
        <i val="0"/>
        <color auto="1"/>
      </font>
      <numFmt numFmtId="0" formatCode="General"/>
      <fill>
        <patternFill>
          <bgColor theme="0" tint="-0.34998626667073579"/>
        </patternFill>
      </fill>
    </dxf>
    <dxf>
      <font>
        <color rgb="FF9C6500"/>
      </font>
      <fill>
        <patternFill>
          <bgColor rgb="FFFFEB9C"/>
        </patternFill>
      </fill>
    </dxf>
    <dxf>
      <font>
        <b val="0"/>
        <i val="0"/>
        <color auto="1"/>
      </font>
      <numFmt numFmtId="0" formatCode="General"/>
      <fill>
        <patternFill>
          <bgColor theme="0" tint="-0.34998626667073579"/>
        </patternFill>
      </fill>
    </dxf>
    <dxf>
      <font>
        <b val="0"/>
        <i val="0"/>
        <color auto="1"/>
      </font>
      <numFmt numFmtId="0" formatCode="General"/>
      <fill>
        <patternFill>
          <bgColor theme="0" tint="-0.34998626667073579"/>
        </patternFill>
      </fill>
    </dxf>
    <dxf>
      <font>
        <b val="0"/>
        <i val="0"/>
        <color auto="1"/>
      </font>
      <numFmt numFmtId="0" formatCode="General"/>
      <fill>
        <patternFill>
          <bgColor theme="0" tint="-0.34998626667073579"/>
        </patternFill>
      </fill>
    </dxf>
    <dxf>
      <font>
        <b val="0"/>
        <i val="0"/>
        <color auto="1"/>
      </font>
      <numFmt numFmtId="0" formatCode="General"/>
      <fill>
        <patternFill>
          <bgColor theme="0" tint="-0.34998626667073579"/>
        </patternFill>
      </fill>
    </dxf>
    <dxf>
      <font>
        <b val="0"/>
        <i val="0"/>
        <color auto="1"/>
      </font>
      <numFmt numFmtId="0" formatCode="General"/>
      <fill>
        <patternFill>
          <bgColor theme="0" tint="-0.34998626667073579"/>
        </patternFill>
      </fill>
    </dxf>
    <dxf>
      <font>
        <b val="0"/>
        <i val="0"/>
        <color auto="1"/>
      </font>
      <numFmt numFmtId="0" formatCode="General"/>
      <fill>
        <patternFill>
          <bgColor theme="0" tint="-0.34998626667073579"/>
        </patternFill>
      </fill>
    </dxf>
    <dxf>
      <font>
        <b val="0"/>
        <i val="0"/>
        <color auto="1"/>
      </font>
      <numFmt numFmtId="0" formatCode="General"/>
      <fill>
        <patternFill>
          <bgColor theme="0" tint="-0.34998626667073579"/>
        </patternFill>
      </fill>
    </dxf>
    <dxf>
      <font>
        <b val="0"/>
        <i val="0"/>
        <color auto="1"/>
      </font>
      <numFmt numFmtId="0" formatCode="General"/>
      <fill>
        <patternFill>
          <bgColor theme="0" tint="-0.34998626667073579"/>
        </patternFill>
      </fill>
    </dxf>
    <dxf>
      <font>
        <b val="0"/>
        <i val="0"/>
        <color auto="1"/>
      </font>
      <numFmt numFmtId="0" formatCode="General"/>
      <fill>
        <patternFill>
          <bgColor theme="0" tint="-0.34998626667073579"/>
        </patternFill>
      </fill>
    </dxf>
    <dxf>
      <font>
        <b val="0"/>
        <i val="0"/>
        <color auto="1"/>
      </font>
      <numFmt numFmtId="0" formatCode="General"/>
      <fill>
        <patternFill>
          <bgColor theme="0" tint="-0.34998626667073579"/>
        </patternFill>
      </fill>
    </dxf>
    <dxf>
      <font>
        <b val="0"/>
        <i val="0"/>
        <color auto="1"/>
      </font>
      <numFmt numFmtId="0" formatCode="General"/>
      <fill>
        <patternFill>
          <bgColor theme="0" tint="-0.34998626667073579"/>
        </patternFill>
      </fill>
    </dxf>
    <dxf>
      <font>
        <b val="0"/>
        <i val="0"/>
        <color auto="1"/>
      </font>
      <numFmt numFmtId="0" formatCode="General"/>
      <fill>
        <patternFill>
          <bgColor theme="0" tint="-0.34998626667073579"/>
        </patternFill>
      </fill>
    </dxf>
    <dxf>
      <font>
        <b val="0"/>
        <i val="0"/>
        <color auto="1"/>
      </font>
      <numFmt numFmtId="0" formatCode="General"/>
      <fill>
        <patternFill>
          <bgColor theme="0" tint="-0.34998626667073579"/>
        </patternFill>
      </fill>
    </dxf>
    <dxf>
      <font>
        <b val="0"/>
        <i val="0"/>
        <color auto="1"/>
      </font>
      <numFmt numFmtId="0" formatCode="General"/>
      <fill>
        <patternFill>
          <bgColor theme="0" tint="-0.34998626667073579"/>
        </patternFill>
      </fill>
    </dxf>
    <dxf>
      <font>
        <b val="0"/>
        <i val="0"/>
        <color auto="1"/>
      </font>
      <numFmt numFmtId="0" formatCode="General"/>
      <fill>
        <patternFill>
          <bgColor theme="0" tint="-0.34998626667073579"/>
        </patternFill>
      </fill>
    </dxf>
    <dxf>
      <font>
        <color rgb="FF9C6500"/>
      </font>
      <fill>
        <patternFill>
          <bgColor rgb="FFFFEB9C"/>
        </patternFill>
      </fill>
    </dxf>
    <dxf>
      <font>
        <b val="0"/>
        <i val="0"/>
        <color auto="1"/>
      </font>
      <numFmt numFmtId="0" formatCode="General"/>
      <fill>
        <patternFill>
          <bgColor theme="0" tint="-0.34998626667073579"/>
        </patternFill>
      </fill>
    </dxf>
    <dxf>
      <font>
        <b val="0"/>
        <i val="0"/>
        <color auto="1"/>
      </font>
      <numFmt numFmtId="0" formatCode="General"/>
      <fill>
        <patternFill>
          <bgColor theme="0" tint="-0.34998626667073579"/>
        </patternFill>
      </fill>
    </dxf>
    <dxf>
      <font>
        <b val="0"/>
        <i val="0"/>
        <color auto="1"/>
      </font>
      <numFmt numFmtId="0" formatCode="General"/>
      <fill>
        <patternFill>
          <bgColor theme="0" tint="-0.34998626667073579"/>
        </patternFill>
      </fill>
    </dxf>
    <dxf>
      <font>
        <b val="0"/>
        <i val="0"/>
        <color auto="1"/>
      </font>
      <numFmt numFmtId="0" formatCode="General"/>
      <fill>
        <patternFill>
          <bgColor theme="0" tint="-0.34998626667073579"/>
        </patternFill>
      </fill>
    </dxf>
    <dxf>
      <font>
        <b val="0"/>
        <i val="0"/>
        <color auto="1"/>
      </font>
      <numFmt numFmtId="0" formatCode="General"/>
      <fill>
        <patternFill>
          <bgColor theme="0" tint="-0.34998626667073579"/>
        </patternFill>
      </fill>
    </dxf>
    <dxf>
      <font>
        <b val="0"/>
        <i val="0"/>
        <color auto="1"/>
      </font>
      <numFmt numFmtId="0" formatCode="General"/>
      <fill>
        <patternFill>
          <bgColor theme="0" tint="-0.34998626667073579"/>
        </patternFill>
      </fill>
    </dxf>
    <dxf>
      <font>
        <b val="0"/>
        <i val="0"/>
        <color auto="1"/>
      </font>
      <numFmt numFmtId="0" formatCode="General"/>
      <fill>
        <patternFill>
          <bgColor theme="0" tint="-0.34998626667073579"/>
        </patternFill>
      </fill>
    </dxf>
    <dxf>
      <font>
        <color rgb="FF9C6500"/>
      </font>
      <fill>
        <patternFill>
          <bgColor rgb="FFFFEB9C"/>
        </patternFill>
      </fill>
    </dxf>
    <dxf>
      <font>
        <b val="0"/>
        <i val="0"/>
        <color auto="1"/>
      </font>
      <numFmt numFmtId="0" formatCode="General"/>
      <fill>
        <patternFill>
          <bgColor theme="0" tint="-0.34998626667073579"/>
        </patternFill>
      </fill>
    </dxf>
    <dxf>
      <font>
        <b val="0"/>
        <i val="0"/>
        <color auto="1"/>
      </font>
      <numFmt numFmtId="0" formatCode="General"/>
      <fill>
        <patternFill>
          <bgColor theme="0" tint="-0.34998626667073579"/>
        </patternFill>
      </fill>
    </dxf>
    <dxf>
      <font>
        <b val="0"/>
        <i val="0"/>
        <color auto="1"/>
      </font>
      <numFmt numFmtId="0" formatCode="General"/>
      <fill>
        <patternFill>
          <bgColor theme="0" tint="-0.34998626667073579"/>
        </patternFill>
      </fill>
    </dxf>
    <dxf>
      <font>
        <b val="0"/>
        <i val="0"/>
        <color auto="1"/>
      </font>
      <numFmt numFmtId="0" formatCode="General"/>
      <fill>
        <patternFill>
          <bgColor theme="0" tint="-0.34998626667073579"/>
        </patternFill>
      </fill>
    </dxf>
    <dxf>
      <font>
        <b val="0"/>
        <i val="0"/>
        <color auto="1"/>
      </font>
      <numFmt numFmtId="0" formatCode="General"/>
      <fill>
        <patternFill>
          <bgColor theme="0" tint="-0.34998626667073579"/>
        </patternFill>
      </fill>
    </dxf>
    <dxf>
      <font>
        <b val="0"/>
        <i val="0"/>
        <color auto="1"/>
      </font>
      <numFmt numFmtId="0" formatCode="General"/>
      <fill>
        <patternFill>
          <bgColor theme="0" tint="-0.34998626667073579"/>
        </patternFill>
      </fill>
    </dxf>
    <dxf>
      <font>
        <b val="0"/>
        <i val="0"/>
        <color auto="1"/>
      </font>
      <numFmt numFmtId="0" formatCode="General"/>
      <fill>
        <patternFill>
          <bgColor theme="0" tint="-0.34998626667073579"/>
        </patternFill>
      </fill>
    </dxf>
    <dxf>
      <font>
        <b val="0"/>
        <i val="0"/>
        <color auto="1"/>
      </font>
      <numFmt numFmtId="0" formatCode="General"/>
      <fill>
        <patternFill>
          <bgColor theme="0" tint="-0.34998626667073579"/>
        </patternFill>
      </fill>
    </dxf>
    <dxf>
      <font>
        <b val="0"/>
        <i val="0"/>
        <color auto="1"/>
      </font>
      <numFmt numFmtId="0" formatCode="General"/>
      <fill>
        <patternFill>
          <bgColor theme="0" tint="-0.34998626667073579"/>
        </patternFill>
      </fill>
    </dxf>
    <dxf>
      <font>
        <b val="0"/>
        <i val="0"/>
        <color auto="1"/>
      </font>
      <numFmt numFmtId="0" formatCode="General"/>
      <fill>
        <patternFill>
          <bgColor theme="0" tint="-0.34998626667073579"/>
        </patternFill>
      </fill>
    </dxf>
    <dxf>
      <font>
        <b val="0"/>
        <i val="0"/>
        <color auto="1"/>
      </font>
      <numFmt numFmtId="0" formatCode="General"/>
      <fill>
        <patternFill>
          <bgColor theme="0" tint="-0.34998626667073579"/>
        </patternFill>
      </fill>
    </dxf>
    <dxf>
      <font>
        <b val="0"/>
        <i val="0"/>
        <color auto="1"/>
      </font>
      <numFmt numFmtId="0" formatCode="General"/>
      <fill>
        <patternFill>
          <bgColor theme="0" tint="-0.34998626667073579"/>
        </patternFill>
      </fill>
    </dxf>
    <dxf>
      <font>
        <b val="0"/>
        <i val="0"/>
        <color auto="1"/>
      </font>
      <numFmt numFmtId="0" formatCode="General"/>
      <fill>
        <patternFill>
          <bgColor theme="0" tint="-0.34998626667073579"/>
        </patternFill>
      </fill>
    </dxf>
    <dxf>
      <font>
        <b val="0"/>
        <i val="0"/>
        <color auto="1"/>
      </font>
      <numFmt numFmtId="0" formatCode="General"/>
      <fill>
        <patternFill>
          <bgColor theme="0" tint="-0.34998626667073579"/>
        </patternFill>
      </fill>
    </dxf>
    <dxf>
      <font>
        <b val="0"/>
        <i val="0"/>
        <color auto="1"/>
      </font>
      <numFmt numFmtId="0" formatCode="General"/>
      <fill>
        <patternFill>
          <bgColor theme="0" tint="-0.34998626667073579"/>
        </patternFill>
      </fill>
    </dxf>
    <dxf>
      <font>
        <color rgb="FF9C6500"/>
      </font>
      <fill>
        <patternFill>
          <bgColor rgb="FFFFEB9C"/>
        </patternFill>
      </fill>
    </dxf>
    <dxf>
      <font>
        <b val="0"/>
        <i val="0"/>
        <color auto="1"/>
      </font>
      <numFmt numFmtId="0" formatCode="General"/>
      <fill>
        <patternFill>
          <bgColor theme="0" tint="-0.34998626667073579"/>
        </patternFill>
      </fill>
    </dxf>
  </dxfs>
  <tableStyles count="0" defaultTableStyle="TableStyleMedium2" defaultPivotStyle="PivotStyleLight16"/>
  <colors>
    <mruColors>
      <color rgb="FFFF5050"/>
      <color rgb="FFFF3300"/>
      <color rgb="FF66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S.parr!$AA$2</c:f>
              <c:strCache>
                <c:ptCount val="1"/>
                <c:pt idx="0">
                  <c:v>presmolt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S.parr!$Y$3:$Z$22</c:f>
              <c:multiLvlStrCache>
                <c:ptCount val="20"/>
                <c:lvl>
                  <c:pt idx="0">
                    <c:v>spring</c:v>
                  </c:pt>
                  <c:pt idx="1">
                    <c:v>fall</c:v>
                  </c:pt>
                  <c:pt idx="2">
                    <c:v>winter</c:v>
                  </c:pt>
                  <c:pt idx="3">
                    <c:v>spring</c:v>
                  </c:pt>
                  <c:pt idx="4">
                    <c:v>fall</c:v>
                  </c:pt>
                  <c:pt idx="5">
                    <c:v>winter</c:v>
                  </c:pt>
                  <c:pt idx="6">
                    <c:v>spring</c:v>
                  </c:pt>
                  <c:pt idx="7">
                    <c:v>fall</c:v>
                  </c:pt>
                  <c:pt idx="8">
                    <c:v>winter</c:v>
                  </c:pt>
                  <c:pt idx="9">
                    <c:v>spring</c:v>
                  </c:pt>
                  <c:pt idx="10">
                    <c:v>fall</c:v>
                  </c:pt>
                  <c:pt idx="11">
                    <c:v>winter</c:v>
                  </c:pt>
                  <c:pt idx="12">
                    <c:v>spring</c:v>
                  </c:pt>
                  <c:pt idx="13">
                    <c:v>fall</c:v>
                  </c:pt>
                  <c:pt idx="14">
                    <c:v>winter</c:v>
                  </c:pt>
                  <c:pt idx="15">
                    <c:v>spring</c:v>
                  </c:pt>
                  <c:pt idx="16">
                    <c:v>fall</c:v>
                  </c:pt>
                  <c:pt idx="17">
                    <c:v>winter</c:v>
                  </c:pt>
                  <c:pt idx="18">
                    <c:v>spring</c:v>
                  </c:pt>
                  <c:pt idx="19">
                    <c:v>fall</c:v>
                  </c:pt>
                </c:lvl>
                <c:lvl>
                  <c:pt idx="0">
                    <c:v>2007</c:v>
                  </c:pt>
                  <c:pt idx="1">
                    <c:v>2007</c:v>
                  </c:pt>
                  <c:pt idx="2">
                    <c:v>2008</c:v>
                  </c:pt>
                  <c:pt idx="3">
                    <c:v>2008</c:v>
                  </c:pt>
                  <c:pt idx="4">
                    <c:v>2008</c:v>
                  </c:pt>
                  <c:pt idx="5">
                    <c:v>2009</c:v>
                  </c:pt>
                  <c:pt idx="6">
                    <c:v>2009</c:v>
                  </c:pt>
                  <c:pt idx="7">
                    <c:v>2009</c:v>
                  </c:pt>
                  <c:pt idx="8">
                    <c:v>2010</c:v>
                  </c:pt>
                  <c:pt idx="9">
                    <c:v>2010</c:v>
                  </c:pt>
                  <c:pt idx="10">
                    <c:v>2010</c:v>
                  </c:pt>
                  <c:pt idx="11">
                    <c:v>2011</c:v>
                  </c:pt>
                  <c:pt idx="12">
                    <c:v>2011</c:v>
                  </c:pt>
                  <c:pt idx="13">
                    <c:v>2011</c:v>
                  </c:pt>
                  <c:pt idx="14">
                    <c:v>2012</c:v>
                  </c:pt>
                  <c:pt idx="15">
                    <c:v>2012</c:v>
                  </c:pt>
                  <c:pt idx="16">
                    <c:v>2012</c:v>
                  </c:pt>
                  <c:pt idx="17">
                    <c:v>2013</c:v>
                  </c:pt>
                  <c:pt idx="18">
                    <c:v>2013</c:v>
                  </c:pt>
                  <c:pt idx="19">
                    <c:v>2013</c:v>
                  </c:pt>
                </c:lvl>
              </c:multiLvlStrCache>
            </c:multiLvlStrRef>
          </c:cat>
          <c:val>
            <c:numRef>
              <c:f>S.parr!$AA$3:$AA$22</c:f>
              <c:numCache>
                <c:formatCode>0.000</c:formatCode>
                <c:ptCount val="20"/>
                <c:pt idx="0">
                  <c:v>0.72272983273337188</c:v>
                </c:pt>
                <c:pt idx="1">
                  <c:v>0.86166572076014047</c:v>
                </c:pt>
                <c:pt idx="2">
                  <c:v>0.44033853156397562</c:v>
                </c:pt>
                <c:pt idx="3">
                  <c:v>0.96438291436105139</c:v>
                </c:pt>
                <c:pt idx="4">
                  <c:v>0.88535429250547937</c:v>
                </c:pt>
                <c:pt idx="5">
                  <c:v>0.46878578280562938</c:v>
                </c:pt>
                <c:pt idx="6">
                  <c:v>0.6683380790351936</c:v>
                </c:pt>
                <c:pt idx="7">
                  <c:v>0.84632957837683753</c:v>
                </c:pt>
                <c:pt idx="8">
                  <c:v>0.43613718964943582</c:v>
                </c:pt>
                <c:pt idx="9">
                  <c:v>0.97812196392157791</c:v>
                </c:pt>
                <c:pt idx="10">
                  <c:v>0.7111335070851762</c:v>
                </c:pt>
                <c:pt idx="11">
                  <c:v>0.64883911144616646</c:v>
                </c:pt>
                <c:pt idx="12">
                  <c:v>0.93926711679762176</c:v>
                </c:pt>
                <c:pt idx="13">
                  <c:v>0.79936092799251046</c:v>
                </c:pt>
                <c:pt idx="14">
                  <c:v>0.5394511227433425</c:v>
                </c:pt>
                <c:pt idx="15">
                  <c:v>0.92668318385829462</c:v>
                </c:pt>
                <c:pt idx="16">
                  <c:v>0.74927858214127352</c:v>
                </c:pt>
                <c:pt idx="17">
                  <c:v>0.52611097089419601</c:v>
                </c:pt>
                <c:pt idx="18">
                  <c:v>0.67416511030792603</c:v>
                </c:pt>
                <c:pt idx="19">
                  <c:v>0.63326504494545621</c:v>
                </c:pt>
              </c:numCache>
            </c:numRef>
          </c:val>
          <c:smooth val="0"/>
        </c:ser>
        <c:ser>
          <c:idx val="1"/>
          <c:order val="1"/>
          <c:tx>
            <c:strRef>
              <c:f>S.parr!$AB$2</c:f>
              <c:strCache>
                <c:ptCount val="1"/>
                <c:pt idx="0">
                  <c:v>parr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S.parr!$Y$3:$Z$22</c:f>
              <c:multiLvlStrCache>
                <c:ptCount val="20"/>
                <c:lvl>
                  <c:pt idx="0">
                    <c:v>spring</c:v>
                  </c:pt>
                  <c:pt idx="1">
                    <c:v>fall</c:v>
                  </c:pt>
                  <c:pt idx="2">
                    <c:v>winter</c:v>
                  </c:pt>
                  <c:pt idx="3">
                    <c:v>spring</c:v>
                  </c:pt>
                  <c:pt idx="4">
                    <c:v>fall</c:v>
                  </c:pt>
                  <c:pt idx="5">
                    <c:v>winter</c:v>
                  </c:pt>
                  <c:pt idx="6">
                    <c:v>spring</c:v>
                  </c:pt>
                  <c:pt idx="7">
                    <c:v>fall</c:v>
                  </c:pt>
                  <c:pt idx="8">
                    <c:v>winter</c:v>
                  </c:pt>
                  <c:pt idx="9">
                    <c:v>spring</c:v>
                  </c:pt>
                  <c:pt idx="10">
                    <c:v>fall</c:v>
                  </c:pt>
                  <c:pt idx="11">
                    <c:v>winter</c:v>
                  </c:pt>
                  <c:pt idx="12">
                    <c:v>spring</c:v>
                  </c:pt>
                  <c:pt idx="13">
                    <c:v>fall</c:v>
                  </c:pt>
                  <c:pt idx="14">
                    <c:v>winter</c:v>
                  </c:pt>
                  <c:pt idx="15">
                    <c:v>spring</c:v>
                  </c:pt>
                  <c:pt idx="16">
                    <c:v>fall</c:v>
                  </c:pt>
                  <c:pt idx="17">
                    <c:v>winter</c:v>
                  </c:pt>
                  <c:pt idx="18">
                    <c:v>spring</c:v>
                  </c:pt>
                  <c:pt idx="19">
                    <c:v>fall</c:v>
                  </c:pt>
                </c:lvl>
                <c:lvl>
                  <c:pt idx="0">
                    <c:v>2007</c:v>
                  </c:pt>
                  <c:pt idx="1">
                    <c:v>2007</c:v>
                  </c:pt>
                  <c:pt idx="2">
                    <c:v>2008</c:v>
                  </c:pt>
                  <c:pt idx="3">
                    <c:v>2008</c:v>
                  </c:pt>
                  <c:pt idx="4">
                    <c:v>2008</c:v>
                  </c:pt>
                  <c:pt idx="5">
                    <c:v>2009</c:v>
                  </c:pt>
                  <c:pt idx="6">
                    <c:v>2009</c:v>
                  </c:pt>
                  <c:pt idx="7">
                    <c:v>2009</c:v>
                  </c:pt>
                  <c:pt idx="8">
                    <c:v>2010</c:v>
                  </c:pt>
                  <c:pt idx="9">
                    <c:v>2010</c:v>
                  </c:pt>
                  <c:pt idx="10">
                    <c:v>2010</c:v>
                  </c:pt>
                  <c:pt idx="11">
                    <c:v>2011</c:v>
                  </c:pt>
                  <c:pt idx="12">
                    <c:v>2011</c:v>
                  </c:pt>
                  <c:pt idx="13">
                    <c:v>2011</c:v>
                  </c:pt>
                  <c:pt idx="14">
                    <c:v>2012</c:v>
                  </c:pt>
                  <c:pt idx="15">
                    <c:v>2012</c:v>
                  </c:pt>
                  <c:pt idx="16">
                    <c:v>2012</c:v>
                  </c:pt>
                  <c:pt idx="17">
                    <c:v>2013</c:v>
                  </c:pt>
                  <c:pt idx="18">
                    <c:v>2013</c:v>
                  </c:pt>
                  <c:pt idx="19">
                    <c:v>2013</c:v>
                  </c:pt>
                </c:lvl>
              </c:multiLvlStrCache>
            </c:multiLvlStrRef>
          </c:cat>
          <c:val>
            <c:numRef>
              <c:f>S.parr!$AB$3:$AB$22</c:f>
              <c:numCache>
                <c:formatCode>0.000</c:formatCode>
                <c:ptCount val="20"/>
                <c:pt idx="0">
                  <c:v>0.98299999999999998</c:v>
                </c:pt>
                <c:pt idx="1">
                  <c:v>0.34899999999999998</c:v>
                </c:pt>
                <c:pt idx="2">
                  <c:v>0.44500000000000001</c:v>
                </c:pt>
                <c:pt idx="3">
                  <c:v>0.98299999999999998</c:v>
                </c:pt>
                <c:pt idx="4">
                  <c:v>0.73299999999999998</c:v>
                </c:pt>
                <c:pt idx="5">
                  <c:v>0.46657142857142853</c:v>
                </c:pt>
                <c:pt idx="6">
                  <c:v>0.98299999999999998</c:v>
                </c:pt>
                <c:pt idx="7">
                  <c:v>0.81699999999999995</c:v>
                </c:pt>
                <c:pt idx="8">
                  <c:v>0.626</c:v>
                </c:pt>
                <c:pt idx="9">
                  <c:v>0.98299999999999998</c:v>
                </c:pt>
                <c:pt idx="10">
                  <c:v>0.62379999999999991</c:v>
                </c:pt>
                <c:pt idx="11">
                  <c:v>0.39</c:v>
                </c:pt>
                <c:pt idx="12">
                  <c:v>0.98299999999999998</c:v>
                </c:pt>
                <c:pt idx="13">
                  <c:v>0.63100000000000001</c:v>
                </c:pt>
                <c:pt idx="14">
                  <c:v>0.432</c:v>
                </c:pt>
                <c:pt idx="15">
                  <c:v>0.98299999999999998</c:v>
                </c:pt>
                <c:pt idx="16">
                  <c:v>0.58899999999999997</c:v>
                </c:pt>
                <c:pt idx="17">
                  <c:v>0.41699999999999998</c:v>
                </c:pt>
                <c:pt idx="18">
                  <c:v>0.98299999999999998</c:v>
                </c:pt>
                <c:pt idx="19">
                  <c:v>0.62379999999999991</c:v>
                </c:pt>
              </c:numCache>
            </c:numRef>
          </c:val>
          <c:smooth val="0"/>
        </c:ser>
        <c:dLbls>
          <c:showLegendKey val="0"/>
          <c:showVal val="0"/>
          <c:showCatName val="0"/>
          <c:showSerName val="0"/>
          <c:showPercent val="0"/>
          <c:showBubbleSize val="0"/>
        </c:dLbls>
        <c:marker val="1"/>
        <c:smooth val="0"/>
        <c:axId val="452215520"/>
        <c:axId val="452215912"/>
      </c:lineChart>
      <c:catAx>
        <c:axId val="452215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215912"/>
        <c:crosses val="autoZero"/>
        <c:auto val="1"/>
        <c:lblAlgn val="ctr"/>
        <c:lblOffset val="100"/>
        <c:noMultiLvlLbl val="0"/>
      </c:catAx>
      <c:valAx>
        <c:axId val="45221591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2155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none"/>
          </c:marker>
          <c:xVal>
            <c:numRef>
              <c:f>S.AdOcn!$C$5:$C$12</c:f>
              <c:numCache>
                <c:formatCode>General</c:formatCode>
                <c:ptCount val="8"/>
                <c:pt idx="0">
                  <c:v>2004</c:v>
                </c:pt>
                <c:pt idx="1">
                  <c:v>2005</c:v>
                </c:pt>
                <c:pt idx="2">
                  <c:v>2006</c:v>
                </c:pt>
                <c:pt idx="3">
                  <c:v>2007</c:v>
                </c:pt>
                <c:pt idx="4">
                  <c:v>2008</c:v>
                </c:pt>
                <c:pt idx="5">
                  <c:v>2009</c:v>
                </c:pt>
                <c:pt idx="6">
                  <c:v>2010</c:v>
                </c:pt>
                <c:pt idx="7">
                  <c:v>2011</c:v>
                </c:pt>
              </c:numCache>
            </c:numRef>
          </c:xVal>
          <c:yVal>
            <c:numRef>
              <c:f>S.AdOcn!$E$5:$E$12</c:f>
              <c:numCache>
                <c:formatCode>0.000%</c:formatCode>
                <c:ptCount val="8"/>
                <c:pt idx="0">
                  <c:v>4.3499999999999997E-2</c:v>
                </c:pt>
                <c:pt idx="1">
                  <c:v>2.7699999999999999E-2</c:v>
                </c:pt>
                <c:pt idx="2">
                  <c:v>3.3500000000000002E-2</c:v>
                </c:pt>
                <c:pt idx="3">
                  <c:v>8.8000000000000009E-2</c:v>
                </c:pt>
                <c:pt idx="4">
                  <c:v>0.1023</c:v>
                </c:pt>
                <c:pt idx="5">
                  <c:v>7.6700000000000004E-2</c:v>
                </c:pt>
                <c:pt idx="6">
                  <c:v>6.08E-2</c:v>
                </c:pt>
                <c:pt idx="7">
                  <c:v>1.95E-2</c:v>
                </c:pt>
              </c:numCache>
            </c:numRef>
          </c:yVal>
          <c:smooth val="1"/>
        </c:ser>
        <c:dLbls>
          <c:showLegendKey val="0"/>
          <c:showVal val="0"/>
          <c:showCatName val="0"/>
          <c:showSerName val="0"/>
          <c:showPercent val="0"/>
          <c:showBubbleSize val="0"/>
        </c:dLbls>
        <c:axId val="91650152"/>
        <c:axId val="462906968"/>
      </c:scatterChart>
      <c:valAx>
        <c:axId val="91650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906968"/>
        <c:crosses val="autoZero"/>
        <c:crossBetween val="midCat"/>
      </c:valAx>
      <c:valAx>
        <c:axId val="46290696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50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Periodicity in S1</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m!$AA$82:$AA$89</c:f>
              <c:numCache>
                <c:formatCode>General</c:formatCode>
                <c:ptCount val="8"/>
                <c:pt idx="0">
                  <c:v>5.7090000000000002E-2</c:v>
                </c:pt>
                <c:pt idx="1">
                  <c:v>4.2220000000000001E-2</c:v>
                </c:pt>
                <c:pt idx="2">
                  <c:v>4.8039999999999999E-2</c:v>
                </c:pt>
                <c:pt idx="3">
                  <c:v>0.14080000000000001</c:v>
                </c:pt>
                <c:pt idx="4">
                  <c:v>0.1527</c:v>
                </c:pt>
                <c:pt idx="5">
                  <c:v>9.2030000000000001E-2</c:v>
                </c:pt>
                <c:pt idx="6">
                  <c:v>8.7029999999999996E-2</c:v>
                </c:pt>
                <c:pt idx="7">
                  <c:v>2.708E-2</c:v>
                </c:pt>
              </c:numCache>
            </c:numRef>
          </c:yVal>
          <c:smooth val="0"/>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yVal>
            <c:numRef>
              <c:f>m!$V$96:$V$103</c:f>
              <c:numCache>
                <c:formatCode>0.0%</c:formatCode>
                <c:ptCount val="8"/>
                <c:pt idx="0">
                  <c:v>4.36075E-2</c:v>
                </c:pt>
                <c:pt idx="1">
                  <c:v>4.36075E-2</c:v>
                </c:pt>
                <c:pt idx="2">
                  <c:v>8.0873749999999994E-2</c:v>
                </c:pt>
                <c:pt idx="3">
                  <c:v>0.11814000000000001</c:v>
                </c:pt>
                <c:pt idx="4">
                  <c:v>0.11814000000000001</c:v>
                </c:pt>
                <c:pt idx="5">
                  <c:v>8.0873749999999994E-2</c:v>
                </c:pt>
                <c:pt idx="6">
                  <c:v>4.36075E-2</c:v>
                </c:pt>
                <c:pt idx="7">
                  <c:v>4.36075E-2</c:v>
                </c:pt>
              </c:numCache>
            </c:numRef>
          </c:yVal>
          <c:smooth val="0"/>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yVal>
            <c:numRef>
              <c:f>m!$W$96:$W$103</c:f>
              <c:numCache>
                <c:formatCode>0.00%</c:formatCode>
                <c:ptCount val="8"/>
                <c:pt idx="0" formatCode="General">
                  <c:v>4.36075E-2</c:v>
                </c:pt>
                <c:pt idx="1">
                  <c:v>4.36075E-2</c:v>
                </c:pt>
                <c:pt idx="2" formatCode="General">
                  <c:v>4.36075E-2</c:v>
                </c:pt>
                <c:pt idx="3" formatCode="General">
                  <c:v>0.11814000000000001</c:v>
                </c:pt>
                <c:pt idx="4" formatCode="General">
                  <c:v>0.11814000000000001</c:v>
                </c:pt>
                <c:pt idx="5" formatCode="General">
                  <c:v>0.11814000000000001</c:v>
                </c:pt>
                <c:pt idx="6" formatCode="General">
                  <c:v>4.36075E-2</c:v>
                </c:pt>
                <c:pt idx="7">
                  <c:v>4.36075E-2</c:v>
                </c:pt>
              </c:numCache>
            </c:numRef>
          </c:yVal>
          <c:smooth val="0"/>
        </c:ser>
        <c:dLbls>
          <c:showLegendKey val="0"/>
          <c:showVal val="0"/>
          <c:showCatName val="0"/>
          <c:showSerName val="0"/>
          <c:showPercent val="0"/>
          <c:showBubbleSize val="0"/>
        </c:dLbls>
        <c:axId val="460785536"/>
        <c:axId val="92380168"/>
      </c:scatterChart>
      <c:valAx>
        <c:axId val="46078553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80168"/>
        <c:crosses val="autoZero"/>
        <c:crossBetween val="midCat"/>
      </c:valAx>
      <c:valAx>
        <c:axId val="92380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7855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16</xdr:col>
      <xdr:colOff>158750</xdr:colOff>
      <xdr:row>1</xdr:row>
      <xdr:rowOff>85725</xdr:rowOff>
    </xdr:from>
    <xdr:to>
      <xdr:col>23</xdr:col>
      <xdr:colOff>463550</xdr:colOff>
      <xdr:row>11</xdr:row>
      <xdr:rowOff>161925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236220</xdr:colOff>
      <xdr:row>1</xdr:row>
      <xdr:rowOff>19050</xdr:rowOff>
    </xdr:from>
    <xdr:to>
      <xdr:col>17</xdr:col>
      <xdr:colOff>22860</xdr:colOff>
      <xdr:row>15</xdr:row>
      <xdr:rowOff>125730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100853</xdr:colOff>
      <xdr:row>9</xdr:row>
      <xdr:rowOff>89648</xdr:rowOff>
    </xdr:from>
    <xdr:to>
      <xdr:col>10</xdr:col>
      <xdr:colOff>480060</xdr:colOff>
      <xdr:row>32</xdr:row>
      <xdr:rowOff>84553</xdr:rowOff>
    </xdr:to>
    <xdr:pic>
      <xdr:nvPicPr>
        <xdr:cNvPr id="4" name="Picture 3"/>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988" t="7896" r="2787" b="3514"/>
        <a:stretch/>
      </xdr:blipFill>
      <xdr:spPr bwMode="auto">
        <a:xfrm>
          <a:off x="100853" y="1887968"/>
          <a:ext cx="6909547" cy="4201145"/>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18</xdr:col>
      <xdr:colOff>66260</xdr:colOff>
      <xdr:row>78</xdr:row>
      <xdr:rowOff>36444</xdr:rowOff>
    </xdr:from>
    <xdr:to>
      <xdr:col>25</xdr:col>
      <xdr:colOff>13252</xdr:colOff>
      <xdr:row>92</xdr:row>
      <xdr:rowOff>182218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9.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7.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28.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9.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12.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1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3300"/>
  </sheetPr>
  <dimension ref="A1:CI210"/>
  <sheetViews>
    <sheetView zoomScaleNormal="100" workbookViewId="0">
      <pane ySplit="3" topLeftCell="A85" activePane="bottomLeft" state="frozen"/>
      <selection activeCell="K18" sqref="K18"/>
      <selection pane="bottomLeft" activeCell="H103" sqref="H103"/>
    </sheetView>
  </sheetViews>
  <sheetFormatPr defaultColWidth="9.109375" defaultRowHeight="14.4"/>
  <cols>
    <col min="1" max="1" width="11.44140625" style="499" customWidth="1"/>
    <col min="2" max="2" width="9.109375" style="499"/>
    <col min="3" max="3" width="11.109375" style="499" bestFit="1" customWidth="1"/>
    <col min="4" max="4" width="10.6640625" style="499" customWidth="1"/>
    <col min="5" max="6" width="9.109375" style="499"/>
    <col min="7" max="7" width="10" style="499" bestFit="1" customWidth="1"/>
    <col min="8" max="8" width="9.109375" style="499"/>
    <col min="9" max="9" width="10" style="499" bestFit="1" customWidth="1"/>
    <col min="10" max="16384" width="9.109375" style="499"/>
  </cols>
  <sheetData>
    <row r="1" spans="1:20">
      <c r="A1" s="1" t="s">
        <v>0</v>
      </c>
    </row>
    <row r="2" spans="1:20" ht="15.6">
      <c r="B2" s="499" t="s">
        <v>1</v>
      </c>
      <c r="C2" s="2" t="s">
        <v>2</v>
      </c>
      <c r="D2" s="3"/>
      <c r="E2" s="3"/>
      <c r="T2" s="499">
        <f>S2*(1-'InputFile (stoch) (noKelts)'!H101)*8</f>
        <v>0</v>
      </c>
    </row>
    <row r="3" spans="1:20">
      <c r="B3" s="416" t="s">
        <v>3</v>
      </c>
      <c r="C3" s="448" t="s">
        <v>844</v>
      </c>
      <c r="D3" s="416"/>
      <c r="E3" s="416"/>
      <c r="F3" s="416"/>
      <c r="G3" s="416"/>
      <c r="H3" s="416"/>
      <c r="I3" s="416"/>
      <c r="J3" s="416"/>
      <c r="K3" s="416"/>
      <c r="L3" s="416"/>
    </row>
    <row r="4" spans="1:20">
      <c r="B4" s="14" t="s">
        <v>4</v>
      </c>
    </row>
    <row r="7" spans="1:20">
      <c r="A7" s="1" t="s">
        <v>5</v>
      </c>
    </row>
    <row r="8" spans="1:20">
      <c r="A8" s="1" t="s">
        <v>6</v>
      </c>
    </row>
    <row r="9" spans="1:20">
      <c r="B9" s="6" t="s">
        <v>7</v>
      </c>
      <c r="C9" s="6" t="s">
        <v>8</v>
      </c>
      <c r="D9" s="6" t="s">
        <v>9</v>
      </c>
      <c r="E9" s="6" t="s">
        <v>10</v>
      </c>
      <c r="F9" s="6" t="s">
        <v>11</v>
      </c>
      <c r="G9" s="6" t="s">
        <v>12</v>
      </c>
      <c r="H9" s="6" t="s">
        <v>13</v>
      </c>
      <c r="I9" s="6" t="s">
        <v>14</v>
      </c>
    </row>
    <row r="10" spans="1:20">
      <c r="B10" s="7" t="s">
        <v>15</v>
      </c>
      <c r="C10" s="8">
        <v>1</v>
      </c>
      <c r="D10" s="7">
        <v>0</v>
      </c>
      <c r="E10" s="7">
        <v>0</v>
      </c>
      <c r="F10" s="7">
        <v>0</v>
      </c>
      <c r="G10" s="7">
        <v>0</v>
      </c>
      <c r="H10" s="7">
        <v>0</v>
      </c>
      <c r="I10" s="7">
        <v>0</v>
      </c>
      <c r="J10" s="499" t="s">
        <v>16</v>
      </c>
    </row>
    <row r="11" spans="1:20">
      <c r="A11" s="499" t="s">
        <v>17</v>
      </c>
      <c r="B11" s="7" t="s">
        <v>18</v>
      </c>
      <c r="C11" s="7">
        <v>0</v>
      </c>
      <c r="D11" s="7">
        <v>0</v>
      </c>
      <c r="E11" s="7">
        <v>0</v>
      </c>
      <c r="F11" s="7">
        <v>0</v>
      </c>
      <c r="G11" s="7">
        <v>0</v>
      </c>
      <c r="H11" s="7">
        <v>0</v>
      </c>
      <c r="I11" s="7">
        <v>0</v>
      </c>
    </row>
    <row r="12" spans="1:20">
      <c r="B12" s="7" t="s">
        <v>19</v>
      </c>
      <c r="C12" s="7">
        <v>0</v>
      </c>
      <c r="D12" s="7">
        <v>0</v>
      </c>
      <c r="E12" s="7">
        <v>0</v>
      </c>
      <c r="F12" s="7">
        <v>0</v>
      </c>
      <c r="G12" s="7">
        <v>0</v>
      </c>
      <c r="H12" s="7">
        <v>0</v>
      </c>
      <c r="I12" s="7">
        <v>0</v>
      </c>
    </row>
    <row r="13" spans="1:20">
      <c r="B13" s="7" t="s">
        <v>20</v>
      </c>
      <c r="C13" s="7">
        <v>0</v>
      </c>
      <c r="D13" s="7">
        <v>0</v>
      </c>
      <c r="E13" s="7">
        <v>0</v>
      </c>
      <c r="F13" s="7">
        <v>0</v>
      </c>
      <c r="G13" s="7">
        <v>0</v>
      </c>
      <c r="H13" s="7">
        <v>0</v>
      </c>
      <c r="I13" s="7">
        <v>0</v>
      </c>
    </row>
    <row r="14" spans="1:20">
      <c r="B14" s="7" t="s">
        <v>21</v>
      </c>
      <c r="C14" s="7">
        <v>0</v>
      </c>
      <c r="D14" s="7">
        <v>0</v>
      </c>
      <c r="E14" s="7">
        <v>0</v>
      </c>
      <c r="F14" s="7">
        <v>0</v>
      </c>
      <c r="G14" s="7">
        <v>0</v>
      </c>
      <c r="H14" s="7">
        <v>0</v>
      </c>
      <c r="I14" s="7">
        <v>0</v>
      </c>
    </row>
    <row r="15" spans="1:20">
      <c r="B15" s="7" t="s">
        <v>22</v>
      </c>
      <c r="C15" s="7">
        <v>0</v>
      </c>
      <c r="D15" s="7">
        <v>0</v>
      </c>
      <c r="E15" s="7">
        <v>0</v>
      </c>
      <c r="F15" s="7">
        <v>0</v>
      </c>
      <c r="G15" s="7">
        <v>0</v>
      </c>
      <c r="H15" s="7">
        <v>0</v>
      </c>
      <c r="I15" s="7">
        <v>0</v>
      </c>
    </row>
    <row r="16" spans="1:20">
      <c r="B16" s="7" t="s">
        <v>23</v>
      </c>
      <c r="C16" s="7">
        <v>0</v>
      </c>
      <c r="D16" s="7">
        <v>0</v>
      </c>
      <c r="E16" s="7">
        <v>0</v>
      </c>
      <c r="F16" s="7">
        <v>0</v>
      </c>
      <c r="G16" s="7">
        <v>0</v>
      </c>
      <c r="H16" s="7">
        <v>0</v>
      </c>
      <c r="I16" s="7">
        <v>0</v>
      </c>
    </row>
    <row r="17" spans="1:31">
      <c r="B17" s="7" t="s">
        <v>24</v>
      </c>
      <c r="C17" s="7">
        <v>0</v>
      </c>
      <c r="D17" s="7">
        <v>0</v>
      </c>
      <c r="E17" s="7">
        <v>0</v>
      </c>
      <c r="F17" s="7">
        <v>0</v>
      </c>
      <c r="G17" s="7">
        <v>0</v>
      </c>
      <c r="H17" s="7">
        <v>0</v>
      </c>
      <c r="I17" s="7">
        <v>0</v>
      </c>
    </row>
    <row r="18" spans="1:31">
      <c r="B18" s="7" t="s">
        <v>25</v>
      </c>
      <c r="C18" s="7">
        <v>0</v>
      </c>
      <c r="D18" s="7">
        <v>0</v>
      </c>
      <c r="E18" s="7">
        <v>0</v>
      </c>
      <c r="F18" s="7">
        <v>0</v>
      </c>
      <c r="G18" s="7">
        <v>0</v>
      </c>
      <c r="H18" s="7">
        <v>0</v>
      </c>
      <c r="I18" s="7">
        <v>0</v>
      </c>
    </row>
    <row r="19" spans="1:31">
      <c r="B19" s="7" t="s">
        <v>26</v>
      </c>
      <c r="C19" s="7">
        <v>0</v>
      </c>
      <c r="D19" s="7">
        <v>0</v>
      </c>
      <c r="E19" s="7">
        <v>0</v>
      </c>
      <c r="F19" s="7">
        <v>0</v>
      </c>
      <c r="G19" s="7">
        <v>0</v>
      </c>
      <c r="H19" s="7">
        <v>0</v>
      </c>
      <c r="I19" s="7">
        <v>0</v>
      </c>
    </row>
    <row r="20" spans="1:31">
      <c r="B20" s="7" t="s">
        <v>27</v>
      </c>
      <c r="C20" s="7">
        <v>0</v>
      </c>
      <c r="D20" s="7">
        <v>0</v>
      </c>
      <c r="E20" s="7">
        <v>0</v>
      </c>
      <c r="F20" s="7">
        <v>0</v>
      </c>
      <c r="G20" s="7">
        <v>0</v>
      </c>
      <c r="H20" s="7">
        <v>0</v>
      </c>
      <c r="I20" s="7">
        <v>0</v>
      </c>
    </row>
    <row r="21" spans="1:31">
      <c r="B21" s="7" t="s">
        <v>28</v>
      </c>
      <c r="C21" s="7">
        <v>0</v>
      </c>
      <c r="D21" s="7">
        <v>0</v>
      </c>
      <c r="E21" s="7">
        <v>0</v>
      </c>
      <c r="F21" s="7">
        <v>0</v>
      </c>
      <c r="G21" s="7">
        <v>0</v>
      </c>
      <c r="H21" s="7">
        <v>0</v>
      </c>
      <c r="I21" s="7">
        <v>0</v>
      </c>
    </row>
    <row r="25" spans="1:31">
      <c r="A25" s="1" t="s">
        <v>29</v>
      </c>
      <c r="B25" s="1"/>
    </row>
    <row r="26" spans="1:31">
      <c r="A26" s="1"/>
      <c r="B26" s="1" t="s">
        <v>30</v>
      </c>
      <c r="O26" s="499" t="s">
        <v>31</v>
      </c>
      <c r="S26" s="499" t="s">
        <v>32</v>
      </c>
      <c r="AE26" s="499" t="s">
        <v>33</v>
      </c>
    </row>
    <row r="27" spans="1:31">
      <c r="B27" s="6" t="s">
        <v>7</v>
      </c>
      <c r="C27" s="6" t="s">
        <v>34</v>
      </c>
      <c r="D27" s="6" t="s">
        <v>35</v>
      </c>
      <c r="E27" s="6" t="s">
        <v>36</v>
      </c>
      <c r="F27" s="6" t="s">
        <v>37</v>
      </c>
      <c r="G27" s="6" t="s">
        <v>38</v>
      </c>
      <c r="H27" s="6" t="s">
        <v>39</v>
      </c>
      <c r="I27" s="6" t="s">
        <v>40</v>
      </c>
      <c r="J27" s="6" t="s">
        <v>41</v>
      </c>
      <c r="K27" s="6" t="s">
        <v>42</v>
      </c>
      <c r="L27" s="6" t="s">
        <v>43</v>
      </c>
      <c r="M27" s="6" t="s">
        <v>44</v>
      </c>
      <c r="N27" s="6" t="s">
        <v>45</v>
      </c>
      <c r="O27" s="6" t="s">
        <v>46</v>
      </c>
      <c r="P27" s="6" t="s">
        <v>47</v>
      </c>
      <c r="Q27" s="6" t="s">
        <v>48</v>
      </c>
      <c r="R27" s="6" t="s">
        <v>49</v>
      </c>
      <c r="S27" s="6" t="s">
        <v>34</v>
      </c>
      <c r="T27" s="6" t="s">
        <v>35</v>
      </c>
      <c r="U27" s="6" t="s">
        <v>36</v>
      </c>
      <c r="V27" s="6" t="s">
        <v>37</v>
      </c>
      <c r="W27" s="6" t="s">
        <v>38</v>
      </c>
      <c r="X27" s="6" t="s">
        <v>39</v>
      </c>
      <c r="Y27" s="6" t="s">
        <v>40</v>
      </c>
      <c r="Z27" s="6" t="s">
        <v>41</v>
      </c>
      <c r="AA27" s="6" t="s">
        <v>42</v>
      </c>
      <c r="AB27" s="6" t="s">
        <v>43</v>
      </c>
      <c r="AC27" s="6" t="s">
        <v>44</v>
      </c>
      <c r="AD27" s="6" t="s">
        <v>45</v>
      </c>
      <c r="AE27" s="6" t="s">
        <v>50</v>
      </c>
    </row>
    <row r="28" spans="1:31">
      <c r="B28" s="7" t="s">
        <v>15</v>
      </c>
      <c r="C28" s="8">
        <v>1</v>
      </c>
      <c r="D28" s="7">
        <v>0</v>
      </c>
      <c r="E28" s="7">
        <v>0</v>
      </c>
      <c r="F28" s="7">
        <v>0</v>
      </c>
      <c r="G28" s="7">
        <v>0</v>
      </c>
      <c r="H28" s="7">
        <v>0</v>
      </c>
      <c r="I28" s="7">
        <v>0</v>
      </c>
      <c r="J28" s="7">
        <v>0</v>
      </c>
      <c r="K28" s="7">
        <v>0</v>
      </c>
      <c r="L28" s="7">
        <v>0</v>
      </c>
      <c r="M28" s="7">
        <v>0</v>
      </c>
      <c r="N28" s="7">
        <v>0</v>
      </c>
      <c r="O28" s="7">
        <v>0</v>
      </c>
      <c r="P28" s="7">
        <v>0</v>
      </c>
      <c r="Q28" s="7">
        <v>0</v>
      </c>
      <c r="R28" s="7">
        <v>0</v>
      </c>
      <c r="S28" s="7">
        <v>0</v>
      </c>
      <c r="T28" s="7">
        <v>0</v>
      </c>
      <c r="U28" s="7">
        <v>0</v>
      </c>
      <c r="V28" s="7">
        <v>0</v>
      </c>
      <c r="W28" s="7">
        <v>0</v>
      </c>
      <c r="X28" s="7">
        <v>0</v>
      </c>
      <c r="Y28" s="7">
        <v>0</v>
      </c>
      <c r="Z28" s="7">
        <v>0</v>
      </c>
      <c r="AA28" s="7">
        <v>0</v>
      </c>
      <c r="AB28" s="7">
        <v>0</v>
      </c>
      <c r="AC28" s="7">
        <v>0</v>
      </c>
      <c r="AD28" s="7">
        <v>0</v>
      </c>
      <c r="AE28" s="7">
        <v>0</v>
      </c>
    </row>
    <row r="29" spans="1:31">
      <c r="B29" s="7" t="s">
        <v>18</v>
      </c>
      <c r="C29" s="7">
        <v>0</v>
      </c>
      <c r="D29" s="7">
        <v>0</v>
      </c>
      <c r="E29" s="7">
        <v>0</v>
      </c>
      <c r="F29" s="7">
        <v>0</v>
      </c>
      <c r="G29" s="7">
        <v>0</v>
      </c>
      <c r="H29" s="7">
        <v>0</v>
      </c>
      <c r="I29" s="7">
        <v>0</v>
      </c>
      <c r="J29" s="7">
        <v>0</v>
      </c>
      <c r="K29" s="7">
        <v>0</v>
      </c>
      <c r="L29" s="7">
        <v>0</v>
      </c>
      <c r="M29" s="7">
        <v>0</v>
      </c>
      <c r="N29" s="7">
        <v>0</v>
      </c>
      <c r="O29" s="7">
        <v>0</v>
      </c>
      <c r="P29" s="7">
        <v>0</v>
      </c>
      <c r="Q29" s="7">
        <v>0</v>
      </c>
      <c r="R29" s="7">
        <v>0</v>
      </c>
      <c r="S29" s="7">
        <v>0</v>
      </c>
      <c r="T29" s="7">
        <v>0</v>
      </c>
      <c r="U29" s="7">
        <v>0</v>
      </c>
      <c r="V29" s="7">
        <v>0</v>
      </c>
      <c r="W29" s="7">
        <v>0</v>
      </c>
      <c r="X29" s="7">
        <v>0</v>
      </c>
      <c r="Y29" s="7">
        <v>0</v>
      </c>
      <c r="Z29" s="7">
        <v>0</v>
      </c>
      <c r="AA29" s="7">
        <v>0</v>
      </c>
      <c r="AB29" s="7">
        <v>0</v>
      </c>
      <c r="AC29" s="7">
        <v>0</v>
      </c>
      <c r="AD29" s="7">
        <v>0</v>
      </c>
      <c r="AE29" s="7">
        <v>0</v>
      </c>
    </row>
    <row r="30" spans="1:31">
      <c r="B30" s="7" t="s">
        <v>19</v>
      </c>
      <c r="C30" s="7">
        <v>0</v>
      </c>
      <c r="D30" s="7">
        <v>0</v>
      </c>
      <c r="E30" s="7">
        <v>0</v>
      </c>
      <c r="F30" s="7">
        <v>0</v>
      </c>
      <c r="G30" s="7">
        <v>0</v>
      </c>
      <c r="H30" s="7">
        <v>0</v>
      </c>
      <c r="I30" s="7">
        <v>0</v>
      </c>
      <c r="J30" s="7">
        <v>0</v>
      </c>
      <c r="K30" s="7">
        <v>0</v>
      </c>
      <c r="L30" s="7">
        <v>0</v>
      </c>
      <c r="M30" s="7">
        <v>0</v>
      </c>
      <c r="N30" s="7">
        <v>0</v>
      </c>
      <c r="O30" s="7">
        <v>0</v>
      </c>
      <c r="P30" s="7">
        <v>0</v>
      </c>
      <c r="Q30" s="7">
        <v>0</v>
      </c>
      <c r="R30" s="7">
        <v>0</v>
      </c>
      <c r="S30" s="7">
        <v>0</v>
      </c>
      <c r="T30" s="7">
        <v>0</v>
      </c>
      <c r="U30" s="7">
        <v>0</v>
      </c>
      <c r="V30" s="7">
        <v>0</v>
      </c>
      <c r="W30" s="7">
        <v>0</v>
      </c>
      <c r="X30" s="7">
        <v>0</v>
      </c>
      <c r="Y30" s="7">
        <v>0</v>
      </c>
      <c r="Z30" s="7">
        <v>0</v>
      </c>
      <c r="AA30" s="7">
        <v>0</v>
      </c>
      <c r="AB30" s="7">
        <v>0</v>
      </c>
      <c r="AC30" s="7">
        <v>0</v>
      </c>
      <c r="AD30" s="7">
        <v>0</v>
      </c>
      <c r="AE30" s="7">
        <v>0</v>
      </c>
    </row>
    <row r="31" spans="1:31">
      <c r="B31" s="7" t="s">
        <v>20</v>
      </c>
      <c r="C31" s="7">
        <v>0</v>
      </c>
      <c r="D31" s="7">
        <v>0</v>
      </c>
      <c r="E31" s="7">
        <v>0</v>
      </c>
      <c r="F31" s="7">
        <v>0</v>
      </c>
      <c r="G31" s="7">
        <v>0</v>
      </c>
      <c r="H31" s="7">
        <v>0</v>
      </c>
      <c r="I31" s="7">
        <v>0</v>
      </c>
      <c r="J31" s="7">
        <v>0</v>
      </c>
      <c r="K31" s="7">
        <v>0</v>
      </c>
      <c r="L31" s="7">
        <v>0</v>
      </c>
      <c r="M31" s="7">
        <v>0</v>
      </c>
      <c r="N31" s="7">
        <v>0</v>
      </c>
      <c r="O31" s="7">
        <v>0</v>
      </c>
      <c r="P31" s="7">
        <v>0</v>
      </c>
      <c r="Q31" s="7">
        <v>0</v>
      </c>
      <c r="R31" s="7">
        <v>0</v>
      </c>
      <c r="S31" s="7">
        <v>0</v>
      </c>
      <c r="T31" s="7">
        <v>0</v>
      </c>
      <c r="U31" s="7">
        <v>0</v>
      </c>
      <c r="V31" s="7">
        <v>0</v>
      </c>
      <c r="W31" s="7">
        <v>0</v>
      </c>
      <c r="X31" s="7">
        <v>0</v>
      </c>
      <c r="Y31" s="7">
        <v>0</v>
      </c>
      <c r="Z31" s="7">
        <v>0</v>
      </c>
      <c r="AA31" s="7">
        <v>0</v>
      </c>
      <c r="AB31" s="7">
        <v>0</v>
      </c>
      <c r="AC31" s="7">
        <v>0</v>
      </c>
      <c r="AD31" s="7">
        <v>0</v>
      </c>
      <c r="AE31" s="7">
        <v>0</v>
      </c>
    </row>
    <row r="32" spans="1:31">
      <c r="B32" s="7" t="s">
        <v>21</v>
      </c>
      <c r="C32" s="7">
        <v>0</v>
      </c>
      <c r="D32" s="7">
        <v>0</v>
      </c>
      <c r="E32" s="7">
        <v>0</v>
      </c>
      <c r="F32" s="7">
        <v>0</v>
      </c>
      <c r="G32" s="7">
        <v>0</v>
      </c>
      <c r="H32" s="7">
        <v>0</v>
      </c>
      <c r="I32" s="7">
        <v>0</v>
      </c>
      <c r="J32" s="7">
        <v>0</v>
      </c>
      <c r="K32" s="7">
        <v>0</v>
      </c>
      <c r="L32" s="7">
        <v>0</v>
      </c>
      <c r="M32" s="7">
        <v>0</v>
      </c>
      <c r="N32" s="7">
        <v>0</v>
      </c>
      <c r="O32" s="7">
        <v>0</v>
      </c>
      <c r="P32" s="7">
        <v>0</v>
      </c>
      <c r="Q32" s="7">
        <v>0</v>
      </c>
      <c r="R32" s="7">
        <v>0</v>
      </c>
      <c r="S32" s="7">
        <v>0</v>
      </c>
      <c r="T32" s="7">
        <v>0</v>
      </c>
      <c r="U32" s="7">
        <v>0</v>
      </c>
      <c r="V32" s="7">
        <v>0</v>
      </c>
      <c r="W32" s="7">
        <v>0</v>
      </c>
      <c r="X32" s="7">
        <v>0</v>
      </c>
      <c r="Y32" s="7">
        <v>0</v>
      </c>
      <c r="Z32" s="7">
        <v>0</v>
      </c>
      <c r="AA32" s="7">
        <v>0</v>
      </c>
      <c r="AB32" s="7">
        <v>0</v>
      </c>
      <c r="AC32" s="7">
        <v>0</v>
      </c>
      <c r="AD32" s="7">
        <v>0</v>
      </c>
      <c r="AE32" s="7">
        <v>0</v>
      </c>
    </row>
    <row r="33" spans="1:37">
      <c r="B33" s="7" t="s">
        <v>22</v>
      </c>
      <c r="C33" s="7">
        <v>0</v>
      </c>
      <c r="D33" s="7">
        <v>0</v>
      </c>
      <c r="E33" s="7">
        <v>0</v>
      </c>
      <c r="F33" s="7">
        <v>0</v>
      </c>
      <c r="G33" s="7">
        <v>0</v>
      </c>
      <c r="H33" s="7">
        <v>0</v>
      </c>
      <c r="I33" s="7">
        <v>0</v>
      </c>
      <c r="J33" s="7">
        <v>0</v>
      </c>
      <c r="K33" s="7">
        <v>0</v>
      </c>
      <c r="L33" s="7">
        <v>0</v>
      </c>
      <c r="M33" s="7">
        <v>0</v>
      </c>
      <c r="N33" s="7">
        <v>0</v>
      </c>
      <c r="O33" s="7">
        <v>0</v>
      </c>
      <c r="P33" s="7">
        <v>0</v>
      </c>
      <c r="Q33" s="7">
        <v>0</v>
      </c>
      <c r="R33" s="7">
        <v>0</v>
      </c>
      <c r="S33" s="7">
        <v>0</v>
      </c>
      <c r="T33" s="7">
        <v>0</v>
      </c>
      <c r="U33" s="7">
        <v>0</v>
      </c>
      <c r="V33" s="7">
        <v>0</v>
      </c>
      <c r="W33" s="7">
        <v>0</v>
      </c>
      <c r="X33" s="7">
        <v>0</v>
      </c>
      <c r="Y33" s="7">
        <v>0</v>
      </c>
      <c r="Z33" s="7">
        <v>0</v>
      </c>
      <c r="AA33" s="7">
        <v>0</v>
      </c>
      <c r="AB33" s="7">
        <v>0</v>
      </c>
      <c r="AC33" s="7">
        <v>0</v>
      </c>
      <c r="AD33" s="7">
        <v>0</v>
      </c>
      <c r="AE33" s="7">
        <v>0</v>
      </c>
    </row>
    <row r="34" spans="1:37">
      <c r="B34" s="7" t="s">
        <v>23</v>
      </c>
      <c r="C34" s="7">
        <v>0</v>
      </c>
      <c r="D34" s="7">
        <v>0</v>
      </c>
      <c r="E34" s="7">
        <v>0</v>
      </c>
      <c r="F34" s="7">
        <v>0</v>
      </c>
      <c r="G34" s="7">
        <v>0</v>
      </c>
      <c r="H34" s="7">
        <v>0</v>
      </c>
      <c r="I34" s="7">
        <v>0</v>
      </c>
      <c r="J34" s="7">
        <v>0</v>
      </c>
      <c r="K34" s="7">
        <v>0</v>
      </c>
      <c r="L34" s="7">
        <v>0</v>
      </c>
      <c r="M34" s="7">
        <v>0</v>
      </c>
      <c r="N34" s="7">
        <v>0</v>
      </c>
      <c r="O34" s="7">
        <v>0</v>
      </c>
      <c r="P34" s="7">
        <v>0</v>
      </c>
      <c r="Q34" s="7">
        <v>0</v>
      </c>
      <c r="R34" s="7">
        <v>0</v>
      </c>
      <c r="S34" s="7">
        <v>0</v>
      </c>
      <c r="T34" s="7">
        <v>0</v>
      </c>
      <c r="U34" s="7">
        <v>0</v>
      </c>
      <c r="V34" s="7">
        <v>0</v>
      </c>
      <c r="W34" s="7">
        <v>0</v>
      </c>
      <c r="X34" s="7">
        <v>0</v>
      </c>
      <c r="Y34" s="7">
        <v>0</v>
      </c>
      <c r="Z34" s="7">
        <v>0</v>
      </c>
      <c r="AA34" s="7">
        <v>0</v>
      </c>
      <c r="AB34" s="7">
        <v>0</v>
      </c>
      <c r="AC34" s="7">
        <v>0</v>
      </c>
      <c r="AD34" s="7">
        <v>0</v>
      </c>
      <c r="AE34" s="7">
        <v>0</v>
      </c>
    </row>
    <row r="35" spans="1:37">
      <c r="B35" s="7" t="s">
        <v>24</v>
      </c>
      <c r="C35" s="7">
        <v>0</v>
      </c>
      <c r="D35" s="7">
        <v>0</v>
      </c>
      <c r="E35" s="7">
        <v>0</v>
      </c>
      <c r="F35" s="7">
        <v>0</v>
      </c>
      <c r="G35" s="7">
        <v>0</v>
      </c>
      <c r="H35" s="7">
        <v>0</v>
      </c>
      <c r="I35" s="7">
        <v>0</v>
      </c>
      <c r="J35" s="7">
        <v>0</v>
      </c>
      <c r="K35" s="7">
        <v>0</v>
      </c>
      <c r="L35" s="7">
        <v>0</v>
      </c>
      <c r="M35" s="7">
        <v>0</v>
      </c>
      <c r="N35" s="7">
        <v>0</v>
      </c>
      <c r="O35" s="7">
        <v>0</v>
      </c>
      <c r="P35" s="7">
        <v>0</v>
      </c>
      <c r="Q35" s="7">
        <v>0</v>
      </c>
      <c r="R35" s="7">
        <v>0</v>
      </c>
      <c r="S35" s="7">
        <v>0</v>
      </c>
      <c r="T35" s="7">
        <v>0</v>
      </c>
      <c r="U35" s="7">
        <v>0</v>
      </c>
      <c r="V35" s="7">
        <v>0</v>
      </c>
      <c r="W35" s="7">
        <v>0</v>
      </c>
      <c r="X35" s="7">
        <v>0</v>
      </c>
      <c r="Y35" s="7">
        <v>0</v>
      </c>
      <c r="Z35" s="7">
        <v>0</v>
      </c>
      <c r="AA35" s="7">
        <v>0</v>
      </c>
      <c r="AB35" s="7">
        <v>0</v>
      </c>
      <c r="AC35" s="7">
        <v>0</v>
      </c>
      <c r="AD35" s="7">
        <v>0</v>
      </c>
      <c r="AE35" s="7">
        <v>0</v>
      </c>
    </row>
    <row r="36" spans="1:37">
      <c r="B36" s="7" t="s">
        <v>25</v>
      </c>
      <c r="C36" s="7">
        <v>0</v>
      </c>
      <c r="D36" s="7">
        <v>0</v>
      </c>
      <c r="E36" s="7">
        <v>0</v>
      </c>
      <c r="F36" s="7">
        <v>0</v>
      </c>
      <c r="G36" s="7">
        <v>0</v>
      </c>
      <c r="H36" s="7">
        <v>0</v>
      </c>
      <c r="I36" s="7">
        <v>0</v>
      </c>
      <c r="J36" s="7">
        <v>0</v>
      </c>
      <c r="K36" s="7">
        <v>0</v>
      </c>
      <c r="L36" s="7">
        <v>0</v>
      </c>
      <c r="M36" s="7">
        <v>0</v>
      </c>
      <c r="N36" s="7">
        <v>0</v>
      </c>
      <c r="O36" s="7">
        <v>0</v>
      </c>
      <c r="P36" s="7">
        <v>0</v>
      </c>
      <c r="Q36" s="7">
        <v>0</v>
      </c>
      <c r="R36" s="7">
        <v>0</v>
      </c>
      <c r="S36" s="7">
        <v>0</v>
      </c>
      <c r="T36" s="7">
        <v>0</v>
      </c>
      <c r="U36" s="7">
        <v>0</v>
      </c>
      <c r="V36" s="7">
        <v>0</v>
      </c>
      <c r="W36" s="7">
        <v>0</v>
      </c>
      <c r="X36" s="7">
        <v>0</v>
      </c>
      <c r="Y36" s="7">
        <v>0</v>
      </c>
      <c r="Z36" s="7">
        <v>0</v>
      </c>
      <c r="AA36" s="7">
        <v>0</v>
      </c>
      <c r="AB36" s="7">
        <v>0</v>
      </c>
      <c r="AC36" s="7">
        <v>0</v>
      </c>
      <c r="AD36" s="7">
        <v>0</v>
      </c>
      <c r="AE36" s="7">
        <v>0</v>
      </c>
    </row>
    <row r="37" spans="1:37">
      <c r="B37" s="7" t="s">
        <v>26</v>
      </c>
      <c r="C37" s="7">
        <v>0</v>
      </c>
      <c r="D37" s="7">
        <v>0</v>
      </c>
      <c r="E37" s="7">
        <v>0</v>
      </c>
      <c r="F37" s="7">
        <v>0</v>
      </c>
      <c r="G37" s="7">
        <v>0</v>
      </c>
      <c r="H37" s="7">
        <v>0</v>
      </c>
      <c r="I37" s="7">
        <v>0</v>
      </c>
      <c r="J37" s="7">
        <v>0</v>
      </c>
      <c r="K37" s="7">
        <v>0</v>
      </c>
      <c r="L37" s="7">
        <v>0</v>
      </c>
      <c r="M37" s="7">
        <v>0</v>
      </c>
      <c r="N37" s="7">
        <v>0</v>
      </c>
      <c r="O37" s="7">
        <v>0</v>
      </c>
      <c r="P37" s="7">
        <v>0</v>
      </c>
      <c r="Q37" s="7">
        <v>0</v>
      </c>
      <c r="R37" s="7">
        <v>0</v>
      </c>
      <c r="S37" s="7">
        <v>0</v>
      </c>
      <c r="T37" s="7">
        <v>0</v>
      </c>
      <c r="U37" s="7">
        <v>0</v>
      </c>
      <c r="V37" s="7">
        <v>0</v>
      </c>
      <c r="W37" s="7">
        <v>0</v>
      </c>
      <c r="X37" s="7">
        <v>0</v>
      </c>
      <c r="Y37" s="7">
        <v>0</v>
      </c>
      <c r="Z37" s="7">
        <v>0</v>
      </c>
      <c r="AA37" s="7">
        <v>0</v>
      </c>
      <c r="AB37" s="7">
        <v>0</v>
      </c>
      <c r="AC37" s="7">
        <v>0</v>
      </c>
      <c r="AD37" s="7">
        <v>0</v>
      </c>
      <c r="AE37" s="7">
        <v>0</v>
      </c>
    </row>
    <row r="38" spans="1:37">
      <c r="B38" s="7" t="s">
        <v>27</v>
      </c>
      <c r="C38" s="7">
        <v>0</v>
      </c>
      <c r="D38" s="7">
        <v>0</v>
      </c>
      <c r="E38" s="7">
        <v>0</v>
      </c>
      <c r="F38" s="7">
        <v>0</v>
      </c>
      <c r="G38" s="7">
        <v>0</v>
      </c>
      <c r="H38" s="7">
        <v>0</v>
      </c>
      <c r="I38" s="7">
        <v>0</v>
      </c>
      <c r="J38" s="7">
        <v>0</v>
      </c>
      <c r="K38" s="7">
        <v>0</v>
      </c>
      <c r="L38" s="7">
        <v>0</v>
      </c>
      <c r="M38" s="7">
        <v>0</v>
      </c>
      <c r="N38" s="7">
        <v>0</v>
      </c>
      <c r="O38" s="7">
        <v>0</v>
      </c>
      <c r="P38" s="7">
        <v>0</v>
      </c>
      <c r="Q38" s="7">
        <v>0</v>
      </c>
      <c r="R38" s="7">
        <v>0</v>
      </c>
      <c r="S38" s="7">
        <v>0</v>
      </c>
      <c r="T38" s="7">
        <v>0</v>
      </c>
      <c r="U38" s="7">
        <v>0</v>
      </c>
      <c r="V38" s="7">
        <v>0</v>
      </c>
      <c r="W38" s="7">
        <v>0</v>
      </c>
      <c r="X38" s="7">
        <v>0</v>
      </c>
      <c r="Y38" s="7">
        <v>0</v>
      </c>
      <c r="Z38" s="7">
        <v>0</v>
      </c>
      <c r="AA38" s="7">
        <v>0</v>
      </c>
      <c r="AB38" s="7">
        <v>0</v>
      </c>
      <c r="AC38" s="7">
        <v>0</v>
      </c>
      <c r="AD38" s="7">
        <v>0</v>
      </c>
      <c r="AE38" s="7">
        <v>0</v>
      </c>
    </row>
    <row r="39" spans="1:37">
      <c r="B39" s="7" t="s">
        <v>28</v>
      </c>
      <c r="C39" s="7">
        <v>0</v>
      </c>
      <c r="D39" s="7">
        <v>0</v>
      </c>
      <c r="E39" s="7">
        <v>0</v>
      </c>
      <c r="F39" s="7">
        <v>0</v>
      </c>
      <c r="G39" s="7">
        <v>0</v>
      </c>
      <c r="H39" s="7">
        <v>0</v>
      </c>
      <c r="I39" s="7">
        <v>0</v>
      </c>
      <c r="J39" s="7">
        <v>0</v>
      </c>
      <c r="K39" s="7">
        <v>0</v>
      </c>
      <c r="L39" s="7">
        <v>0</v>
      </c>
      <c r="M39" s="7">
        <v>0</v>
      </c>
      <c r="N39" s="7">
        <v>0</v>
      </c>
      <c r="O39" s="7">
        <v>0</v>
      </c>
      <c r="P39" s="7">
        <v>0</v>
      </c>
      <c r="Q39" s="7">
        <v>0</v>
      </c>
      <c r="R39" s="7">
        <v>0</v>
      </c>
      <c r="S39" s="7">
        <v>0</v>
      </c>
      <c r="T39" s="7">
        <v>0</v>
      </c>
      <c r="U39" s="7">
        <v>0</v>
      </c>
      <c r="V39" s="7">
        <v>0</v>
      </c>
      <c r="W39" s="7">
        <v>0</v>
      </c>
      <c r="X39" s="7">
        <v>0</v>
      </c>
      <c r="Y39" s="7">
        <v>0</v>
      </c>
      <c r="Z39" s="7">
        <v>0</v>
      </c>
      <c r="AA39" s="7">
        <v>0</v>
      </c>
      <c r="AB39" s="7">
        <v>0</v>
      </c>
      <c r="AC39" s="7">
        <v>0</v>
      </c>
      <c r="AD39" s="7">
        <v>0</v>
      </c>
      <c r="AE39" s="7">
        <v>0</v>
      </c>
    </row>
    <row r="41" spans="1:37">
      <c r="A41" s="1" t="s">
        <v>51</v>
      </c>
      <c r="I41" s="16"/>
      <c r="J41" s="16"/>
    </row>
    <row r="42" spans="1:37">
      <c r="C42" s="499" t="s">
        <v>52</v>
      </c>
      <c r="H42" s="499" t="s">
        <v>53</v>
      </c>
      <c r="M42" s="499" t="s">
        <v>54</v>
      </c>
      <c r="R42" s="499" t="s">
        <v>55</v>
      </c>
      <c r="W42" s="499" t="s">
        <v>56</v>
      </c>
    </row>
    <row r="43" spans="1:37">
      <c r="C43" s="499" t="s">
        <v>57</v>
      </c>
      <c r="D43" s="499" t="s">
        <v>57</v>
      </c>
      <c r="E43" s="499" t="s">
        <v>57</v>
      </c>
      <c r="F43" s="499" t="s">
        <v>57</v>
      </c>
      <c r="G43" s="499" t="s">
        <v>57</v>
      </c>
      <c r="H43" s="499" t="s">
        <v>9</v>
      </c>
      <c r="I43" s="499" t="s">
        <v>9</v>
      </c>
      <c r="J43" s="499" t="s">
        <v>9</v>
      </c>
      <c r="K43" s="499" t="s">
        <v>9</v>
      </c>
      <c r="L43" s="499" t="s">
        <v>9</v>
      </c>
      <c r="M43" s="499" t="s">
        <v>10</v>
      </c>
      <c r="N43" s="499" t="s">
        <v>10</v>
      </c>
      <c r="O43" s="499" t="s">
        <v>10</v>
      </c>
      <c r="P43" s="499" t="s">
        <v>10</v>
      </c>
      <c r="Q43" s="499" t="s">
        <v>10</v>
      </c>
      <c r="R43" s="499" t="s">
        <v>11</v>
      </c>
      <c r="S43" s="499" t="s">
        <v>11</v>
      </c>
      <c r="T43" s="499" t="s">
        <v>11</v>
      </c>
      <c r="U43" s="499" t="s">
        <v>11</v>
      </c>
      <c r="V43" s="499" t="s">
        <v>11</v>
      </c>
      <c r="W43" s="499" t="s">
        <v>58</v>
      </c>
      <c r="X43" s="499" t="s">
        <v>58</v>
      </c>
      <c r="Y43" s="499" t="s">
        <v>58</v>
      </c>
      <c r="Z43" s="499" t="s">
        <v>58</v>
      </c>
      <c r="AA43" s="499" t="s">
        <v>58</v>
      </c>
      <c r="AB43" s="499" t="s">
        <v>59</v>
      </c>
      <c r="AG43" s="499" t="s">
        <v>60</v>
      </c>
    </row>
    <row r="44" spans="1:37">
      <c r="B44" s="6" t="s">
        <v>61</v>
      </c>
      <c r="C44" s="6" t="s">
        <v>62</v>
      </c>
      <c r="D44" s="6" t="s">
        <v>63</v>
      </c>
      <c r="E44" s="6" t="s">
        <v>64</v>
      </c>
      <c r="F44" s="6" t="s">
        <v>65</v>
      </c>
      <c r="G44" s="6" t="s">
        <v>66</v>
      </c>
      <c r="H44" s="6" t="s">
        <v>67</v>
      </c>
      <c r="I44" s="6" t="s">
        <v>63</v>
      </c>
      <c r="J44" s="6" t="s">
        <v>64</v>
      </c>
      <c r="K44" s="6" t="s">
        <v>65</v>
      </c>
      <c r="L44" s="6" t="s">
        <v>66</v>
      </c>
      <c r="M44" s="6" t="s">
        <v>67</v>
      </c>
      <c r="N44" s="6" t="s">
        <v>63</v>
      </c>
      <c r="O44" s="6" t="s">
        <v>64</v>
      </c>
      <c r="P44" s="6" t="s">
        <v>65</v>
      </c>
      <c r="Q44" s="6" t="s">
        <v>66</v>
      </c>
      <c r="R44" s="6" t="s">
        <v>67</v>
      </c>
      <c r="S44" s="6" t="s">
        <v>63</v>
      </c>
      <c r="T44" s="6" t="s">
        <v>64</v>
      </c>
      <c r="U44" s="6" t="s">
        <v>65</v>
      </c>
      <c r="V44" s="6" t="s">
        <v>66</v>
      </c>
      <c r="W44" s="6" t="s">
        <v>67</v>
      </c>
      <c r="X44" s="6" t="s">
        <v>63</v>
      </c>
      <c r="Y44" s="6" t="s">
        <v>64</v>
      </c>
      <c r="Z44" s="6" t="s">
        <v>65</v>
      </c>
      <c r="AA44" s="6" t="s">
        <v>66</v>
      </c>
      <c r="AB44" s="6" t="s">
        <v>67</v>
      </c>
      <c r="AC44" s="6" t="s">
        <v>63</v>
      </c>
      <c r="AD44" s="6" t="s">
        <v>64</v>
      </c>
      <c r="AE44" s="6" t="s">
        <v>65</v>
      </c>
      <c r="AF44" s="6" t="s">
        <v>66</v>
      </c>
      <c r="AG44" s="6" t="s">
        <v>67</v>
      </c>
      <c r="AH44" s="6" t="s">
        <v>63</v>
      </c>
      <c r="AI44" s="6" t="s">
        <v>64</v>
      </c>
      <c r="AJ44" s="6" t="s">
        <v>65</v>
      </c>
      <c r="AK44" s="6" t="s">
        <v>66</v>
      </c>
    </row>
    <row r="45" spans="1:37">
      <c r="A45" s="586" t="s">
        <v>1054</v>
      </c>
      <c r="B45" s="499" t="s">
        <v>34</v>
      </c>
      <c r="C45" s="578">
        <f>Cap.egg!B20</f>
        <v>124834143</v>
      </c>
      <c r="D45" s="572">
        <v>1.0000000000000001E+50</v>
      </c>
      <c r="E45" s="579">
        <f>IF(A46=0,Cap.juv!B23*Cap.juv!B34,IF(A46=1,Cap.juv!B22*Cap.juv!B34,"XXX"))</f>
        <v>675883.27709125483</v>
      </c>
      <c r="F45" s="578">
        <f>IF(A46=0,Cap.juv!B23*Cap.juv!C34,IF(A46=1,Cap.juv!B22*Cap.juv!C34,"XXX"))</f>
        <v>492611.72290874523</v>
      </c>
      <c r="G45" s="572">
        <v>1.0000000000000001E+50</v>
      </c>
      <c r="H45" s="7">
        <v>0</v>
      </c>
      <c r="I45" s="7">
        <v>0</v>
      </c>
      <c r="J45" s="7">
        <v>0</v>
      </c>
      <c r="K45" s="7">
        <v>0</v>
      </c>
      <c r="L45" s="7">
        <v>0</v>
      </c>
      <c r="M45" s="7">
        <v>0</v>
      </c>
      <c r="N45" s="7">
        <v>0</v>
      </c>
      <c r="O45" s="7">
        <v>0</v>
      </c>
      <c r="P45" s="7">
        <v>0</v>
      </c>
      <c r="Q45" s="7">
        <v>0</v>
      </c>
      <c r="R45" s="7">
        <v>0</v>
      </c>
      <c r="S45" s="7">
        <v>0</v>
      </c>
      <c r="T45" s="7">
        <v>0</v>
      </c>
      <c r="U45" s="7">
        <v>0</v>
      </c>
      <c r="V45" s="7">
        <v>0</v>
      </c>
      <c r="W45" s="7">
        <v>0</v>
      </c>
      <c r="X45" s="7">
        <v>0</v>
      </c>
      <c r="Y45" s="7">
        <v>0</v>
      </c>
      <c r="Z45" s="7">
        <v>0</v>
      </c>
      <c r="AA45" s="7">
        <v>0</v>
      </c>
      <c r="AB45" s="7">
        <v>0</v>
      </c>
      <c r="AC45" s="7">
        <v>0</v>
      </c>
      <c r="AD45" s="7">
        <v>0</v>
      </c>
      <c r="AE45" s="7">
        <v>0</v>
      </c>
      <c r="AF45" s="7">
        <v>0</v>
      </c>
      <c r="AG45" s="7">
        <v>0</v>
      </c>
      <c r="AH45" s="7">
        <v>0</v>
      </c>
      <c r="AI45" s="7">
        <v>0</v>
      </c>
      <c r="AJ45" s="7">
        <v>0</v>
      </c>
      <c r="AK45" s="7">
        <v>0</v>
      </c>
    </row>
    <row r="46" spans="1:37">
      <c r="A46" s="587">
        <v>0</v>
      </c>
      <c r="B46" s="499" t="s">
        <v>35</v>
      </c>
      <c r="C46" s="7">
        <v>0</v>
      </c>
      <c r="D46" s="7">
        <v>0</v>
      </c>
      <c r="E46" s="7">
        <v>0</v>
      </c>
      <c r="F46" s="7">
        <v>0</v>
      </c>
      <c r="G46" s="7">
        <v>0</v>
      </c>
      <c r="H46" s="7">
        <v>0</v>
      </c>
      <c r="I46" s="7">
        <v>0</v>
      </c>
      <c r="J46" s="7">
        <v>0</v>
      </c>
      <c r="K46" s="7">
        <v>0</v>
      </c>
      <c r="L46" s="7">
        <v>0</v>
      </c>
      <c r="M46" s="7">
        <v>0</v>
      </c>
      <c r="N46" s="7">
        <v>0</v>
      </c>
      <c r="O46" s="7">
        <v>0</v>
      </c>
      <c r="P46" s="7">
        <v>0</v>
      </c>
      <c r="Q46" s="7">
        <v>0</v>
      </c>
      <c r="R46" s="7">
        <v>0</v>
      </c>
      <c r="S46" s="7">
        <v>0</v>
      </c>
      <c r="T46" s="7">
        <v>0</v>
      </c>
      <c r="U46" s="7">
        <v>0</v>
      </c>
      <c r="V46" s="7">
        <v>0</v>
      </c>
      <c r="W46" s="7">
        <v>0</v>
      </c>
      <c r="X46" s="7">
        <v>0</v>
      </c>
      <c r="Y46" s="7">
        <v>0</v>
      </c>
      <c r="Z46" s="7">
        <v>0</v>
      </c>
      <c r="AA46" s="7">
        <v>0</v>
      </c>
      <c r="AB46" s="7">
        <v>0</v>
      </c>
      <c r="AC46" s="7">
        <v>0</v>
      </c>
      <c r="AD46" s="7">
        <v>0</v>
      </c>
      <c r="AE46" s="7">
        <v>0</v>
      </c>
      <c r="AF46" s="7">
        <v>0</v>
      </c>
      <c r="AG46" s="7">
        <v>0</v>
      </c>
      <c r="AH46" s="7">
        <v>0</v>
      </c>
      <c r="AI46" s="7">
        <v>0</v>
      </c>
      <c r="AJ46" s="7">
        <v>0</v>
      </c>
      <c r="AK46" s="7">
        <v>0</v>
      </c>
    </row>
    <row r="47" spans="1:37">
      <c r="B47" s="499" t="s">
        <v>36</v>
      </c>
      <c r="C47" s="7">
        <v>0</v>
      </c>
      <c r="D47" s="7">
        <v>0</v>
      </c>
      <c r="E47" s="7">
        <v>0</v>
      </c>
      <c r="F47" s="7">
        <v>0</v>
      </c>
      <c r="G47" s="7">
        <v>0</v>
      </c>
      <c r="H47" s="7">
        <v>0</v>
      </c>
      <c r="I47" s="7">
        <v>0</v>
      </c>
      <c r="J47" s="7">
        <v>0</v>
      </c>
      <c r="K47" s="7">
        <v>0</v>
      </c>
      <c r="L47" s="7">
        <v>0</v>
      </c>
      <c r="M47" s="7">
        <v>0</v>
      </c>
      <c r="N47" s="7">
        <v>0</v>
      </c>
      <c r="O47" s="7">
        <v>0</v>
      </c>
      <c r="P47" s="7">
        <v>0</v>
      </c>
      <c r="Q47" s="7">
        <v>0</v>
      </c>
      <c r="R47" s="7">
        <v>0</v>
      </c>
      <c r="S47" s="7">
        <v>0</v>
      </c>
      <c r="T47" s="7">
        <v>0</v>
      </c>
      <c r="U47" s="7">
        <v>0</v>
      </c>
      <c r="V47" s="7">
        <v>0</v>
      </c>
      <c r="W47" s="7">
        <v>0</v>
      </c>
      <c r="X47" s="7">
        <v>0</v>
      </c>
      <c r="Y47" s="7">
        <v>0</v>
      </c>
      <c r="Z47" s="7">
        <v>0</v>
      </c>
      <c r="AA47" s="7">
        <v>0</v>
      </c>
      <c r="AB47" s="7">
        <v>0</v>
      </c>
      <c r="AC47" s="7">
        <v>0</v>
      </c>
      <c r="AD47" s="7">
        <v>0</v>
      </c>
      <c r="AE47" s="7">
        <v>0</v>
      </c>
      <c r="AF47" s="7">
        <v>0</v>
      </c>
      <c r="AG47" s="7">
        <v>0</v>
      </c>
      <c r="AH47" s="7">
        <v>0</v>
      </c>
      <c r="AI47" s="7">
        <v>0</v>
      </c>
      <c r="AJ47" s="7">
        <v>0</v>
      </c>
      <c r="AK47" s="7">
        <v>0</v>
      </c>
    </row>
    <row r="48" spans="1:37">
      <c r="B48" s="499" t="s">
        <v>37</v>
      </c>
      <c r="C48" s="7">
        <v>0</v>
      </c>
      <c r="D48" s="7">
        <v>0</v>
      </c>
      <c r="E48" s="7">
        <v>0</v>
      </c>
      <c r="F48" s="7">
        <v>0</v>
      </c>
      <c r="G48" s="7">
        <v>0</v>
      </c>
      <c r="H48" s="7">
        <v>0</v>
      </c>
      <c r="I48" s="7">
        <v>0</v>
      </c>
      <c r="J48" s="7">
        <v>0</v>
      </c>
      <c r="K48" s="7">
        <v>0</v>
      </c>
      <c r="L48" s="7">
        <v>0</v>
      </c>
      <c r="M48" s="7">
        <v>0</v>
      </c>
      <c r="N48" s="7">
        <v>0</v>
      </c>
      <c r="O48" s="7">
        <v>0</v>
      </c>
      <c r="P48" s="7">
        <v>0</v>
      </c>
      <c r="Q48" s="7">
        <v>0</v>
      </c>
      <c r="R48" s="7">
        <v>0</v>
      </c>
      <c r="S48" s="7">
        <v>0</v>
      </c>
      <c r="T48" s="7">
        <v>0</v>
      </c>
      <c r="U48" s="7">
        <v>0</v>
      </c>
      <c r="V48" s="7">
        <v>0</v>
      </c>
      <c r="W48" s="7">
        <v>0</v>
      </c>
      <c r="X48" s="7">
        <v>0</v>
      </c>
      <c r="Y48" s="7">
        <v>0</v>
      </c>
      <c r="Z48" s="7">
        <v>0</v>
      </c>
      <c r="AA48" s="7">
        <v>0</v>
      </c>
      <c r="AB48" s="7">
        <v>0</v>
      </c>
      <c r="AC48" s="7">
        <v>0</v>
      </c>
      <c r="AD48" s="7">
        <v>0</v>
      </c>
      <c r="AE48" s="7">
        <v>0</v>
      </c>
      <c r="AF48" s="7">
        <v>0</v>
      </c>
      <c r="AG48" s="7">
        <v>0</v>
      </c>
      <c r="AH48" s="7">
        <v>0</v>
      </c>
      <c r="AI48" s="7">
        <v>0</v>
      </c>
      <c r="AJ48" s="7">
        <v>0</v>
      </c>
      <c r="AK48" s="7">
        <v>0</v>
      </c>
    </row>
    <row r="49" spans="1:37">
      <c r="B49" s="499" t="s">
        <v>38</v>
      </c>
      <c r="C49" s="7">
        <v>0</v>
      </c>
      <c r="D49" s="7">
        <v>0</v>
      </c>
      <c r="E49" s="7">
        <v>0</v>
      </c>
      <c r="F49" s="7">
        <v>0</v>
      </c>
      <c r="G49" s="7">
        <v>0</v>
      </c>
      <c r="H49" s="7">
        <v>0</v>
      </c>
      <c r="I49" s="7">
        <v>0</v>
      </c>
      <c r="J49" s="7">
        <v>0</v>
      </c>
      <c r="K49" s="7">
        <v>0</v>
      </c>
      <c r="L49" s="7">
        <v>0</v>
      </c>
      <c r="M49" s="7">
        <v>0</v>
      </c>
      <c r="N49" s="7">
        <v>0</v>
      </c>
      <c r="O49" s="7">
        <v>0</v>
      </c>
      <c r="P49" s="7">
        <v>0</v>
      </c>
      <c r="Q49" s="7">
        <v>0</v>
      </c>
      <c r="R49" s="7">
        <v>0</v>
      </c>
      <c r="S49" s="7">
        <v>0</v>
      </c>
      <c r="T49" s="7">
        <v>0</v>
      </c>
      <c r="U49" s="7">
        <v>0</v>
      </c>
      <c r="V49" s="7">
        <v>0</v>
      </c>
      <c r="W49" s="7">
        <v>0</v>
      </c>
      <c r="X49" s="7">
        <v>0</v>
      </c>
      <c r="Y49" s="7">
        <v>0</v>
      </c>
      <c r="Z49" s="7">
        <v>0</v>
      </c>
      <c r="AA49" s="7">
        <v>0</v>
      </c>
      <c r="AB49" s="7">
        <v>0</v>
      </c>
      <c r="AC49" s="7">
        <v>0</v>
      </c>
      <c r="AD49" s="7">
        <v>0</v>
      </c>
      <c r="AE49" s="7">
        <v>0</v>
      </c>
      <c r="AF49" s="7">
        <v>0</v>
      </c>
      <c r="AG49" s="7">
        <v>0</v>
      </c>
      <c r="AH49" s="7">
        <v>0</v>
      </c>
      <c r="AI49" s="7">
        <v>0</v>
      </c>
      <c r="AJ49" s="7">
        <v>0</v>
      </c>
      <c r="AK49" s="7">
        <v>0</v>
      </c>
    </row>
    <row r="50" spans="1:37">
      <c r="B50" s="499" t="s">
        <v>39</v>
      </c>
      <c r="C50" s="7">
        <v>0</v>
      </c>
      <c r="D50" s="7">
        <v>0</v>
      </c>
      <c r="E50" s="7">
        <v>0</v>
      </c>
      <c r="F50" s="7">
        <v>0</v>
      </c>
      <c r="G50" s="7">
        <v>0</v>
      </c>
      <c r="H50" s="7">
        <v>0</v>
      </c>
      <c r="I50" s="7">
        <v>0</v>
      </c>
      <c r="J50" s="7">
        <v>0</v>
      </c>
      <c r="K50" s="7">
        <v>0</v>
      </c>
      <c r="L50" s="7">
        <v>0</v>
      </c>
      <c r="M50" s="7">
        <v>0</v>
      </c>
      <c r="N50" s="7">
        <v>0</v>
      </c>
      <c r="O50" s="7">
        <v>0</v>
      </c>
      <c r="P50" s="7">
        <v>0</v>
      </c>
      <c r="Q50" s="7">
        <v>0</v>
      </c>
      <c r="R50" s="7">
        <v>0</v>
      </c>
      <c r="S50" s="7">
        <v>0</v>
      </c>
      <c r="T50" s="7">
        <v>0</v>
      </c>
      <c r="U50" s="7">
        <v>0</v>
      </c>
      <c r="V50" s="7">
        <v>0</v>
      </c>
      <c r="W50" s="7">
        <v>0</v>
      </c>
      <c r="X50" s="7">
        <v>0</v>
      </c>
      <c r="Y50" s="7">
        <v>0</v>
      </c>
      <c r="Z50" s="7">
        <v>0</v>
      </c>
      <c r="AA50" s="7">
        <v>0</v>
      </c>
      <c r="AB50" s="7">
        <v>0</v>
      </c>
      <c r="AC50" s="7">
        <v>0</v>
      </c>
      <c r="AD50" s="7">
        <v>0</v>
      </c>
      <c r="AE50" s="7">
        <v>0</v>
      </c>
      <c r="AF50" s="7">
        <v>0</v>
      </c>
      <c r="AG50" s="7">
        <v>0</v>
      </c>
      <c r="AH50" s="7">
        <v>0</v>
      </c>
      <c r="AI50" s="7">
        <v>0</v>
      </c>
      <c r="AJ50" s="7">
        <v>0</v>
      </c>
      <c r="AK50" s="7">
        <v>0</v>
      </c>
    </row>
    <row r="51" spans="1:37">
      <c r="B51" s="499" t="s">
        <v>40</v>
      </c>
      <c r="C51" s="7">
        <v>0</v>
      </c>
      <c r="D51" s="7">
        <v>0</v>
      </c>
      <c r="E51" s="7">
        <v>0</v>
      </c>
      <c r="F51" s="7">
        <v>0</v>
      </c>
      <c r="G51" s="7">
        <v>0</v>
      </c>
      <c r="H51" s="7">
        <v>0</v>
      </c>
      <c r="I51" s="7">
        <v>0</v>
      </c>
      <c r="J51" s="7">
        <v>0</v>
      </c>
      <c r="K51" s="7">
        <v>0</v>
      </c>
      <c r="L51" s="7">
        <v>0</v>
      </c>
      <c r="M51" s="7">
        <v>0</v>
      </c>
      <c r="N51" s="7">
        <v>0</v>
      </c>
      <c r="O51" s="7">
        <v>0</v>
      </c>
      <c r="P51" s="7">
        <v>0</v>
      </c>
      <c r="Q51" s="7">
        <v>0</v>
      </c>
      <c r="R51" s="7">
        <v>0</v>
      </c>
      <c r="S51" s="7">
        <v>0</v>
      </c>
      <c r="T51" s="7">
        <v>0</v>
      </c>
      <c r="U51" s="7">
        <v>0</v>
      </c>
      <c r="V51" s="7">
        <v>0</v>
      </c>
      <c r="W51" s="7">
        <v>0</v>
      </c>
      <c r="X51" s="7">
        <v>0</v>
      </c>
      <c r="Y51" s="7">
        <v>0</v>
      </c>
      <c r="Z51" s="7">
        <v>0</v>
      </c>
      <c r="AA51" s="7">
        <v>0</v>
      </c>
      <c r="AB51" s="7">
        <v>0</v>
      </c>
      <c r="AC51" s="7">
        <v>0</v>
      </c>
      <c r="AD51" s="7">
        <v>0</v>
      </c>
      <c r="AE51" s="7">
        <v>0</v>
      </c>
      <c r="AF51" s="7">
        <v>0</v>
      </c>
      <c r="AG51" s="7">
        <v>0</v>
      </c>
      <c r="AH51" s="7">
        <v>0</v>
      </c>
      <c r="AI51" s="7">
        <v>0</v>
      </c>
      <c r="AJ51" s="7">
        <v>0</v>
      </c>
      <c r="AK51" s="7">
        <v>0</v>
      </c>
    </row>
    <row r="52" spans="1:37">
      <c r="B52" s="499" t="s">
        <v>41</v>
      </c>
      <c r="C52" s="7">
        <v>0</v>
      </c>
      <c r="D52" s="7">
        <v>0</v>
      </c>
      <c r="E52" s="7">
        <v>0</v>
      </c>
      <c r="F52" s="7">
        <v>0</v>
      </c>
      <c r="G52" s="7">
        <v>0</v>
      </c>
      <c r="H52" s="7">
        <v>0</v>
      </c>
      <c r="I52" s="7">
        <v>0</v>
      </c>
      <c r="J52" s="7">
        <v>0</v>
      </c>
      <c r="K52" s="7">
        <v>0</v>
      </c>
      <c r="L52" s="7">
        <v>0</v>
      </c>
      <c r="M52" s="7">
        <v>0</v>
      </c>
      <c r="N52" s="7">
        <v>0</v>
      </c>
      <c r="O52" s="7">
        <v>0</v>
      </c>
      <c r="P52" s="7">
        <v>0</v>
      </c>
      <c r="Q52" s="7">
        <v>0</v>
      </c>
      <c r="R52" s="7">
        <v>0</v>
      </c>
      <c r="S52" s="7">
        <v>0</v>
      </c>
      <c r="T52" s="7">
        <v>0</v>
      </c>
      <c r="U52" s="7">
        <v>0</v>
      </c>
      <c r="V52" s="7">
        <v>0</v>
      </c>
      <c r="W52" s="7">
        <v>0</v>
      </c>
      <c r="X52" s="7">
        <v>0</v>
      </c>
      <c r="Y52" s="7">
        <v>0</v>
      </c>
      <c r="Z52" s="7">
        <v>0</v>
      </c>
      <c r="AA52" s="7">
        <v>0</v>
      </c>
      <c r="AB52" s="7">
        <v>0</v>
      </c>
      <c r="AC52" s="7">
        <v>0</v>
      </c>
      <c r="AD52" s="7">
        <v>0</v>
      </c>
      <c r="AE52" s="7">
        <v>0</v>
      </c>
      <c r="AF52" s="7">
        <v>0</v>
      </c>
      <c r="AG52" s="7">
        <v>0</v>
      </c>
      <c r="AH52" s="7">
        <v>0</v>
      </c>
      <c r="AI52" s="7">
        <v>0</v>
      </c>
      <c r="AJ52" s="7">
        <v>0</v>
      </c>
      <c r="AK52" s="7">
        <v>0</v>
      </c>
    </row>
    <row r="53" spans="1:37">
      <c r="B53" s="499" t="s">
        <v>42</v>
      </c>
      <c r="C53" s="7">
        <v>0</v>
      </c>
      <c r="D53" s="7">
        <v>0</v>
      </c>
      <c r="E53" s="7">
        <v>0</v>
      </c>
      <c r="F53" s="7">
        <v>0</v>
      </c>
      <c r="G53" s="7">
        <v>0</v>
      </c>
      <c r="H53" s="7">
        <v>0</v>
      </c>
      <c r="I53" s="7">
        <v>0</v>
      </c>
      <c r="J53" s="7">
        <v>0</v>
      </c>
      <c r="K53" s="7">
        <v>0</v>
      </c>
      <c r="L53" s="7">
        <v>0</v>
      </c>
      <c r="M53" s="7">
        <v>0</v>
      </c>
      <c r="N53" s="7">
        <v>0</v>
      </c>
      <c r="O53" s="7">
        <v>0</v>
      </c>
      <c r="P53" s="7">
        <v>0</v>
      </c>
      <c r="Q53" s="7">
        <v>0</v>
      </c>
      <c r="R53" s="7">
        <v>0</v>
      </c>
      <c r="S53" s="7">
        <v>0</v>
      </c>
      <c r="T53" s="7">
        <v>0</v>
      </c>
      <c r="U53" s="7">
        <v>0</v>
      </c>
      <c r="V53" s="7">
        <v>0</v>
      </c>
      <c r="W53" s="7">
        <v>0</v>
      </c>
      <c r="X53" s="7">
        <v>0</v>
      </c>
      <c r="Y53" s="7">
        <v>0</v>
      </c>
      <c r="Z53" s="7">
        <v>0</v>
      </c>
      <c r="AA53" s="7">
        <v>0</v>
      </c>
      <c r="AB53" s="7">
        <v>0</v>
      </c>
      <c r="AC53" s="7">
        <v>0</v>
      </c>
      <c r="AD53" s="7">
        <v>0</v>
      </c>
      <c r="AE53" s="7">
        <v>0</v>
      </c>
      <c r="AF53" s="7">
        <v>0</v>
      </c>
      <c r="AG53" s="7">
        <v>0</v>
      </c>
      <c r="AH53" s="7">
        <v>0</v>
      </c>
      <c r="AI53" s="7">
        <v>0</v>
      </c>
      <c r="AJ53" s="7">
        <v>0</v>
      </c>
      <c r="AK53" s="7">
        <v>0</v>
      </c>
    </row>
    <row r="54" spans="1:37">
      <c r="B54" s="499" t="s">
        <v>43</v>
      </c>
      <c r="C54" s="7">
        <v>0</v>
      </c>
      <c r="D54" s="7">
        <v>0</v>
      </c>
      <c r="E54" s="7">
        <v>0</v>
      </c>
      <c r="F54" s="7">
        <v>0</v>
      </c>
      <c r="G54" s="7">
        <v>0</v>
      </c>
      <c r="H54" s="7">
        <v>0</v>
      </c>
      <c r="I54" s="7">
        <v>0</v>
      </c>
      <c r="J54" s="7">
        <v>0</v>
      </c>
      <c r="K54" s="7">
        <v>0</v>
      </c>
      <c r="L54" s="7">
        <v>0</v>
      </c>
      <c r="M54" s="7">
        <v>0</v>
      </c>
      <c r="N54" s="7">
        <v>0</v>
      </c>
      <c r="O54" s="7">
        <v>0</v>
      </c>
      <c r="P54" s="7">
        <v>0</v>
      </c>
      <c r="Q54" s="7">
        <v>0</v>
      </c>
      <c r="R54" s="7">
        <v>0</v>
      </c>
      <c r="S54" s="7">
        <v>0</v>
      </c>
      <c r="T54" s="7">
        <v>0</v>
      </c>
      <c r="U54" s="7">
        <v>0</v>
      </c>
      <c r="V54" s="7">
        <v>0</v>
      </c>
      <c r="W54" s="7">
        <v>0</v>
      </c>
      <c r="X54" s="7">
        <v>0</v>
      </c>
      <c r="Y54" s="7">
        <v>0</v>
      </c>
      <c r="Z54" s="7">
        <v>0</v>
      </c>
      <c r="AA54" s="7">
        <v>0</v>
      </c>
      <c r="AB54" s="7">
        <v>0</v>
      </c>
      <c r="AC54" s="7">
        <v>0</v>
      </c>
      <c r="AD54" s="7">
        <v>0</v>
      </c>
      <c r="AE54" s="7">
        <v>0</v>
      </c>
      <c r="AF54" s="7">
        <v>0</v>
      </c>
      <c r="AG54" s="7">
        <v>0</v>
      </c>
      <c r="AH54" s="7">
        <v>0</v>
      </c>
      <c r="AI54" s="7">
        <v>0</v>
      </c>
      <c r="AJ54" s="7">
        <v>0</v>
      </c>
      <c r="AK54" s="7">
        <v>0</v>
      </c>
    </row>
    <row r="55" spans="1:37">
      <c r="B55" s="499" t="s">
        <v>44</v>
      </c>
      <c r="C55" s="7">
        <v>0</v>
      </c>
      <c r="D55" s="7">
        <v>0</v>
      </c>
      <c r="E55" s="7">
        <v>0</v>
      </c>
      <c r="F55" s="7">
        <v>0</v>
      </c>
      <c r="G55" s="7">
        <v>0</v>
      </c>
      <c r="H55" s="7">
        <v>0</v>
      </c>
      <c r="I55" s="7">
        <v>0</v>
      </c>
      <c r="J55" s="7">
        <v>0</v>
      </c>
      <c r="K55" s="7">
        <v>0</v>
      </c>
      <c r="L55" s="7">
        <v>0</v>
      </c>
      <c r="M55" s="7">
        <v>0</v>
      </c>
      <c r="N55" s="7">
        <v>0</v>
      </c>
      <c r="O55" s="7">
        <v>0</v>
      </c>
      <c r="P55" s="7">
        <v>0</v>
      </c>
      <c r="Q55" s="7">
        <v>0</v>
      </c>
      <c r="R55" s="7">
        <v>0</v>
      </c>
      <c r="S55" s="7">
        <v>0</v>
      </c>
      <c r="T55" s="7">
        <v>0</v>
      </c>
      <c r="U55" s="7">
        <v>0</v>
      </c>
      <c r="V55" s="7">
        <v>0</v>
      </c>
      <c r="W55" s="7">
        <v>0</v>
      </c>
      <c r="X55" s="7">
        <v>0</v>
      </c>
      <c r="Y55" s="7">
        <v>0</v>
      </c>
      <c r="Z55" s="7">
        <v>0</v>
      </c>
      <c r="AA55" s="7">
        <v>0</v>
      </c>
      <c r="AB55" s="7">
        <v>0</v>
      </c>
      <c r="AC55" s="7">
        <v>0</v>
      </c>
      <c r="AD55" s="7">
        <v>0</v>
      </c>
      <c r="AE55" s="7">
        <v>0</v>
      </c>
      <c r="AF55" s="7">
        <v>0</v>
      </c>
      <c r="AG55" s="7">
        <v>0</v>
      </c>
      <c r="AH55" s="7">
        <v>0</v>
      </c>
      <c r="AI55" s="7">
        <v>0</v>
      </c>
      <c r="AJ55" s="7">
        <v>0</v>
      </c>
      <c r="AK55" s="7">
        <v>0</v>
      </c>
    </row>
    <row r="56" spans="1:37">
      <c r="B56" s="499" t="s">
        <v>45</v>
      </c>
      <c r="C56" s="7">
        <v>0</v>
      </c>
      <c r="D56" s="7">
        <v>0</v>
      </c>
      <c r="E56" s="7">
        <v>0</v>
      </c>
      <c r="F56" s="7">
        <v>0</v>
      </c>
      <c r="G56" s="7">
        <v>0</v>
      </c>
      <c r="H56" s="7">
        <v>0</v>
      </c>
      <c r="I56" s="7">
        <v>0</v>
      </c>
      <c r="J56" s="7">
        <v>0</v>
      </c>
      <c r="K56" s="7">
        <v>0</v>
      </c>
      <c r="L56" s="7">
        <v>0</v>
      </c>
      <c r="M56" s="7">
        <v>0</v>
      </c>
      <c r="N56" s="7">
        <v>0</v>
      </c>
      <c r="O56" s="7">
        <v>0</v>
      </c>
      <c r="P56" s="7">
        <v>0</v>
      </c>
      <c r="Q56" s="7">
        <v>0</v>
      </c>
      <c r="R56" s="7">
        <v>0</v>
      </c>
      <c r="S56" s="7">
        <v>0</v>
      </c>
      <c r="T56" s="7">
        <v>0</v>
      </c>
      <c r="U56" s="7">
        <v>0</v>
      </c>
      <c r="V56" s="7">
        <v>0</v>
      </c>
      <c r="W56" s="7">
        <v>0</v>
      </c>
      <c r="X56" s="7">
        <v>0</v>
      </c>
      <c r="Y56" s="7">
        <v>0</v>
      </c>
      <c r="Z56" s="7">
        <v>0</v>
      </c>
      <c r="AA56" s="7">
        <v>0</v>
      </c>
      <c r="AB56" s="7">
        <v>0</v>
      </c>
      <c r="AC56" s="7">
        <v>0</v>
      </c>
      <c r="AD56" s="7">
        <v>0</v>
      </c>
      <c r="AE56" s="7">
        <v>0</v>
      </c>
      <c r="AF56" s="7">
        <v>0</v>
      </c>
      <c r="AG56" s="7">
        <v>0</v>
      </c>
      <c r="AH56" s="7">
        <v>0</v>
      </c>
      <c r="AI56" s="7">
        <v>0</v>
      </c>
      <c r="AJ56" s="7">
        <v>0</v>
      </c>
      <c r="AK56" s="7">
        <v>0</v>
      </c>
    </row>
    <row r="59" spans="1:37">
      <c r="A59" s="1" t="s">
        <v>70</v>
      </c>
    </row>
    <row r="60" spans="1:37">
      <c r="C60" s="499" t="s">
        <v>52</v>
      </c>
      <c r="H60" s="499" t="s">
        <v>53</v>
      </c>
      <c r="M60" s="499" t="s">
        <v>54</v>
      </c>
      <c r="R60" s="499" t="s">
        <v>55</v>
      </c>
      <c r="W60" s="499" t="s">
        <v>71</v>
      </c>
    </row>
    <row r="61" spans="1:37">
      <c r="C61" s="499" t="s">
        <v>57</v>
      </c>
      <c r="D61" s="499" t="s">
        <v>57</v>
      </c>
      <c r="E61" s="499" t="s">
        <v>57</v>
      </c>
      <c r="F61" s="499" t="s">
        <v>57</v>
      </c>
      <c r="G61" s="499" t="s">
        <v>57</v>
      </c>
      <c r="H61" s="499" t="s">
        <v>9</v>
      </c>
      <c r="I61" s="499" t="s">
        <v>9</v>
      </c>
      <c r="J61" s="499" t="s">
        <v>9</v>
      </c>
      <c r="K61" s="499" t="s">
        <v>9</v>
      </c>
      <c r="L61" s="499" t="s">
        <v>9</v>
      </c>
      <c r="M61" s="499" t="s">
        <v>10</v>
      </c>
      <c r="N61" s="499" t="s">
        <v>10</v>
      </c>
      <c r="O61" s="499" t="s">
        <v>10</v>
      </c>
      <c r="P61" s="499" t="s">
        <v>10</v>
      </c>
      <c r="Q61" s="499" t="s">
        <v>10</v>
      </c>
      <c r="R61" s="499" t="s">
        <v>11</v>
      </c>
      <c r="S61" s="499" t="s">
        <v>11</v>
      </c>
      <c r="T61" s="499" t="s">
        <v>11</v>
      </c>
      <c r="U61" s="499" t="s">
        <v>11</v>
      </c>
      <c r="V61" s="499" t="s">
        <v>11</v>
      </c>
      <c r="W61" s="499" t="s">
        <v>58</v>
      </c>
      <c r="X61" s="499" t="s">
        <v>58</v>
      </c>
      <c r="Y61" s="499" t="s">
        <v>58</v>
      </c>
      <c r="Z61" s="499" t="s">
        <v>58</v>
      </c>
      <c r="AA61" s="499" t="s">
        <v>58</v>
      </c>
      <c r="AB61" s="499" t="s">
        <v>72</v>
      </c>
      <c r="AG61" s="499" t="s">
        <v>60</v>
      </c>
    </row>
    <row r="62" spans="1:37">
      <c r="B62" s="6" t="s">
        <v>7</v>
      </c>
      <c r="C62" s="6" t="s">
        <v>67</v>
      </c>
      <c r="D62" s="6" t="s">
        <v>63</v>
      </c>
      <c r="E62" s="6" t="s">
        <v>64</v>
      </c>
      <c r="F62" s="6" t="s">
        <v>65</v>
      </c>
      <c r="G62" s="6" t="s">
        <v>66</v>
      </c>
      <c r="H62" s="6" t="s">
        <v>67</v>
      </c>
      <c r="I62" s="6" t="s">
        <v>63</v>
      </c>
      <c r="J62" s="6" t="s">
        <v>64</v>
      </c>
      <c r="K62" s="6" t="s">
        <v>65</v>
      </c>
      <c r="L62" s="6" t="s">
        <v>66</v>
      </c>
      <c r="M62" s="6" t="s">
        <v>67</v>
      </c>
      <c r="N62" s="6" t="s">
        <v>63</v>
      </c>
      <c r="O62" s="6" t="s">
        <v>64</v>
      </c>
      <c r="P62" s="6" t="s">
        <v>65</v>
      </c>
      <c r="Q62" s="6" t="s">
        <v>66</v>
      </c>
      <c r="R62" s="6" t="s">
        <v>67</v>
      </c>
      <c r="S62" s="6" t="s">
        <v>63</v>
      </c>
      <c r="T62" s="6" t="s">
        <v>64</v>
      </c>
      <c r="U62" s="6" t="s">
        <v>65</v>
      </c>
      <c r="V62" s="6" t="s">
        <v>66</v>
      </c>
      <c r="W62" s="6" t="s">
        <v>67</v>
      </c>
      <c r="X62" s="6" t="s">
        <v>63</v>
      </c>
      <c r="Y62" s="6" t="s">
        <v>64</v>
      </c>
      <c r="Z62" s="6" t="s">
        <v>65</v>
      </c>
      <c r="AA62" s="6" t="s">
        <v>66</v>
      </c>
      <c r="AB62" s="6" t="s">
        <v>67</v>
      </c>
      <c r="AC62" s="6" t="s">
        <v>63</v>
      </c>
      <c r="AD62" s="6" t="s">
        <v>64</v>
      </c>
      <c r="AE62" s="6" t="s">
        <v>65</v>
      </c>
      <c r="AF62" s="6" t="s">
        <v>66</v>
      </c>
      <c r="AG62" s="6" t="s">
        <v>67</v>
      </c>
      <c r="AH62" s="6" t="s">
        <v>63</v>
      </c>
      <c r="AI62" s="6" t="s">
        <v>64</v>
      </c>
      <c r="AJ62" s="6" t="s">
        <v>65</v>
      </c>
      <c r="AK62" s="6" t="s">
        <v>66</v>
      </c>
    </row>
    <row r="63" spans="1:37">
      <c r="B63" s="499" t="s">
        <v>15</v>
      </c>
      <c r="C63" s="529">
        <v>1</v>
      </c>
      <c r="D63" s="529">
        <v>1</v>
      </c>
      <c r="E63" s="529">
        <v>1</v>
      </c>
      <c r="F63" s="529">
        <v>1</v>
      </c>
      <c r="G63" s="529">
        <v>1</v>
      </c>
      <c r="H63" s="7">
        <v>0</v>
      </c>
      <c r="I63" s="7">
        <v>0</v>
      </c>
      <c r="J63" s="7">
        <v>0</v>
      </c>
      <c r="K63" s="7">
        <v>0</v>
      </c>
      <c r="L63" s="7">
        <v>0</v>
      </c>
      <c r="M63" s="7">
        <v>0</v>
      </c>
      <c r="N63" s="7">
        <v>0</v>
      </c>
      <c r="O63" s="7">
        <v>0</v>
      </c>
      <c r="P63" s="7">
        <v>0</v>
      </c>
      <c r="Q63" s="7">
        <v>0</v>
      </c>
      <c r="R63" s="7">
        <v>0</v>
      </c>
      <c r="S63" s="7">
        <v>0</v>
      </c>
      <c r="T63" s="7">
        <v>0</v>
      </c>
      <c r="U63" s="7">
        <v>0</v>
      </c>
      <c r="V63" s="7">
        <v>0</v>
      </c>
      <c r="W63" s="7">
        <v>0</v>
      </c>
      <c r="X63" s="7">
        <v>0</v>
      </c>
      <c r="Y63" s="7">
        <v>0</v>
      </c>
      <c r="Z63" s="7">
        <v>0</v>
      </c>
      <c r="AA63" s="7">
        <v>0</v>
      </c>
      <c r="AB63" s="7">
        <v>0</v>
      </c>
      <c r="AC63" s="7">
        <v>0</v>
      </c>
      <c r="AD63" s="7">
        <v>0</v>
      </c>
      <c r="AE63" s="7">
        <v>0</v>
      </c>
      <c r="AF63" s="7">
        <v>0</v>
      </c>
      <c r="AG63" s="7">
        <v>0</v>
      </c>
      <c r="AH63" s="7">
        <v>0</v>
      </c>
      <c r="AI63" s="7">
        <v>0</v>
      </c>
      <c r="AJ63" s="7">
        <v>0</v>
      </c>
      <c r="AK63" s="7">
        <v>0</v>
      </c>
    </row>
    <row r="64" spans="1:37">
      <c r="B64" s="499" t="s">
        <v>18</v>
      </c>
      <c r="C64" s="7">
        <v>0</v>
      </c>
      <c r="D64" s="7">
        <v>0</v>
      </c>
      <c r="E64" s="7">
        <v>0</v>
      </c>
      <c r="F64" s="7">
        <v>0</v>
      </c>
      <c r="G64" s="7">
        <v>0</v>
      </c>
      <c r="H64" s="7">
        <v>0</v>
      </c>
      <c r="I64" s="7">
        <v>0</v>
      </c>
      <c r="J64" s="7">
        <v>0</v>
      </c>
      <c r="K64" s="7">
        <v>0</v>
      </c>
      <c r="L64" s="7">
        <v>0</v>
      </c>
      <c r="M64" s="7">
        <v>0</v>
      </c>
      <c r="N64" s="7">
        <v>0</v>
      </c>
      <c r="O64" s="7">
        <v>0</v>
      </c>
      <c r="P64" s="7">
        <v>0</v>
      </c>
      <c r="Q64" s="7">
        <v>0</v>
      </c>
      <c r="R64" s="7">
        <v>0</v>
      </c>
      <c r="S64" s="7">
        <v>0</v>
      </c>
      <c r="T64" s="7">
        <v>0</v>
      </c>
      <c r="U64" s="7">
        <v>0</v>
      </c>
      <c r="V64" s="7">
        <v>0</v>
      </c>
      <c r="W64" s="7">
        <v>0</v>
      </c>
      <c r="X64" s="7">
        <v>0</v>
      </c>
      <c r="Y64" s="7">
        <v>0</v>
      </c>
      <c r="Z64" s="7">
        <v>0</v>
      </c>
      <c r="AA64" s="7">
        <v>0</v>
      </c>
      <c r="AB64" s="7">
        <v>0</v>
      </c>
      <c r="AC64" s="7">
        <v>0</v>
      </c>
      <c r="AD64" s="7">
        <v>0</v>
      </c>
      <c r="AE64" s="7">
        <v>0</v>
      </c>
      <c r="AF64" s="7">
        <v>0</v>
      </c>
      <c r="AG64" s="7">
        <v>0</v>
      </c>
      <c r="AH64" s="7">
        <v>0</v>
      </c>
      <c r="AI64" s="7">
        <v>0</v>
      </c>
      <c r="AJ64" s="7">
        <v>0</v>
      </c>
      <c r="AK64" s="7">
        <v>0</v>
      </c>
    </row>
    <row r="65" spans="1:37">
      <c r="B65" s="499" t="s">
        <v>19</v>
      </c>
      <c r="C65" s="7">
        <v>0</v>
      </c>
      <c r="D65" s="7">
        <v>0</v>
      </c>
      <c r="E65" s="7">
        <v>0</v>
      </c>
      <c r="F65" s="7">
        <v>0</v>
      </c>
      <c r="G65" s="7">
        <v>0</v>
      </c>
      <c r="H65" s="7">
        <v>0</v>
      </c>
      <c r="I65" s="7">
        <v>0</v>
      </c>
      <c r="J65" s="7">
        <v>0</v>
      </c>
      <c r="K65" s="7">
        <v>0</v>
      </c>
      <c r="L65" s="7">
        <v>0</v>
      </c>
      <c r="M65" s="7">
        <v>0</v>
      </c>
      <c r="N65" s="7">
        <v>0</v>
      </c>
      <c r="O65" s="7">
        <v>0</v>
      </c>
      <c r="P65" s="7">
        <v>0</v>
      </c>
      <c r="Q65" s="7">
        <v>0</v>
      </c>
      <c r="R65" s="7">
        <v>0</v>
      </c>
      <c r="S65" s="7">
        <v>0</v>
      </c>
      <c r="T65" s="7">
        <v>0</v>
      </c>
      <c r="U65" s="7">
        <v>0</v>
      </c>
      <c r="V65" s="7">
        <v>0</v>
      </c>
      <c r="W65" s="7">
        <v>0</v>
      </c>
      <c r="X65" s="7">
        <v>0</v>
      </c>
      <c r="Y65" s="7">
        <v>0</v>
      </c>
      <c r="Z65" s="7">
        <v>0</v>
      </c>
      <c r="AA65" s="7">
        <v>0</v>
      </c>
      <c r="AB65" s="7">
        <v>0</v>
      </c>
      <c r="AC65" s="7">
        <v>0</v>
      </c>
      <c r="AD65" s="7">
        <v>0</v>
      </c>
      <c r="AE65" s="7">
        <v>0</v>
      </c>
      <c r="AF65" s="7">
        <v>0</v>
      </c>
      <c r="AG65" s="7">
        <v>0</v>
      </c>
      <c r="AH65" s="7">
        <v>0</v>
      </c>
      <c r="AI65" s="7">
        <v>0</v>
      </c>
      <c r="AJ65" s="7">
        <v>0</v>
      </c>
      <c r="AK65" s="7">
        <v>0</v>
      </c>
    </row>
    <row r="66" spans="1:37">
      <c r="B66" s="499" t="s">
        <v>20</v>
      </c>
      <c r="C66" s="7">
        <v>0</v>
      </c>
      <c r="D66" s="7">
        <v>0</v>
      </c>
      <c r="E66" s="7">
        <v>0</v>
      </c>
      <c r="F66" s="7">
        <v>0</v>
      </c>
      <c r="G66" s="7">
        <v>0</v>
      </c>
      <c r="H66" s="7">
        <v>0</v>
      </c>
      <c r="I66" s="7">
        <v>0</v>
      </c>
      <c r="J66" s="7">
        <v>0</v>
      </c>
      <c r="K66" s="7">
        <v>0</v>
      </c>
      <c r="L66" s="7">
        <v>0</v>
      </c>
      <c r="M66" s="7">
        <v>0</v>
      </c>
      <c r="N66" s="7">
        <v>0</v>
      </c>
      <c r="O66" s="7">
        <v>0</v>
      </c>
      <c r="P66" s="7">
        <v>0</v>
      </c>
      <c r="Q66" s="7">
        <v>0</v>
      </c>
      <c r="R66" s="7">
        <v>0</v>
      </c>
      <c r="S66" s="7">
        <v>0</v>
      </c>
      <c r="T66" s="7">
        <v>0</v>
      </c>
      <c r="U66" s="7">
        <v>0</v>
      </c>
      <c r="V66" s="7">
        <v>0</v>
      </c>
      <c r="W66" s="7">
        <v>0</v>
      </c>
      <c r="X66" s="7">
        <v>0</v>
      </c>
      <c r="Y66" s="7">
        <v>0</v>
      </c>
      <c r="Z66" s="7">
        <v>0</v>
      </c>
      <c r="AA66" s="7">
        <v>0</v>
      </c>
      <c r="AB66" s="7">
        <v>0</v>
      </c>
      <c r="AC66" s="7">
        <v>0</v>
      </c>
      <c r="AD66" s="7">
        <v>0</v>
      </c>
      <c r="AE66" s="7">
        <v>0</v>
      </c>
      <c r="AF66" s="7">
        <v>0</v>
      </c>
      <c r="AG66" s="7">
        <v>0</v>
      </c>
      <c r="AH66" s="7">
        <v>0</v>
      </c>
      <c r="AI66" s="7">
        <v>0</v>
      </c>
      <c r="AJ66" s="7">
        <v>0</v>
      </c>
      <c r="AK66" s="7">
        <v>0</v>
      </c>
    </row>
    <row r="67" spans="1:37">
      <c r="B67" s="499" t="s">
        <v>21</v>
      </c>
      <c r="C67" s="7">
        <v>0</v>
      </c>
      <c r="D67" s="7">
        <v>0</v>
      </c>
      <c r="E67" s="7">
        <v>0</v>
      </c>
      <c r="F67" s="7">
        <v>0</v>
      </c>
      <c r="G67" s="7">
        <v>0</v>
      </c>
      <c r="H67" s="7">
        <v>0</v>
      </c>
      <c r="I67" s="7">
        <v>0</v>
      </c>
      <c r="J67" s="7">
        <v>0</v>
      </c>
      <c r="K67" s="7">
        <v>0</v>
      </c>
      <c r="L67" s="7">
        <v>0</v>
      </c>
      <c r="M67" s="7">
        <v>0</v>
      </c>
      <c r="N67" s="7">
        <v>0</v>
      </c>
      <c r="O67" s="7">
        <v>0</v>
      </c>
      <c r="P67" s="7">
        <v>0</v>
      </c>
      <c r="Q67" s="7">
        <v>0</v>
      </c>
      <c r="R67" s="7">
        <v>0</v>
      </c>
      <c r="S67" s="7">
        <v>0</v>
      </c>
      <c r="T67" s="7">
        <v>0</v>
      </c>
      <c r="U67" s="7">
        <v>0</v>
      </c>
      <c r="V67" s="7">
        <v>0</v>
      </c>
      <c r="W67" s="7">
        <v>0</v>
      </c>
      <c r="X67" s="7">
        <v>0</v>
      </c>
      <c r="Y67" s="7">
        <v>0</v>
      </c>
      <c r="Z67" s="7">
        <v>0</v>
      </c>
      <c r="AA67" s="7">
        <v>0</v>
      </c>
      <c r="AB67" s="7">
        <v>0</v>
      </c>
      <c r="AC67" s="7">
        <v>0</v>
      </c>
      <c r="AD67" s="7">
        <v>0</v>
      </c>
      <c r="AE67" s="7">
        <v>0</v>
      </c>
      <c r="AF67" s="7">
        <v>0</v>
      </c>
      <c r="AG67" s="7">
        <v>0</v>
      </c>
      <c r="AH67" s="7">
        <v>0</v>
      </c>
      <c r="AI67" s="7">
        <v>0</v>
      </c>
      <c r="AJ67" s="7">
        <v>0</v>
      </c>
      <c r="AK67" s="7">
        <v>0</v>
      </c>
    </row>
    <row r="68" spans="1:37">
      <c r="B68" s="499" t="s">
        <v>22</v>
      </c>
      <c r="C68" s="7">
        <v>0</v>
      </c>
      <c r="D68" s="7">
        <v>0</v>
      </c>
      <c r="E68" s="7">
        <v>0</v>
      </c>
      <c r="F68" s="7">
        <v>0</v>
      </c>
      <c r="G68" s="7">
        <v>0</v>
      </c>
      <c r="H68" s="7">
        <v>0</v>
      </c>
      <c r="I68" s="7">
        <v>0</v>
      </c>
      <c r="J68" s="7">
        <v>0</v>
      </c>
      <c r="K68" s="7">
        <v>0</v>
      </c>
      <c r="L68" s="7">
        <v>0</v>
      </c>
      <c r="M68" s="7">
        <v>0</v>
      </c>
      <c r="N68" s="7">
        <v>0</v>
      </c>
      <c r="O68" s="7">
        <v>0</v>
      </c>
      <c r="P68" s="7">
        <v>0</v>
      </c>
      <c r="Q68" s="7">
        <v>0</v>
      </c>
      <c r="R68" s="7">
        <v>0</v>
      </c>
      <c r="S68" s="7">
        <v>0</v>
      </c>
      <c r="T68" s="7">
        <v>0</v>
      </c>
      <c r="U68" s="7">
        <v>0</v>
      </c>
      <c r="V68" s="7">
        <v>0</v>
      </c>
      <c r="W68" s="7">
        <v>0</v>
      </c>
      <c r="X68" s="7">
        <v>0</v>
      </c>
      <c r="Y68" s="7">
        <v>0</v>
      </c>
      <c r="Z68" s="7">
        <v>0</v>
      </c>
      <c r="AA68" s="7">
        <v>0</v>
      </c>
      <c r="AB68" s="7">
        <v>0</v>
      </c>
      <c r="AC68" s="7">
        <v>0</v>
      </c>
      <c r="AD68" s="7">
        <v>0</v>
      </c>
      <c r="AE68" s="7">
        <v>0</v>
      </c>
      <c r="AF68" s="7">
        <v>0</v>
      </c>
      <c r="AG68" s="7">
        <v>0</v>
      </c>
      <c r="AH68" s="7">
        <v>0</v>
      </c>
      <c r="AI68" s="7">
        <v>0</v>
      </c>
      <c r="AJ68" s="7">
        <v>0</v>
      </c>
      <c r="AK68" s="7">
        <v>0</v>
      </c>
    </row>
    <row r="69" spans="1:37">
      <c r="B69" s="499" t="s">
        <v>23</v>
      </c>
      <c r="C69" s="7">
        <v>0</v>
      </c>
      <c r="D69" s="7">
        <v>0</v>
      </c>
      <c r="E69" s="7">
        <v>0</v>
      </c>
      <c r="F69" s="7">
        <v>0</v>
      </c>
      <c r="G69" s="7">
        <v>0</v>
      </c>
      <c r="H69" s="7">
        <v>0</v>
      </c>
      <c r="I69" s="7">
        <v>0</v>
      </c>
      <c r="J69" s="7">
        <v>0</v>
      </c>
      <c r="K69" s="7">
        <v>0</v>
      </c>
      <c r="L69" s="7">
        <v>0</v>
      </c>
      <c r="M69" s="7">
        <v>0</v>
      </c>
      <c r="N69" s="7">
        <v>0</v>
      </c>
      <c r="O69" s="7">
        <v>0</v>
      </c>
      <c r="P69" s="7">
        <v>0</v>
      </c>
      <c r="Q69" s="7">
        <v>0</v>
      </c>
      <c r="R69" s="7">
        <v>0</v>
      </c>
      <c r="S69" s="7">
        <v>0</v>
      </c>
      <c r="T69" s="7">
        <v>0</v>
      </c>
      <c r="U69" s="7">
        <v>0</v>
      </c>
      <c r="V69" s="7">
        <v>0</v>
      </c>
      <c r="W69" s="7">
        <v>0</v>
      </c>
      <c r="X69" s="7">
        <v>0</v>
      </c>
      <c r="Y69" s="7">
        <v>0</v>
      </c>
      <c r="Z69" s="7">
        <v>0</v>
      </c>
      <c r="AA69" s="7">
        <v>0</v>
      </c>
      <c r="AB69" s="7">
        <v>0</v>
      </c>
      <c r="AC69" s="7">
        <v>0</v>
      </c>
      <c r="AD69" s="7">
        <v>0</v>
      </c>
      <c r="AE69" s="7">
        <v>0</v>
      </c>
      <c r="AF69" s="7">
        <v>0</v>
      </c>
      <c r="AG69" s="7">
        <v>0</v>
      </c>
      <c r="AH69" s="7">
        <v>0</v>
      </c>
      <c r="AI69" s="7">
        <v>0</v>
      </c>
      <c r="AJ69" s="7">
        <v>0</v>
      </c>
      <c r="AK69" s="7">
        <v>0</v>
      </c>
    </row>
    <row r="70" spans="1:37">
      <c r="B70" s="499" t="s">
        <v>24</v>
      </c>
      <c r="C70" s="7">
        <v>0</v>
      </c>
      <c r="D70" s="7">
        <v>0</v>
      </c>
      <c r="E70" s="7">
        <v>0</v>
      </c>
      <c r="F70" s="7">
        <v>0</v>
      </c>
      <c r="G70" s="7">
        <v>0</v>
      </c>
      <c r="H70" s="7">
        <v>0</v>
      </c>
      <c r="I70" s="7">
        <v>0</v>
      </c>
      <c r="J70" s="7">
        <v>0</v>
      </c>
      <c r="K70" s="7">
        <v>0</v>
      </c>
      <c r="L70" s="7">
        <v>0</v>
      </c>
      <c r="M70" s="7">
        <v>0</v>
      </c>
      <c r="N70" s="7">
        <v>0</v>
      </c>
      <c r="O70" s="7">
        <v>0</v>
      </c>
      <c r="P70" s="7">
        <v>0</v>
      </c>
      <c r="Q70" s="7">
        <v>0</v>
      </c>
      <c r="R70" s="7">
        <v>0</v>
      </c>
      <c r="S70" s="7">
        <v>0</v>
      </c>
      <c r="T70" s="7">
        <v>0</v>
      </c>
      <c r="U70" s="7">
        <v>0</v>
      </c>
      <c r="V70" s="7">
        <v>0</v>
      </c>
      <c r="W70" s="7">
        <v>0</v>
      </c>
      <c r="X70" s="7">
        <v>0</v>
      </c>
      <c r="Y70" s="7">
        <v>0</v>
      </c>
      <c r="Z70" s="7">
        <v>0</v>
      </c>
      <c r="AA70" s="7">
        <v>0</v>
      </c>
      <c r="AB70" s="7">
        <v>0</v>
      </c>
      <c r="AC70" s="7">
        <v>0</v>
      </c>
      <c r="AD70" s="7">
        <v>0</v>
      </c>
      <c r="AE70" s="7">
        <v>0</v>
      </c>
      <c r="AF70" s="7">
        <v>0</v>
      </c>
      <c r="AG70" s="7">
        <v>0</v>
      </c>
      <c r="AH70" s="7">
        <v>0</v>
      </c>
      <c r="AI70" s="7">
        <v>0</v>
      </c>
      <c r="AJ70" s="7">
        <v>0</v>
      </c>
      <c r="AK70" s="7">
        <v>0</v>
      </c>
    </row>
    <row r="71" spans="1:37">
      <c r="B71" s="499" t="s">
        <v>25</v>
      </c>
      <c r="C71" s="7">
        <v>0</v>
      </c>
      <c r="D71" s="7">
        <v>0</v>
      </c>
      <c r="E71" s="7">
        <v>0</v>
      </c>
      <c r="F71" s="7">
        <v>0</v>
      </c>
      <c r="G71" s="7">
        <v>0</v>
      </c>
      <c r="H71" s="7">
        <v>0</v>
      </c>
      <c r="I71" s="7">
        <v>0</v>
      </c>
      <c r="J71" s="7">
        <v>0</v>
      </c>
      <c r="K71" s="7">
        <v>0</v>
      </c>
      <c r="L71" s="7">
        <v>0</v>
      </c>
      <c r="M71" s="7">
        <v>0</v>
      </c>
      <c r="N71" s="7">
        <v>0</v>
      </c>
      <c r="O71" s="7">
        <v>0</v>
      </c>
      <c r="P71" s="7">
        <v>0</v>
      </c>
      <c r="Q71" s="7">
        <v>0</v>
      </c>
      <c r="R71" s="7">
        <v>0</v>
      </c>
      <c r="S71" s="7">
        <v>0</v>
      </c>
      <c r="T71" s="7">
        <v>0</v>
      </c>
      <c r="U71" s="7">
        <v>0</v>
      </c>
      <c r="V71" s="7">
        <v>0</v>
      </c>
      <c r="W71" s="7">
        <v>0</v>
      </c>
      <c r="X71" s="7">
        <v>0</v>
      </c>
      <c r="Y71" s="7">
        <v>0</v>
      </c>
      <c r="Z71" s="7">
        <v>0</v>
      </c>
      <c r="AA71" s="7">
        <v>0</v>
      </c>
      <c r="AB71" s="7">
        <v>0</v>
      </c>
      <c r="AC71" s="7">
        <v>0</v>
      </c>
      <c r="AD71" s="7">
        <v>0</v>
      </c>
      <c r="AE71" s="7">
        <v>0</v>
      </c>
      <c r="AF71" s="7">
        <v>0</v>
      </c>
      <c r="AG71" s="7">
        <v>0</v>
      </c>
      <c r="AH71" s="7">
        <v>0</v>
      </c>
      <c r="AI71" s="7">
        <v>0</v>
      </c>
      <c r="AJ71" s="7">
        <v>0</v>
      </c>
      <c r="AK71" s="7">
        <v>0</v>
      </c>
    </row>
    <row r="72" spans="1:37">
      <c r="B72" s="499" t="s">
        <v>26</v>
      </c>
      <c r="C72" s="7">
        <v>0</v>
      </c>
      <c r="D72" s="7">
        <v>0</v>
      </c>
      <c r="E72" s="7">
        <v>0</v>
      </c>
      <c r="F72" s="7">
        <v>0</v>
      </c>
      <c r="G72" s="7">
        <v>0</v>
      </c>
      <c r="H72" s="7">
        <v>0</v>
      </c>
      <c r="I72" s="7">
        <v>0</v>
      </c>
      <c r="J72" s="7">
        <v>0</v>
      </c>
      <c r="K72" s="7">
        <v>0</v>
      </c>
      <c r="L72" s="7">
        <v>0</v>
      </c>
      <c r="M72" s="7">
        <v>0</v>
      </c>
      <c r="N72" s="7">
        <v>0</v>
      </c>
      <c r="O72" s="7">
        <v>0</v>
      </c>
      <c r="P72" s="7">
        <v>0</v>
      </c>
      <c r="Q72" s="7">
        <v>0</v>
      </c>
      <c r="R72" s="7">
        <v>0</v>
      </c>
      <c r="S72" s="7">
        <v>0</v>
      </c>
      <c r="T72" s="7">
        <v>0</v>
      </c>
      <c r="U72" s="7">
        <v>0</v>
      </c>
      <c r="V72" s="7">
        <v>0</v>
      </c>
      <c r="W72" s="7">
        <v>0</v>
      </c>
      <c r="X72" s="7">
        <v>0</v>
      </c>
      <c r="Y72" s="7">
        <v>0</v>
      </c>
      <c r="Z72" s="7">
        <v>0</v>
      </c>
      <c r="AA72" s="7">
        <v>0</v>
      </c>
      <c r="AB72" s="7">
        <v>0</v>
      </c>
      <c r="AC72" s="7">
        <v>0</v>
      </c>
      <c r="AD72" s="7">
        <v>0</v>
      </c>
      <c r="AE72" s="7">
        <v>0</v>
      </c>
      <c r="AF72" s="7">
        <v>0</v>
      </c>
      <c r="AG72" s="7">
        <v>0</v>
      </c>
      <c r="AH72" s="7">
        <v>0</v>
      </c>
      <c r="AI72" s="7">
        <v>0</v>
      </c>
      <c r="AJ72" s="7">
        <v>0</v>
      </c>
      <c r="AK72" s="7">
        <v>0</v>
      </c>
    </row>
    <row r="73" spans="1:37">
      <c r="B73" s="499" t="s">
        <v>27</v>
      </c>
      <c r="C73" s="7">
        <v>0</v>
      </c>
      <c r="D73" s="7">
        <v>0</v>
      </c>
      <c r="E73" s="7">
        <v>0</v>
      </c>
      <c r="F73" s="7">
        <v>0</v>
      </c>
      <c r="G73" s="7">
        <v>0</v>
      </c>
      <c r="H73" s="7">
        <v>0</v>
      </c>
      <c r="I73" s="7">
        <v>0</v>
      </c>
      <c r="J73" s="7">
        <v>0</v>
      </c>
      <c r="K73" s="7">
        <v>0</v>
      </c>
      <c r="L73" s="7">
        <v>0</v>
      </c>
      <c r="M73" s="7">
        <v>0</v>
      </c>
      <c r="N73" s="7">
        <v>0</v>
      </c>
      <c r="O73" s="7">
        <v>0</v>
      </c>
      <c r="P73" s="7">
        <v>0</v>
      </c>
      <c r="Q73" s="7">
        <v>0</v>
      </c>
      <c r="R73" s="7">
        <v>0</v>
      </c>
      <c r="S73" s="7">
        <v>0</v>
      </c>
      <c r="T73" s="7">
        <v>0</v>
      </c>
      <c r="U73" s="7">
        <v>0</v>
      </c>
      <c r="V73" s="7">
        <v>0</v>
      </c>
      <c r="W73" s="7">
        <v>0</v>
      </c>
      <c r="X73" s="7">
        <v>0</v>
      </c>
      <c r="Y73" s="7">
        <v>0</v>
      </c>
      <c r="Z73" s="7">
        <v>0</v>
      </c>
      <c r="AA73" s="7">
        <v>0</v>
      </c>
      <c r="AB73" s="7">
        <v>0</v>
      </c>
      <c r="AC73" s="7">
        <v>0</v>
      </c>
      <c r="AD73" s="7">
        <v>0</v>
      </c>
      <c r="AE73" s="7">
        <v>0</v>
      </c>
      <c r="AF73" s="7">
        <v>0</v>
      </c>
      <c r="AG73" s="7">
        <v>0</v>
      </c>
      <c r="AH73" s="7">
        <v>0</v>
      </c>
      <c r="AI73" s="7">
        <v>0</v>
      </c>
      <c r="AJ73" s="7">
        <v>0</v>
      </c>
      <c r="AK73" s="7">
        <v>0</v>
      </c>
    </row>
    <row r="74" spans="1:37">
      <c r="B74" s="499" t="s">
        <v>28</v>
      </c>
      <c r="C74" s="7">
        <v>0</v>
      </c>
      <c r="D74" s="7">
        <v>0</v>
      </c>
      <c r="E74" s="7">
        <v>0</v>
      </c>
      <c r="F74" s="7">
        <v>0</v>
      </c>
      <c r="G74" s="7">
        <v>0</v>
      </c>
      <c r="H74" s="7">
        <v>0</v>
      </c>
      <c r="I74" s="7">
        <v>0</v>
      </c>
      <c r="J74" s="7">
        <v>0</v>
      </c>
      <c r="K74" s="7">
        <v>0</v>
      </c>
      <c r="L74" s="7">
        <v>0</v>
      </c>
      <c r="M74" s="7">
        <v>0</v>
      </c>
      <c r="N74" s="7">
        <v>0</v>
      </c>
      <c r="O74" s="7">
        <v>0</v>
      </c>
      <c r="P74" s="7">
        <v>0</v>
      </c>
      <c r="Q74" s="7">
        <v>0</v>
      </c>
      <c r="R74" s="7">
        <v>0</v>
      </c>
      <c r="S74" s="7">
        <v>0</v>
      </c>
      <c r="T74" s="7">
        <v>0</v>
      </c>
      <c r="U74" s="7">
        <v>0</v>
      </c>
      <c r="V74" s="7">
        <v>0</v>
      </c>
      <c r="W74" s="7">
        <v>0</v>
      </c>
      <c r="X74" s="7">
        <v>0</v>
      </c>
      <c r="Y74" s="7">
        <v>0</v>
      </c>
      <c r="Z74" s="7">
        <v>0</v>
      </c>
      <c r="AA74" s="7">
        <v>0</v>
      </c>
      <c r="AB74" s="7">
        <v>0</v>
      </c>
      <c r="AC74" s="7">
        <v>0</v>
      </c>
      <c r="AD74" s="7">
        <v>0</v>
      </c>
      <c r="AE74" s="7">
        <v>0</v>
      </c>
      <c r="AF74" s="7">
        <v>0</v>
      </c>
      <c r="AG74" s="7">
        <v>0</v>
      </c>
      <c r="AH74" s="7">
        <v>0</v>
      </c>
      <c r="AI74" s="7">
        <v>0</v>
      </c>
      <c r="AJ74" s="7">
        <v>0</v>
      </c>
      <c r="AK74" s="7">
        <v>0</v>
      </c>
    </row>
    <row r="78" spans="1:37">
      <c r="A78" s="1" t="s">
        <v>73</v>
      </c>
      <c r="I78" s="499" t="s">
        <v>74</v>
      </c>
    </row>
    <row r="79" spans="1:37">
      <c r="B79" s="6" t="s">
        <v>75</v>
      </c>
      <c r="C79" s="6" t="s">
        <v>75</v>
      </c>
      <c r="D79" s="6" t="s">
        <v>76</v>
      </c>
      <c r="E79" s="6" t="s">
        <v>77</v>
      </c>
      <c r="F79" s="6" t="s">
        <v>78</v>
      </c>
      <c r="G79" s="6" t="s">
        <v>79</v>
      </c>
      <c r="H79" s="6" t="s">
        <v>80</v>
      </c>
      <c r="I79" s="9" t="s">
        <v>81</v>
      </c>
      <c r="J79" s="9" t="s">
        <v>33</v>
      </c>
    </row>
    <row r="80" spans="1:37">
      <c r="B80" s="499" t="s">
        <v>82</v>
      </c>
      <c r="C80" s="499" t="s">
        <v>83</v>
      </c>
      <c r="D80" s="531">
        <v>1</v>
      </c>
      <c r="E80" s="530">
        <v>999999</v>
      </c>
      <c r="F80" s="530">
        <v>999999</v>
      </c>
      <c r="G80" s="530">
        <v>999999</v>
      </c>
      <c r="H80" s="530">
        <v>999999</v>
      </c>
      <c r="I80" s="121">
        <v>0</v>
      </c>
      <c r="J80" s="121">
        <v>0</v>
      </c>
    </row>
    <row r="81" spans="2:11">
      <c r="B81" s="499" t="s">
        <v>84</v>
      </c>
      <c r="C81" s="499" t="s">
        <v>85</v>
      </c>
      <c r="D81" s="532">
        <v>1</v>
      </c>
      <c r="E81" s="530">
        <v>999999</v>
      </c>
      <c r="F81" s="530">
        <v>999999</v>
      </c>
      <c r="G81" s="530">
        <v>999999</v>
      </c>
      <c r="H81" s="530">
        <v>999999</v>
      </c>
      <c r="I81" s="121">
        <v>0</v>
      </c>
      <c r="J81" s="121">
        <v>0</v>
      </c>
    </row>
    <row r="82" spans="2:11">
      <c r="B82" s="499" t="s">
        <v>86</v>
      </c>
      <c r="C82" s="499" t="s">
        <v>87</v>
      </c>
      <c r="D82" s="396">
        <f>'e (sf)'!C13</f>
        <v>0.13419264841314441</v>
      </c>
      <c r="E82" s="530">
        <v>999999</v>
      </c>
      <c r="F82" s="530">
        <v>35</v>
      </c>
      <c r="G82" s="530">
        <v>999999</v>
      </c>
      <c r="H82" s="530">
        <v>999999</v>
      </c>
      <c r="I82" s="121">
        <v>0</v>
      </c>
      <c r="J82" s="121">
        <v>0</v>
      </c>
    </row>
    <row r="83" spans="2:11">
      <c r="B83" s="499" t="s">
        <v>88</v>
      </c>
      <c r="C83" s="499" t="s">
        <v>89</v>
      </c>
      <c r="D83" s="533">
        <v>-99</v>
      </c>
      <c r="E83" s="530">
        <v>-99</v>
      </c>
      <c r="F83" s="530">
        <v>-99</v>
      </c>
      <c r="G83" s="530">
        <v>-99</v>
      </c>
      <c r="H83" s="530">
        <v>-99</v>
      </c>
      <c r="I83" s="530">
        <v>-99</v>
      </c>
      <c r="J83" s="530">
        <v>-99</v>
      </c>
      <c r="K83" s="499" t="s">
        <v>90</v>
      </c>
    </row>
    <row r="84" spans="2:11">
      <c r="B84" s="499" t="s">
        <v>91</v>
      </c>
      <c r="C84" s="499" t="s">
        <v>92</v>
      </c>
      <c r="D84" s="396">
        <f>S.smolt!B18</f>
        <v>0.72160909090909098</v>
      </c>
      <c r="E84" s="530">
        <v>999999</v>
      </c>
      <c r="F84" s="530">
        <v>5</v>
      </c>
      <c r="G84" s="530">
        <v>999999</v>
      </c>
      <c r="H84" s="530">
        <v>999999</v>
      </c>
      <c r="I84" s="121">
        <v>0</v>
      </c>
      <c r="J84" s="121">
        <v>0</v>
      </c>
      <c r="K84" s="499" t="s">
        <v>93</v>
      </c>
    </row>
    <row r="85" spans="2:11">
      <c r="B85" s="499" t="s">
        <v>94</v>
      </c>
      <c r="C85" s="499" t="s">
        <v>95</v>
      </c>
      <c r="D85" s="396">
        <v>1</v>
      </c>
      <c r="E85" s="530">
        <v>999999</v>
      </c>
      <c r="F85" s="530">
        <v>999999</v>
      </c>
      <c r="G85" s="530">
        <v>999999</v>
      </c>
      <c r="H85" s="530">
        <v>999999</v>
      </c>
      <c r="I85" s="121">
        <v>0</v>
      </c>
      <c r="J85" s="121">
        <v>0</v>
      </c>
    </row>
    <row r="86" spans="2:11">
      <c r="B86" s="499" t="s">
        <v>96</v>
      </c>
      <c r="C86" s="499" t="s">
        <v>97</v>
      </c>
      <c r="D86" s="396">
        <f>m!D92</f>
        <v>8.0873749999999994E-2</v>
      </c>
      <c r="E86" s="530">
        <v>999999</v>
      </c>
      <c r="F86" s="530">
        <v>80</v>
      </c>
      <c r="G86" s="530">
        <v>999999</v>
      </c>
      <c r="H86" s="530">
        <v>999999</v>
      </c>
      <c r="I86" s="121">
        <v>0</v>
      </c>
      <c r="J86" s="121">
        <v>0</v>
      </c>
    </row>
    <row r="87" spans="2:11">
      <c r="B87" s="499" t="s">
        <v>98</v>
      </c>
      <c r="C87" s="499" t="s">
        <v>99</v>
      </c>
      <c r="D87" s="396">
        <f>m!D104</f>
        <v>0.47448750000000001</v>
      </c>
      <c r="E87" s="530">
        <v>999999</v>
      </c>
      <c r="F87" s="530">
        <v>80</v>
      </c>
      <c r="G87" s="530">
        <v>999999</v>
      </c>
      <c r="H87" s="530">
        <v>999999</v>
      </c>
      <c r="I87" s="121">
        <v>0</v>
      </c>
      <c r="J87" s="121">
        <v>0</v>
      </c>
    </row>
    <row r="88" spans="2:11">
      <c r="B88" s="499" t="s">
        <v>100</v>
      </c>
      <c r="C88" s="499" t="s">
        <v>101</v>
      </c>
      <c r="D88" s="396">
        <f>m!D107</f>
        <v>0.65820000000000001</v>
      </c>
      <c r="E88" s="530">
        <v>999999</v>
      </c>
      <c r="F88" s="530">
        <v>80</v>
      </c>
      <c r="G88" s="530">
        <v>999999</v>
      </c>
      <c r="H88" s="530">
        <v>999999</v>
      </c>
      <c r="I88" s="121">
        <v>0</v>
      </c>
      <c r="J88" s="121">
        <v>0</v>
      </c>
    </row>
    <row r="89" spans="2:11">
      <c r="B89" s="499" t="s">
        <v>102</v>
      </c>
      <c r="C89" s="499" t="s">
        <v>103</v>
      </c>
      <c r="D89" s="534">
        <f>m!D107</f>
        <v>0.65820000000000001</v>
      </c>
      <c r="E89" s="530">
        <v>999999</v>
      </c>
      <c r="F89" s="530">
        <v>80</v>
      </c>
      <c r="G89" s="530">
        <v>999999</v>
      </c>
      <c r="H89" s="530">
        <v>999999</v>
      </c>
      <c r="I89" s="121">
        <v>0</v>
      </c>
      <c r="J89" s="121">
        <v>0</v>
      </c>
    </row>
    <row r="90" spans="2:11">
      <c r="B90" s="499" t="s">
        <v>104</v>
      </c>
      <c r="C90" s="499" t="s">
        <v>105</v>
      </c>
      <c r="D90" s="534">
        <f>m!D107</f>
        <v>0.65820000000000001</v>
      </c>
      <c r="E90" s="530">
        <v>999999</v>
      </c>
      <c r="F90" s="530">
        <v>80</v>
      </c>
      <c r="G90" s="530">
        <v>999999</v>
      </c>
      <c r="H90" s="530">
        <v>999999</v>
      </c>
      <c r="I90" s="121">
        <v>0</v>
      </c>
      <c r="J90" s="121">
        <v>0</v>
      </c>
    </row>
    <row r="91" spans="2:11">
      <c r="B91" s="499" t="s">
        <v>106</v>
      </c>
      <c r="C91" s="499" t="s">
        <v>107</v>
      </c>
      <c r="D91" s="534">
        <f>m!D107</f>
        <v>0.65820000000000001</v>
      </c>
      <c r="E91" s="530">
        <v>999999</v>
      </c>
      <c r="F91" s="530">
        <v>80</v>
      </c>
      <c r="G91" s="530">
        <v>999999</v>
      </c>
      <c r="H91" s="530">
        <v>999999</v>
      </c>
      <c r="I91" s="121">
        <v>0</v>
      </c>
      <c r="J91" s="121">
        <v>0</v>
      </c>
    </row>
    <row r="92" spans="2:11">
      <c r="B92" s="499" t="s">
        <v>108</v>
      </c>
      <c r="C92" s="499" t="s">
        <v>109</v>
      </c>
      <c r="D92" s="534">
        <f>m!D107</f>
        <v>0.65820000000000001</v>
      </c>
      <c r="E92" s="530">
        <v>999999</v>
      </c>
      <c r="F92" s="530">
        <v>80</v>
      </c>
      <c r="G92" s="530">
        <v>999999</v>
      </c>
      <c r="H92" s="530">
        <v>999999</v>
      </c>
      <c r="I92" s="121">
        <v>0</v>
      </c>
      <c r="J92" s="121">
        <v>0</v>
      </c>
    </row>
    <row r="93" spans="2:11">
      <c r="B93" s="499" t="s">
        <v>110</v>
      </c>
      <c r="C93" s="499" t="s">
        <v>111</v>
      </c>
      <c r="D93" s="535">
        <v>0</v>
      </c>
      <c r="E93" s="121">
        <v>999999</v>
      </c>
      <c r="F93" s="121">
        <v>999999</v>
      </c>
      <c r="G93" s="121">
        <v>999999</v>
      </c>
      <c r="H93" s="121">
        <v>999999</v>
      </c>
      <c r="I93" s="121">
        <v>0</v>
      </c>
      <c r="J93" s="121">
        <v>0</v>
      </c>
    </row>
    <row r="94" spans="2:11">
      <c r="B94" s="499" t="s">
        <v>112</v>
      </c>
      <c r="C94" s="499" t="s">
        <v>113</v>
      </c>
      <c r="D94" s="535">
        <v>0</v>
      </c>
      <c r="E94" s="121">
        <v>999999</v>
      </c>
      <c r="F94" s="121">
        <v>999999</v>
      </c>
      <c r="G94" s="121">
        <v>999999</v>
      </c>
      <c r="H94" s="121">
        <v>999999</v>
      </c>
      <c r="I94" s="121">
        <v>0</v>
      </c>
      <c r="J94" s="121">
        <v>0</v>
      </c>
    </row>
    <row r="95" spans="2:11">
      <c r="B95" s="499" t="s">
        <v>114</v>
      </c>
      <c r="C95" s="499" t="s">
        <v>115</v>
      </c>
      <c r="D95" s="535">
        <v>0</v>
      </c>
      <c r="E95" s="121">
        <v>999999</v>
      </c>
      <c r="F95" s="121">
        <v>999999</v>
      </c>
      <c r="G95" s="121">
        <v>999999</v>
      </c>
      <c r="H95" s="121">
        <v>999999</v>
      </c>
      <c r="I95" s="121">
        <v>0</v>
      </c>
      <c r="J95" s="121">
        <v>0</v>
      </c>
    </row>
    <row r="98" spans="1:56">
      <c r="A98" s="1" t="s">
        <v>116</v>
      </c>
      <c r="H98" s="45"/>
      <c r="AA98" s="499" t="s">
        <v>117</v>
      </c>
    </row>
    <row r="99" spans="1:56">
      <c r="C99" s="499" t="s">
        <v>118</v>
      </c>
      <c r="H99" s="499" t="s">
        <v>119</v>
      </c>
      <c r="V99" s="499" t="s">
        <v>120</v>
      </c>
      <c r="AA99" s="4" t="s">
        <v>121</v>
      </c>
      <c r="AB99" s="4"/>
      <c r="AC99" s="4" t="s">
        <v>122</v>
      </c>
      <c r="AD99" s="4"/>
      <c r="AE99" s="4"/>
      <c r="AF99" s="4"/>
      <c r="AG99" s="4"/>
      <c r="AH99" s="4"/>
      <c r="AI99" s="4"/>
      <c r="AJ99" s="4"/>
      <c r="AK99" s="4" t="s">
        <v>123</v>
      </c>
      <c r="AL99" s="4"/>
    </row>
    <row r="100" spans="1:56">
      <c r="B100" s="6" t="s">
        <v>124</v>
      </c>
      <c r="C100" s="6" t="s">
        <v>125</v>
      </c>
      <c r="D100" s="6" t="s">
        <v>126</v>
      </c>
      <c r="E100" s="6" t="s">
        <v>127</v>
      </c>
      <c r="F100" s="6" t="s">
        <v>128</v>
      </c>
      <c r="G100" s="6" t="s">
        <v>49</v>
      </c>
      <c r="H100" s="6" t="s">
        <v>129</v>
      </c>
      <c r="I100" s="6" t="s">
        <v>130</v>
      </c>
      <c r="J100" s="6" t="s">
        <v>131</v>
      </c>
      <c r="K100" s="6" t="s">
        <v>132</v>
      </c>
      <c r="L100" s="6" t="s">
        <v>133</v>
      </c>
      <c r="M100" s="6" t="s">
        <v>134</v>
      </c>
      <c r="N100" s="6" t="s">
        <v>135</v>
      </c>
      <c r="O100" s="6" t="s">
        <v>136</v>
      </c>
      <c r="P100" s="6" t="s">
        <v>137</v>
      </c>
      <c r="Q100" s="6" t="s">
        <v>138</v>
      </c>
      <c r="R100" s="6" t="s">
        <v>139</v>
      </c>
      <c r="S100" s="6" t="s">
        <v>140</v>
      </c>
      <c r="T100" s="6" t="s">
        <v>141</v>
      </c>
      <c r="U100" s="6" t="s">
        <v>142</v>
      </c>
      <c r="V100" s="6" t="s">
        <v>143</v>
      </c>
      <c r="W100" s="6" t="s">
        <v>144</v>
      </c>
      <c r="X100" s="6" t="s">
        <v>145</v>
      </c>
      <c r="Y100" s="6" t="s">
        <v>146</v>
      </c>
      <c r="Z100" s="6" t="s">
        <v>147</v>
      </c>
      <c r="AA100" s="9" t="s">
        <v>148</v>
      </c>
      <c r="AB100" s="9" t="s">
        <v>149</v>
      </c>
      <c r="AC100" s="9" t="s">
        <v>150</v>
      </c>
      <c r="AD100" s="9" t="s">
        <v>130</v>
      </c>
      <c r="AE100" s="9" t="s">
        <v>131</v>
      </c>
      <c r="AF100" s="9" t="s">
        <v>136</v>
      </c>
      <c r="AG100" s="9" t="s">
        <v>137</v>
      </c>
      <c r="AH100" s="9" t="s">
        <v>138</v>
      </c>
      <c r="AI100" s="9" t="s">
        <v>151</v>
      </c>
      <c r="AJ100" s="9" t="s">
        <v>152</v>
      </c>
      <c r="AK100" s="9" t="s">
        <v>153</v>
      </c>
      <c r="AL100" s="9" t="s">
        <v>154</v>
      </c>
      <c r="AM100" s="6" t="s">
        <v>155</v>
      </c>
      <c r="AP100" s="6" t="s">
        <v>49</v>
      </c>
    </row>
    <row r="101" spans="1:56">
      <c r="B101" s="499">
        <v>0</v>
      </c>
      <c r="C101" s="396">
        <f>'e (sf)'!U11</f>
        <v>0.48784836172599255</v>
      </c>
      <c r="D101" s="530">
        <v>999999</v>
      </c>
      <c r="E101" s="530">
        <v>25</v>
      </c>
      <c r="F101" s="530">
        <v>999999</v>
      </c>
      <c r="G101" s="530">
        <v>999999</v>
      </c>
      <c r="H101" s="536">
        <f>'e (sf)'!D22*'e (sf)'!$E$22*2</f>
        <v>2.7716855522955292E-2</v>
      </c>
      <c r="I101" s="536">
        <f>(1-H101)*f!C27</f>
        <v>0</v>
      </c>
      <c r="J101" s="536">
        <f>1-I101-H101</f>
        <v>0.97228314447704467</v>
      </c>
      <c r="K101" s="530">
        <v>999999</v>
      </c>
      <c r="L101" s="530">
        <v>40</v>
      </c>
      <c r="M101" s="530">
        <v>999999</v>
      </c>
      <c r="N101" s="530">
        <v>999999</v>
      </c>
      <c r="O101" s="536">
        <f>'e (sf)'!D22*2*(1-'e (sf)'!$E$22)</f>
        <v>1.9197253351376616E-2</v>
      </c>
      <c r="P101" s="536">
        <f>(1-O101)*f!B27</f>
        <v>0</v>
      </c>
      <c r="Q101" s="536">
        <f>1-P101-O101</f>
        <v>0.98080274664862344</v>
      </c>
      <c r="R101" s="530">
        <v>999999</v>
      </c>
      <c r="S101" s="530">
        <v>40</v>
      </c>
      <c r="T101" s="530">
        <v>999999</v>
      </c>
      <c r="U101" s="530">
        <v>999999</v>
      </c>
      <c r="V101" s="121">
        <v>1</v>
      </c>
      <c r="W101" s="121">
        <v>0</v>
      </c>
      <c r="X101" s="121">
        <v>0</v>
      </c>
      <c r="Y101" s="121">
        <v>0</v>
      </c>
      <c r="Z101" s="121">
        <v>0</v>
      </c>
      <c r="AA101" s="121">
        <v>0</v>
      </c>
      <c r="AB101" s="121">
        <v>0</v>
      </c>
      <c r="AC101" s="121">
        <v>0</v>
      </c>
      <c r="AD101" s="121">
        <v>0</v>
      </c>
      <c r="AE101" s="121">
        <v>0</v>
      </c>
      <c r="AF101" s="121">
        <v>0</v>
      </c>
      <c r="AG101" s="121">
        <v>0</v>
      </c>
      <c r="AH101" s="121">
        <v>0</v>
      </c>
      <c r="AI101" s="121">
        <v>0</v>
      </c>
      <c r="AJ101" s="121">
        <v>0</v>
      </c>
      <c r="AK101" s="121">
        <v>0</v>
      </c>
      <c r="AL101" s="121">
        <v>0</v>
      </c>
      <c r="AM101" s="491">
        <f>f!D17</f>
        <v>11.096877459504327</v>
      </c>
      <c r="AP101" s="435">
        <v>2</v>
      </c>
    </row>
    <row r="102" spans="1:56">
      <c r="B102" s="499">
        <v>1</v>
      </c>
      <c r="C102" s="396">
        <f>'e (sf)'!V11</f>
        <v>0.3434652836786164</v>
      </c>
      <c r="D102" s="530">
        <v>999999</v>
      </c>
      <c r="E102" s="530">
        <v>25</v>
      </c>
      <c r="F102" s="530">
        <v>999999</v>
      </c>
      <c r="G102" s="530">
        <v>999999</v>
      </c>
      <c r="H102" s="536">
        <f>('e (sf)'!F23*(1-O101)*O102)/(1-H101)</f>
        <v>0.68025085432876553</v>
      </c>
      <c r="I102" s="536">
        <f>(1-H102)*f!C28</f>
        <v>0</v>
      </c>
      <c r="J102" s="536">
        <f t="shared" ref="J102:J107" si="0">1-I102-H102</f>
        <v>0.31974914567123447</v>
      </c>
      <c r="K102" s="530">
        <v>999999</v>
      </c>
      <c r="L102" s="530">
        <v>20</v>
      </c>
      <c r="M102" s="530">
        <v>999999</v>
      </c>
      <c r="N102" s="530">
        <v>999999</v>
      </c>
      <c r="O102" s="536">
        <f>('e (sf)'!D23*(2*(1-'e (sf)'!D22)))/('e (sf)'!F23*(1-O101)+(1-O101))</f>
        <v>0.46706284219096106</v>
      </c>
      <c r="P102" s="536">
        <f>(1-O102)*f!B28</f>
        <v>0</v>
      </c>
      <c r="Q102" s="536">
        <f t="shared" ref="Q102:Q107" si="1">1-P102-O102</f>
        <v>0.53293715780903894</v>
      </c>
      <c r="R102" s="530">
        <v>999999</v>
      </c>
      <c r="S102" s="530">
        <v>20</v>
      </c>
      <c r="T102" s="530">
        <v>999999</v>
      </c>
      <c r="U102" s="530">
        <v>999999</v>
      </c>
      <c r="V102" s="121">
        <v>1</v>
      </c>
      <c r="W102" s="121">
        <v>0</v>
      </c>
      <c r="X102" s="121">
        <v>0</v>
      </c>
      <c r="Y102" s="121">
        <v>0</v>
      </c>
      <c r="Z102" s="121">
        <v>0</v>
      </c>
      <c r="AA102" s="121">
        <v>0</v>
      </c>
      <c r="AB102" s="121">
        <v>0</v>
      </c>
      <c r="AC102" s="121">
        <v>0</v>
      </c>
      <c r="AD102" s="121">
        <v>0</v>
      </c>
      <c r="AE102" s="121">
        <v>0</v>
      </c>
      <c r="AF102" s="121">
        <v>0</v>
      </c>
      <c r="AG102" s="121">
        <v>0</v>
      </c>
      <c r="AH102" s="121">
        <v>0</v>
      </c>
      <c r="AI102" s="121">
        <v>0</v>
      </c>
      <c r="AJ102" s="121">
        <v>0</v>
      </c>
      <c r="AK102" s="121">
        <v>0</v>
      </c>
      <c r="AL102" s="121">
        <v>0</v>
      </c>
      <c r="AM102" s="537">
        <f>f!D18</f>
        <v>38.06904278109397</v>
      </c>
      <c r="AP102" s="435">
        <v>2</v>
      </c>
    </row>
    <row r="103" spans="1:56">
      <c r="B103" s="499">
        <v>2</v>
      </c>
      <c r="C103" s="396">
        <f>'e (sf)'!W11</f>
        <v>0.35455328883972964</v>
      </c>
      <c r="D103" s="530">
        <v>999999</v>
      </c>
      <c r="E103" s="530">
        <v>25</v>
      </c>
      <c r="F103" s="530">
        <v>999999</v>
      </c>
      <c r="G103" s="530">
        <v>999999</v>
      </c>
      <c r="H103" s="590">
        <f>'e (sf)'!D24</f>
        <v>0.95</v>
      </c>
      <c r="I103" s="536">
        <f>(1-H103)*f!C29</f>
        <v>5.0000000000000044E-3</v>
      </c>
      <c r="J103" s="536">
        <f t="shared" si="0"/>
        <v>4.500000000000004E-2</v>
      </c>
      <c r="K103" s="530">
        <v>999999</v>
      </c>
      <c r="L103" s="530">
        <v>40</v>
      </c>
      <c r="M103" s="530">
        <v>999999</v>
      </c>
      <c r="N103" s="530">
        <v>999999</v>
      </c>
      <c r="O103" s="591">
        <f>'e (sf)'!E24</f>
        <v>0.65798916723087331</v>
      </c>
      <c r="P103" s="536">
        <f>(1-O103)*f!B29</f>
        <v>0.15390487474610701</v>
      </c>
      <c r="Q103" s="536">
        <f t="shared" si="1"/>
        <v>0.18810595802301966</v>
      </c>
      <c r="R103" s="530">
        <v>999999</v>
      </c>
      <c r="S103" s="530">
        <v>40</v>
      </c>
      <c r="T103" s="530">
        <v>999999</v>
      </c>
      <c r="U103" s="530">
        <v>999999</v>
      </c>
      <c r="V103" s="121">
        <v>1</v>
      </c>
      <c r="W103" s="121">
        <v>0</v>
      </c>
      <c r="X103" s="121">
        <v>0</v>
      </c>
      <c r="Y103" s="121">
        <v>0</v>
      </c>
      <c r="Z103" s="121">
        <v>0</v>
      </c>
      <c r="AA103" s="121">
        <v>0</v>
      </c>
      <c r="AB103" s="121">
        <v>0</v>
      </c>
      <c r="AC103" s="121">
        <v>0</v>
      </c>
      <c r="AD103" s="121">
        <v>0</v>
      </c>
      <c r="AE103" s="121">
        <v>0</v>
      </c>
      <c r="AF103" s="121">
        <v>0</v>
      </c>
      <c r="AG103" s="121">
        <v>0</v>
      </c>
      <c r="AH103" s="121">
        <v>0</v>
      </c>
      <c r="AI103" s="121">
        <v>0</v>
      </c>
      <c r="AJ103" s="121">
        <v>0</v>
      </c>
      <c r="AK103" s="121">
        <v>0</v>
      </c>
      <c r="AL103" s="121">
        <v>0</v>
      </c>
      <c r="AM103" s="537">
        <f>f!D19</f>
        <v>74.701108144460321</v>
      </c>
      <c r="AP103" s="435">
        <v>2</v>
      </c>
    </row>
    <row r="104" spans="1:56">
      <c r="B104" s="499">
        <v>3</v>
      </c>
      <c r="C104" s="534">
        <f>'e (sf)'!W11</f>
        <v>0.35455328883972964</v>
      </c>
      <c r="D104" s="530">
        <v>999999</v>
      </c>
      <c r="E104" s="530">
        <v>25</v>
      </c>
      <c r="F104" s="530">
        <v>999999</v>
      </c>
      <c r="G104" s="530">
        <v>999999</v>
      </c>
      <c r="H104" s="536">
        <v>0</v>
      </c>
      <c r="I104" s="536">
        <f>(1-H104)*f!C30</f>
        <v>0.35</v>
      </c>
      <c r="J104" s="536">
        <f t="shared" si="0"/>
        <v>0.65</v>
      </c>
      <c r="K104" s="530">
        <v>999999</v>
      </c>
      <c r="L104" s="530">
        <v>40</v>
      </c>
      <c r="M104" s="530">
        <v>999999</v>
      </c>
      <c r="N104" s="530">
        <v>999999</v>
      </c>
      <c r="O104" s="536">
        <v>0</v>
      </c>
      <c r="P104" s="536">
        <f>(1-O104)*f!B30</f>
        <v>0.65</v>
      </c>
      <c r="Q104" s="536">
        <f t="shared" si="1"/>
        <v>0.35</v>
      </c>
      <c r="R104" s="530">
        <v>999999</v>
      </c>
      <c r="S104" s="530">
        <v>40</v>
      </c>
      <c r="T104" s="530">
        <v>999999</v>
      </c>
      <c r="U104" s="530">
        <v>999999</v>
      </c>
      <c r="V104" s="121">
        <v>1</v>
      </c>
      <c r="W104" s="121">
        <v>0</v>
      </c>
      <c r="X104" s="121">
        <v>0</v>
      </c>
      <c r="Y104" s="121">
        <v>0</v>
      </c>
      <c r="Z104" s="121">
        <v>0</v>
      </c>
      <c r="AA104" s="121">
        <v>0</v>
      </c>
      <c r="AB104" s="121">
        <v>0</v>
      </c>
      <c r="AC104" s="121">
        <v>0</v>
      </c>
      <c r="AD104" s="121">
        <v>0</v>
      </c>
      <c r="AE104" s="121">
        <v>0</v>
      </c>
      <c r="AF104" s="121">
        <v>0</v>
      </c>
      <c r="AG104" s="121">
        <v>0</v>
      </c>
      <c r="AH104" s="121">
        <v>0</v>
      </c>
      <c r="AI104" s="121">
        <v>0</v>
      </c>
      <c r="AJ104" s="121">
        <v>0</v>
      </c>
      <c r="AK104" s="121">
        <v>0</v>
      </c>
      <c r="AL104" s="121">
        <v>0</v>
      </c>
      <c r="AM104" s="537">
        <f>f!D20</f>
        <v>123.40228269788216</v>
      </c>
      <c r="AP104" s="435">
        <v>2</v>
      </c>
      <c r="BD104" s="15"/>
    </row>
    <row r="105" spans="1:56">
      <c r="B105" s="499">
        <v>4</v>
      </c>
      <c r="C105" s="534">
        <f>'e (sf)'!W11</f>
        <v>0.35455328883972964</v>
      </c>
      <c r="D105" s="530">
        <v>999999</v>
      </c>
      <c r="E105" s="530">
        <v>25</v>
      </c>
      <c r="F105" s="530">
        <v>999999</v>
      </c>
      <c r="G105" s="530">
        <v>999999</v>
      </c>
      <c r="H105" s="536">
        <v>0</v>
      </c>
      <c r="I105" s="536">
        <f>(1-H105)*f!C31</f>
        <v>0.6</v>
      </c>
      <c r="J105" s="536">
        <f t="shared" si="0"/>
        <v>0.4</v>
      </c>
      <c r="K105" s="530">
        <v>999999</v>
      </c>
      <c r="L105" s="530">
        <v>40</v>
      </c>
      <c r="M105" s="530">
        <v>999999</v>
      </c>
      <c r="N105" s="530">
        <v>999999</v>
      </c>
      <c r="O105" s="536">
        <v>0</v>
      </c>
      <c r="P105" s="536">
        <f>(1-O105)*f!B31</f>
        <v>0.8</v>
      </c>
      <c r="Q105" s="536">
        <f t="shared" si="1"/>
        <v>0.19999999999999996</v>
      </c>
      <c r="R105" s="530">
        <v>999999</v>
      </c>
      <c r="S105" s="530">
        <v>40</v>
      </c>
      <c r="T105" s="530">
        <v>999999</v>
      </c>
      <c r="U105" s="530">
        <v>999999</v>
      </c>
      <c r="V105" s="121">
        <v>1</v>
      </c>
      <c r="W105" s="121">
        <v>0</v>
      </c>
      <c r="X105" s="121">
        <v>0</v>
      </c>
      <c r="Y105" s="121">
        <v>0</v>
      </c>
      <c r="Z105" s="121">
        <v>0</v>
      </c>
      <c r="AA105" s="121">
        <v>0</v>
      </c>
      <c r="AB105" s="121">
        <v>0</v>
      </c>
      <c r="AC105" s="121">
        <v>0</v>
      </c>
      <c r="AD105" s="121">
        <v>0</v>
      </c>
      <c r="AE105" s="121">
        <v>0</v>
      </c>
      <c r="AF105" s="121">
        <v>0</v>
      </c>
      <c r="AG105" s="121">
        <v>0</v>
      </c>
      <c r="AH105" s="121">
        <v>0</v>
      </c>
      <c r="AI105" s="121">
        <v>0</v>
      </c>
      <c r="AJ105" s="121">
        <v>0</v>
      </c>
      <c r="AK105" s="121">
        <v>0</v>
      </c>
      <c r="AL105" s="121">
        <v>0</v>
      </c>
      <c r="AM105" s="537">
        <f>f!D21</f>
        <v>202.03699174910949</v>
      </c>
      <c r="AP105" s="435">
        <v>2</v>
      </c>
    </row>
    <row r="106" spans="1:56">
      <c r="B106" s="499">
        <v>5</v>
      </c>
      <c r="C106" s="534">
        <f>'e (sf)'!W11</f>
        <v>0.35455328883972964</v>
      </c>
      <c r="D106" s="530">
        <v>999999</v>
      </c>
      <c r="E106" s="530">
        <v>25</v>
      </c>
      <c r="F106" s="530">
        <v>999999</v>
      </c>
      <c r="G106" s="530">
        <v>999999</v>
      </c>
      <c r="H106" s="536">
        <v>0</v>
      </c>
      <c r="I106" s="536">
        <f>(1-H106)*f!C32</f>
        <v>0.8</v>
      </c>
      <c r="J106" s="536">
        <f t="shared" si="0"/>
        <v>0.19999999999999996</v>
      </c>
      <c r="K106" s="530">
        <v>999999</v>
      </c>
      <c r="L106" s="530">
        <v>40</v>
      </c>
      <c r="M106" s="530">
        <v>999999</v>
      </c>
      <c r="N106" s="530">
        <v>999999</v>
      </c>
      <c r="O106" s="536">
        <v>0</v>
      </c>
      <c r="P106" s="536">
        <f>(1-O106)*f!B32</f>
        <v>1</v>
      </c>
      <c r="Q106" s="536">
        <f t="shared" si="1"/>
        <v>0</v>
      </c>
      <c r="R106" s="530">
        <v>999999</v>
      </c>
      <c r="S106" s="530">
        <v>40</v>
      </c>
      <c r="T106" s="530">
        <v>999999</v>
      </c>
      <c r="U106" s="530">
        <v>999999</v>
      </c>
      <c r="V106" s="121">
        <v>1</v>
      </c>
      <c r="W106" s="121">
        <v>0</v>
      </c>
      <c r="X106" s="121">
        <v>0</v>
      </c>
      <c r="Y106" s="121">
        <v>0</v>
      </c>
      <c r="Z106" s="121">
        <v>0</v>
      </c>
      <c r="AA106" s="121">
        <v>0</v>
      </c>
      <c r="AB106" s="121">
        <v>0</v>
      </c>
      <c r="AC106" s="121">
        <v>0</v>
      </c>
      <c r="AD106" s="121">
        <v>0</v>
      </c>
      <c r="AE106" s="121">
        <v>0</v>
      </c>
      <c r="AF106" s="121">
        <v>0</v>
      </c>
      <c r="AG106" s="121">
        <v>0</v>
      </c>
      <c r="AH106" s="121">
        <v>0</v>
      </c>
      <c r="AI106" s="121">
        <v>0</v>
      </c>
      <c r="AJ106" s="121">
        <v>0</v>
      </c>
      <c r="AK106" s="121">
        <v>0</v>
      </c>
      <c r="AL106" s="121">
        <v>0</v>
      </c>
      <c r="AM106" s="537">
        <f>f!D22</f>
        <v>247.57548242307968</v>
      </c>
      <c r="AP106" s="435">
        <v>2</v>
      </c>
    </row>
    <row r="107" spans="1:56">
      <c r="B107" s="499">
        <v>6</v>
      </c>
      <c r="C107" s="534">
        <f>'e (sf)'!W11</f>
        <v>0.35455328883972964</v>
      </c>
      <c r="D107" s="530">
        <v>999999</v>
      </c>
      <c r="E107" s="530">
        <v>25</v>
      </c>
      <c r="F107" s="530">
        <v>999999</v>
      </c>
      <c r="G107" s="530">
        <v>999999</v>
      </c>
      <c r="H107" s="536">
        <v>0</v>
      </c>
      <c r="I107" s="536">
        <f>(1-H107)*f!C33</f>
        <v>1</v>
      </c>
      <c r="J107" s="536">
        <f t="shared" si="0"/>
        <v>0</v>
      </c>
      <c r="K107" s="530">
        <v>999999</v>
      </c>
      <c r="L107" s="530">
        <v>40</v>
      </c>
      <c r="M107" s="530">
        <v>999999</v>
      </c>
      <c r="N107" s="530">
        <v>999999</v>
      </c>
      <c r="O107" s="536">
        <v>0</v>
      </c>
      <c r="P107" s="536">
        <f>(1-O107)*f!B33</f>
        <v>1</v>
      </c>
      <c r="Q107" s="536">
        <f t="shared" si="1"/>
        <v>0</v>
      </c>
      <c r="R107" s="530">
        <v>999999</v>
      </c>
      <c r="S107" s="530">
        <v>40</v>
      </c>
      <c r="T107" s="530">
        <v>999999</v>
      </c>
      <c r="U107" s="530">
        <v>999999</v>
      </c>
      <c r="V107" s="121">
        <v>1</v>
      </c>
      <c r="W107" s="121">
        <v>0</v>
      </c>
      <c r="X107" s="121">
        <v>0</v>
      </c>
      <c r="Y107" s="121">
        <v>0</v>
      </c>
      <c r="Z107" s="121">
        <v>0</v>
      </c>
      <c r="AA107" s="121">
        <v>0</v>
      </c>
      <c r="AB107" s="121">
        <v>0</v>
      </c>
      <c r="AC107" s="121">
        <v>0</v>
      </c>
      <c r="AD107" s="121">
        <v>0</v>
      </c>
      <c r="AE107" s="121">
        <v>0</v>
      </c>
      <c r="AF107" s="121">
        <v>0</v>
      </c>
      <c r="AG107" s="121">
        <v>0</v>
      </c>
      <c r="AH107" s="121">
        <v>0</v>
      </c>
      <c r="AI107" s="121">
        <v>0</v>
      </c>
      <c r="AJ107" s="121">
        <v>0</v>
      </c>
      <c r="AK107" s="121">
        <v>0</v>
      </c>
      <c r="AL107" s="121">
        <v>0</v>
      </c>
      <c r="AM107" s="537">
        <f>f!D23</f>
        <v>315.08610858755986</v>
      </c>
      <c r="AP107" s="416">
        <v>9999</v>
      </c>
    </row>
    <row r="108" spans="1:56">
      <c r="B108" s="499">
        <v>7</v>
      </c>
      <c r="C108" s="535">
        <v>0</v>
      </c>
      <c r="D108" s="530">
        <v>999999</v>
      </c>
      <c r="E108" s="530">
        <v>999999</v>
      </c>
      <c r="F108" s="530">
        <v>999999</v>
      </c>
      <c r="G108" s="530">
        <v>999999</v>
      </c>
      <c r="H108" s="535">
        <v>1</v>
      </c>
      <c r="I108" s="535">
        <v>0</v>
      </c>
      <c r="J108" s="535">
        <v>0</v>
      </c>
      <c r="K108" s="530">
        <v>999999</v>
      </c>
      <c r="L108" s="530">
        <v>999999</v>
      </c>
      <c r="M108" s="530">
        <v>999999</v>
      </c>
      <c r="N108" s="530">
        <v>999999</v>
      </c>
      <c r="O108" s="535">
        <v>1</v>
      </c>
      <c r="P108" s="535">
        <v>0</v>
      </c>
      <c r="Q108" s="535">
        <v>0</v>
      </c>
      <c r="R108" s="530">
        <v>999999</v>
      </c>
      <c r="S108" s="530">
        <v>999999</v>
      </c>
      <c r="T108" s="530">
        <v>999999</v>
      </c>
      <c r="U108" s="530">
        <v>999999</v>
      </c>
      <c r="V108" s="121">
        <v>1</v>
      </c>
      <c r="W108" s="121">
        <v>0</v>
      </c>
      <c r="X108" s="121">
        <v>0</v>
      </c>
      <c r="Y108" s="121">
        <v>0</v>
      </c>
      <c r="Z108" s="121">
        <v>0</v>
      </c>
      <c r="AA108" s="121">
        <v>0</v>
      </c>
      <c r="AB108" s="121">
        <v>0</v>
      </c>
      <c r="AC108" s="121">
        <v>0</v>
      </c>
      <c r="AD108" s="121">
        <v>0</v>
      </c>
      <c r="AE108" s="121">
        <v>0</v>
      </c>
      <c r="AF108" s="121">
        <v>0</v>
      </c>
      <c r="AG108" s="121">
        <v>0</v>
      </c>
      <c r="AH108" s="121">
        <v>0</v>
      </c>
      <c r="AI108" s="121">
        <v>0</v>
      </c>
      <c r="AJ108" s="121">
        <v>0</v>
      </c>
      <c r="AK108" s="121">
        <v>0</v>
      </c>
      <c r="AL108" s="121">
        <v>0</v>
      </c>
      <c r="AM108" s="537">
        <f>AM107</f>
        <v>315.08610858755986</v>
      </c>
      <c r="AP108" s="7">
        <v>9999</v>
      </c>
    </row>
    <row r="109" spans="1:56">
      <c r="B109" s="499">
        <v>8</v>
      </c>
      <c r="C109" s="535">
        <v>0</v>
      </c>
      <c r="D109" s="530">
        <v>999999</v>
      </c>
      <c r="E109" s="530">
        <v>999999</v>
      </c>
      <c r="F109" s="530">
        <v>999999</v>
      </c>
      <c r="G109" s="530">
        <v>999999</v>
      </c>
      <c r="H109" s="535">
        <v>1</v>
      </c>
      <c r="I109" s="535">
        <v>0</v>
      </c>
      <c r="J109" s="535">
        <v>0</v>
      </c>
      <c r="K109" s="530">
        <v>999999</v>
      </c>
      <c r="L109" s="530">
        <v>999999</v>
      </c>
      <c r="M109" s="530">
        <v>999999</v>
      </c>
      <c r="N109" s="530">
        <v>999999</v>
      </c>
      <c r="O109" s="535">
        <v>1</v>
      </c>
      <c r="P109" s="535">
        <v>0</v>
      </c>
      <c r="Q109" s="535">
        <v>0</v>
      </c>
      <c r="R109" s="530">
        <v>999999</v>
      </c>
      <c r="S109" s="530">
        <v>999999</v>
      </c>
      <c r="T109" s="530">
        <v>999999</v>
      </c>
      <c r="U109" s="530">
        <v>999999</v>
      </c>
      <c r="V109" s="121">
        <v>1</v>
      </c>
      <c r="W109" s="121">
        <v>0</v>
      </c>
      <c r="X109" s="121">
        <v>0</v>
      </c>
      <c r="Y109" s="121">
        <v>0</v>
      </c>
      <c r="Z109" s="121">
        <v>0</v>
      </c>
      <c r="AA109" s="121">
        <v>0</v>
      </c>
      <c r="AB109" s="121">
        <v>0</v>
      </c>
      <c r="AC109" s="121">
        <v>0</v>
      </c>
      <c r="AD109" s="121">
        <v>0</v>
      </c>
      <c r="AE109" s="121">
        <v>0</v>
      </c>
      <c r="AF109" s="121">
        <v>0</v>
      </c>
      <c r="AG109" s="121">
        <v>0</v>
      </c>
      <c r="AH109" s="121">
        <v>0</v>
      </c>
      <c r="AI109" s="121">
        <v>0</v>
      </c>
      <c r="AJ109" s="121">
        <v>0</v>
      </c>
      <c r="AK109" s="121">
        <v>0</v>
      </c>
      <c r="AL109" s="121">
        <v>0</v>
      </c>
      <c r="AM109" s="537">
        <f>AM108</f>
        <v>315.08610858755986</v>
      </c>
      <c r="AP109" s="7">
        <v>9999</v>
      </c>
    </row>
    <row r="110" spans="1:56">
      <c r="B110" s="499">
        <v>9</v>
      </c>
      <c r="C110" s="535">
        <v>0</v>
      </c>
      <c r="D110" s="530">
        <v>999999</v>
      </c>
      <c r="E110" s="530">
        <v>999999</v>
      </c>
      <c r="F110" s="530">
        <v>999999</v>
      </c>
      <c r="G110" s="530">
        <v>999999</v>
      </c>
      <c r="H110" s="535">
        <v>1</v>
      </c>
      <c r="I110" s="535">
        <v>0</v>
      </c>
      <c r="J110" s="535">
        <v>0</v>
      </c>
      <c r="K110" s="530">
        <v>999999</v>
      </c>
      <c r="L110" s="530">
        <v>999999</v>
      </c>
      <c r="M110" s="530">
        <v>999999</v>
      </c>
      <c r="N110" s="530">
        <v>999999</v>
      </c>
      <c r="O110" s="535">
        <v>1</v>
      </c>
      <c r="P110" s="535">
        <v>0</v>
      </c>
      <c r="Q110" s="535">
        <v>0</v>
      </c>
      <c r="R110" s="530">
        <v>999999</v>
      </c>
      <c r="S110" s="530">
        <v>999999</v>
      </c>
      <c r="T110" s="530">
        <v>999999</v>
      </c>
      <c r="U110" s="530">
        <v>999999</v>
      </c>
      <c r="V110" s="121">
        <v>1</v>
      </c>
      <c r="W110" s="121">
        <v>0</v>
      </c>
      <c r="X110" s="121">
        <v>0</v>
      </c>
      <c r="Y110" s="121">
        <v>0</v>
      </c>
      <c r="Z110" s="121">
        <v>0</v>
      </c>
      <c r="AA110" s="121">
        <v>0</v>
      </c>
      <c r="AB110" s="121">
        <v>0</v>
      </c>
      <c r="AC110" s="121">
        <v>0</v>
      </c>
      <c r="AD110" s="121">
        <v>0</v>
      </c>
      <c r="AE110" s="121">
        <v>0</v>
      </c>
      <c r="AF110" s="121">
        <v>0</v>
      </c>
      <c r="AG110" s="121">
        <v>0</v>
      </c>
      <c r="AH110" s="121">
        <v>0</v>
      </c>
      <c r="AI110" s="121">
        <v>0</v>
      </c>
      <c r="AJ110" s="121">
        <v>0</v>
      </c>
      <c r="AK110" s="121">
        <v>0</v>
      </c>
      <c r="AL110" s="121">
        <v>0</v>
      </c>
      <c r="AM110" s="537">
        <f>AM109</f>
        <v>315.08610858755986</v>
      </c>
      <c r="AP110" s="7">
        <v>9999</v>
      </c>
    </row>
    <row r="113" spans="1:63">
      <c r="A113" s="1" t="s">
        <v>160</v>
      </c>
      <c r="S113" s="499" t="s">
        <v>161</v>
      </c>
    </row>
    <row r="114" spans="1:63">
      <c r="E114" s="499" t="s">
        <v>162</v>
      </c>
      <c r="N114" s="499" t="s">
        <v>163</v>
      </c>
      <c r="S114" s="4" t="s">
        <v>164</v>
      </c>
      <c r="T114" s="4"/>
      <c r="U114" s="4"/>
      <c r="V114" s="4"/>
      <c r="W114" s="4" t="s">
        <v>165</v>
      </c>
      <c r="X114" s="4"/>
    </row>
    <row r="115" spans="1:63">
      <c r="B115" s="6" t="s">
        <v>75</v>
      </c>
      <c r="C115" s="6" t="s">
        <v>166</v>
      </c>
      <c r="D115" s="401" t="s">
        <v>167</v>
      </c>
      <c r="E115" s="6" t="s">
        <v>168</v>
      </c>
      <c r="F115" s="6" t="s">
        <v>169</v>
      </c>
      <c r="G115" s="6" t="s">
        <v>170</v>
      </c>
      <c r="H115" s="6" t="s">
        <v>135</v>
      </c>
      <c r="I115" s="401" t="s">
        <v>171</v>
      </c>
      <c r="J115" s="6" t="s">
        <v>172</v>
      </c>
      <c r="K115" s="6" t="s">
        <v>173</v>
      </c>
      <c r="L115" s="6" t="s">
        <v>174</v>
      </c>
      <c r="M115" s="6" t="s">
        <v>142</v>
      </c>
      <c r="N115" s="6" t="s">
        <v>175</v>
      </c>
      <c r="O115" s="6" t="s">
        <v>176</v>
      </c>
      <c r="P115" s="6" t="s">
        <v>177</v>
      </c>
      <c r="Q115" s="6" t="s">
        <v>178</v>
      </c>
      <c r="R115" s="6" t="s">
        <v>12</v>
      </c>
      <c r="S115" s="9" t="s">
        <v>179</v>
      </c>
      <c r="T115" s="9" t="s">
        <v>180</v>
      </c>
      <c r="U115" s="9" t="s">
        <v>179</v>
      </c>
      <c r="V115" s="9" t="s">
        <v>180</v>
      </c>
      <c r="W115" s="9" t="s">
        <v>181</v>
      </c>
      <c r="X115" s="9" t="s">
        <v>33</v>
      </c>
    </row>
    <row r="116" spans="1:63">
      <c r="B116" s="499" t="s">
        <v>96</v>
      </c>
      <c r="C116" s="499">
        <v>1</v>
      </c>
      <c r="D116" s="396">
        <f>m!D111</f>
        <v>0.45939999999999998</v>
      </c>
      <c r="E116" s="530">
        <v>999999</v>
      </c>
      <c r="F116" s="530">
        <v>40</v>
      </c>
      <c r="G116" s="530">
        <v>999999</v>
      </c>
      <c r="H116" s="530">
        <v>999999</v>
      </c>
      <c r="I116" s="396">
        <f>D116</f>
        <v>0.45939999999999998</v>
      </c>
      <c r="J116" s="530">
        <v>999999</v>
      </c>
      <c r="K116" s="530">
        <v>40</v>
      </c>
      <c r="L116" s="530">
        <v>999999</v>
      </c>
      <c r="M116" s="530">
        <v>999999</v>
      </c>
      <c r="N116" s="540">
        <v>1.0000000000000001E+50</v>
      </c>
      <c r="O116" s="121">
        <v>0</v>
      </c>
      <c r="P116" s="121">
        <v>0</v>
      </c>
      <c r="Q116" s="121">
        <v>0</v>
      </c>
      <c r="R116" s="121">
        <v>0</v>
      </c>
      <c r="S116" s="121">
        <v>0</v>
      </c>
      <c r="T116" s="121">
        <v>0</v>
      </c>
      <c r="U116" s="121">
        <v>0</v>
      </c>
      <c r="V116" s="121">
        <v>0</v>
      </c>
      <c r="W116" s="121">
        <v>0</v>
      </c>
      <c r="X116" s="121">
        <v>0</v>
      </c>
    </row>
    <row r="117" spans="1:63">
      <c r="B117" s="499" t="s">
        <v>98</v>
      </c>
      <c r="C117" s="499">
        <v>2</v>
      </c>
      <c r="D117" s="396">
        <f>m!D115</f>
        <v>0.98619999999999997</v>
      </c>
      <c r="E117" s="530">
        <v>999999</v>
      </c>
      <c r="F117" s="530">
        <v>40</v>
      </c>
      <c r="G117" s="530">
        <v>999999</v>
      </c>
      <c r="H117" s="530">
        <v>999999</v>
      </c>
      <c r="I117" s="396">
        <f>D117</f>
        <v>0.98619999999999997</v>
      </c>
      <c r="J117" s="530">
        <v>999999</v>
      </c>
      <c r="K117" s="530">
        <v>40</v>
      </c>
      <c r="L117" s="530">
        <v>999999</v>
      </c>
      <c r="M117" s="530">
        <v>999999</v>
      </c>
      <c r="N117" s="540">
        <v>1.0000000000000001E+50</v>
      </c>
      <c r="O117" s="121">
        <v>0</v>
      </c>
      <c r="P117" s="121">
        <v>0</v>
      </c>
      <c r="Q117" s="121">
        <v>0</v>
      </c>
      <c r="R117" s="121">
        <v>0</v>
      </c>
      <c r="S117" s="121">
        <v>0</v>
      </c>
      <c r="T117" s="121">
        <v>0</v>
      </c>
      <c r="U117" s="121">
        <v>0</v>
      </c>
      <c r="V117" s="121">
        <v>0</v>
      </c>
      <c r="W117" s="121">
        <v>0</v>
      </c>
      <c r="X117" s="121">
        <v>0</v>
      </c>
    </row>
    <row r="118" spans="1:63">
      <c r="B118" s="499" t="s">
        <v>100</v>
      </c>
      <c r="C118" s="499">
        <v>3</v>
      </c>
      <c r="D118" s="396">
        <v>1</v>
      </c>
      <c r="E118" s="530">
        <v>999999</v>
      </c>
      <c r="F118" s="530">
        <v>40</v>
      </c>
      <c r="G118" s="530">
        <v>999999</v>
      </c>
      <c r="H118" s="530">
        <v>999999</v>
      </c>
      <c r="I118" s="396">
        <f>D118</f>
        <v>1</v>
      </c>
      <c r="J118" s="530">
        <v>999999</v>
      </c>
      <c r="K118" s="530">
        <v>40</v>
      </c>
      <c r="L118" s="530">
        <v>999999</v>
      </c>
      <c r="M118" s="530">
        <v>999999</v>
      </c>
      <c r="N118" s="540">
        <v>1.0000000000000001E+50</v>
      </c>
      <c r="O118" s="121">
        <v>0</v>
      </c>
      <c r="P118" s="121">
        <v>0</v>
      </c>
      <c r="Q118" s="121">
        <v>0</v>
      </c>
      <c r="R118" s="121">
        <v>0</v>
      </c>
      <c r="S118" s="121">
        <v>0</v>
      </c>
      <c r="T118" s="121">
        <v>0</v>
      </c>
      <c r="U118" s="121">
        <v>0</v>
      </c>
      <c r="V118" s="121">
        <v>0</v>
      </c>
      <c r="W118" s="121">
        <v>0</v>
      </c>
      <c r="X118" s="121">
        <v>0</v>
      </c>
    </row>
    <row r="119" spans="1:63">
      <c r="B119" s="499" t="s">
        <v>102</v>
      </c>
      <c r="C119" s="499">
        <v>4</v>
      </c>
      <c r="D119" s="396">
        <v>1</v>
      </c>
      <c r="E119" s="530">
        <v>999999</v>
      </c>
      <c r="F119" s="530">
        <v>40</v>
      </c>
      <c r="G119" s="530">
        <v>999999</v>
      </c>
      <c r="H119" s="530">
        <v>999999</v>
      </c>
      <c r="I119" s="396">
        <v>1</v>
      </c>
      <c r="J119" s="530">
        <v>999999</v>
      </c>
      <c r="K119" s="530">
        <v>40</v>
      </c>
      <c r="L119" s="530">
        <v>999999</v>
      </c>
      <c r="M119" s="530">
        <v>999999</v>
      </c>
      <c r="N119" s="540">
        <v>1.0000000000000001E+50</v>
      </c>
      <c r="O119" s="121">
        <v>0</v>
      </c>
      <c r="P119" s="121">
        <v>0</v>
      </c>
      <c r="Q119" s="121">
        <v>0</v>
      </c>
      <c r="R119" s="121">
        <v>0</v>
      </c>
      <c r="S119" s="121">
        <v>0</v>
      </c>
      <c r="T119" s="121">
        <v>0</v>
      </c>
      <c r="U119" s="121">
        <v>0</v>
      </c>
      <c r="V119" s="121">
        <v>0</v>
      </c>
      <c r="W119" s="121">
        <v>0</v>
      </c>
      <c r="X119" s="121">
        <v>0</v>
      </c>
      <c r="BK119" s="499" t="s">
        <v>182</v>
      </c>
    </row>
    <row r="120" spans="1:63">
      <c r="B120" s="499" t="s">
        <v>104</v>
      </c>
      <c r="C120" s="499">
        <v>5</v>
      </c>
      <c r="D120" s="396">
        <v>1</v>
      </c>
      <c r="E120" s="530">
        <v>999999</v>
      </c>
      <c r="F120" s="530">
        <v>999999</v>
      </c>
      <c r="G120" s="530">
        <v>999999</v>
      </c>
      <c r="H120" s="530">
        <v>999999</v>
      </c>
      <c r="I120" s="396">
        <v>1</v>
      </c>
      <c r="J120" s="530">
        <v>999999</v>
      </c>
      <c r="K120" s="530">
        <v>40</v>
      </c>
      <c r="L120" s="530">
        <v>999999</v>
      </c>
      <c r="M120" s="530">
        <v>999999</v>
      </c>
      <c r="N120" s="540">
        <v>1.0000000000000001E+50</v>
      </c>
      <c r="O120" s="121">
        <v>0</v>
      </c>
      <c r="P120" s="121">
        <v>0</v>
      </c>
      <c r="Q120" s="121">
        <v>0</v>
      </c>
      <c r="R120" s="121">
        <v>0</v>
      </c>
      <c r="S120" s="121">
        <v>0</v>
      </c>
      <c r="T120" s="121">
        <v>0</v>
      </c>
      <c r="U120" s="121">
        <v>0</v>
      </c>
      <c r="V120" s="121">
        <v>0</v>
      </c>
      <c r="W120" s="121">
        <v>0</v>
      </c>
      <c r="X120" s="121">
        <v>0</v>
      </c>
    </row>
    <row r="121" spans="1:63">
      <c r="B121" s="499" t="s">
        <v>106</v>
      </c>
      <c r="C121" s="499">
        <v>6</v>
      </c>
      <c r="D121" s="396">
        <v>1</v>
      </c>
      <c r="E121" s="530">
        <v>999999</v>
      </c>
      <c r="F121" s="530">
        <v>999999</v>
      </c>
      <c r="G121" s="530">
        <v>999999</v>
      </c>
      <c r="H121" s="530">
        <v>999999</v>
      </c>
      <c r="I121" s="396">
        <v>1</v>
      </c>
      <c r="J121" s="530">
        <v>999999</v>
      </c>
      <c r="K121" s="530">
        <v>40</v>
      </c>
      <c r="L121" s="530">
        <v>999999</v>
      </c>
      <c r="M121" s="530">
        <v>999999</v>
      </c>
      <c r="N121" s="540">
        <v>1.0000000000000001E+50</v>
      </c>
      <c r="O121" s="121">
        <v>0</v>
      </c>
      <c r="P121" s="121">
        <v>0</v>
      </c>
      <c r="Q121" s="121">
        <v>0</v>
      </c>
      <c r="R121" s="121">
        <v>0</v>
      </c>
      <c r="S121" s="121">
        <v>0</v>
      </c>
      <c r="T121" s="121">
        <v>0</v>
      </c>
      <c r="U121" s="121">
        <v>0</v>
      </c>
      <c r="V121" s="121">
        <v>0</v>
      </c>
      <c r="W121" s="121">
        <v>0</v>
      </c>
      <c r="X121" s="121">
        <v>0</v>
      </c>
    </row>
    <row r="122" spans="1:63">
      <c r="B122" s="499" t="s">
        <v>108</v>
      </c>
      <c r="C122" s="499">
        <v>7</v>
      </c>
      <c r="D122" s="396">
        <v>1</v>
      </c>
      <c r="E122" s="530">
        <v>999999</v>
      </c>
      <c r="F122" s="530">
        <v>999999</v>
      </c>
      <c r="G122" s="530">
        <v>999999</v>
      </c>
      <c r="H122" s="530">
        <v>999999</v>
      </c>
      <c r="I122" s="396">
        <v>1</v>
      </c>
      <c r="J122" s="530">
        <v>999999</v>
      </c>
      <c r="K122" s="530">
        <v>40</v>
      </c>
      <c r="L122" s="530">
        <v>999999</v>
      </c>
      <c r="M122" s="530">
        <v>999999</v>
      </c>
      <c r="N122" s="540">
        <v>1.0000000000000001E+50</v>
      </c>
      <c r="O122" s="121">
        <v>0</v>
      </c>
      <c r="P122" s="121">
        <v>0</v>
      </c>
      <c r="Q122" s="121">
        <v>0</v>
      </c>
      <c r="R122" s="121">
        <v>0</v>
      </c>
      <c r="S122" s="121">
        <v>0</v>
      </c>
      <c r="T122" s="121">
        <v>0</v>
      </c>
      <c r="U122" s="121">
        <v>0</v>
      </c>
      <c r="V122" s="121">
        <v>0</v>
      </c>
      <c r="W122" s="121">
        <v>0</v>
      </c>
      <c r="X122" s="121">
        <v>0</v>
      </c>
    </row>
    <row r="123" spans="1:63">
      <c r="B123" s="499" t="s">
        <v>110</v>
      </c>
      <c r="C123" s="499">
        <v>8</v>
      </c>
      <c r="D123" s="396">
        <v>0</v>
      </c>
      <c r="E123" s="530">
        <v>999999</v>
      </c>
      <c r="F123" s="530">
        <v>999999</v>
      </c>
      <c r="G123" s="530">
        <v>999999</v>
      </c>
      <c r="H123" s="530">
        <v>999999</v>
      </c>
      <c r="I123" s="396">
        <v>0</v>
      </c>
      <c r="J123" s="530">
        <v>999999</v>
      </c>
      <c r="K123" s="530">
        <v>999999</v>
      </c>
      <c r="L123" s="530">
        <v>999999</v>
      </c>
      <c r="M123" s="530">
        <v>999999</v>
      </c>
      <c r="N123" s="540">
        <v>1.0000000000000001E+50</v>
      </c>
      <c r="O123" s="121">
        <v>0</v>
      </c>
      <c r="P123" s="121">
        <v>0</v>
      </c>
      <c r="Q123" s="121">
        <v>0</v>
      </c>
      <c r="R123" s="121">
        <v>0</v>
      </c>
      <c r="S123" s="121">
        <v>0</v>
      </c>
      <c r="T123" s="121">
        <v>0</v>
      </c>
      <c r="U123" s="121">
        <v>0</v>
      </c>
      <c r="V123" s="121">
        <v>0</v>
      </c>
      <c r="W123" s="121">
        <v>0</v>
      </c>
      <c r="X123" s="121">
        <v>0</v>
      </c>
    </row>
    <row r="124" spans="1:63">
      <c r="B124" s="499" t="s">
        <v>112</v>
      </c>
      <c r="C124" s="499">
        <v>9</v>
      </c>
      <c r="D124" s="396">
        <v>0</v>
      </c>
      <c r="E124" s="530">
        <v>999999</v>
      </c>
      <c r="F124" s="530">
        <v>999999</v>
      </c>
      <c r="G124" s="530">
        <v>999999</v>
      </c>
      <c r="H124" s="530">
        <v>999999</v>
      </c>
      <c r="I124" s="396">
        <v>0</v>
      </c>
      <c r="J124" s="530">
        <v>999999</v>
      </c>
      <c r="K124" s="530">
        <v>999999</v>
      </c>
      <c r="L124" s="530">
        <v>999999</v>
      </c>
      <c r="M124" s="530">
        <v>999999</v>
      </c>
      <c r="N124" s="540">
        <v>1.0000000000000001E+50</v>
      </c>
      <c r="O124" s="121">
        <v>0</v>
      </c>
      <c r="P124" s="121">
        <v>0</v>
      </c>
      <c r="Q124" s="121">
        <v>0</v>
      </c>
      <c r="R124" s="121">
        <v>0</v>
      </c>
      <c r="S124" s="121">
        <v>0</v>
      </c>
      <c r="T124" s="121">
        <v>0</v>
      </c>
      <c r="U124" s="121">
        <v>0</v>
      </c>
      <c r="V124" s="121">
        <v>0</v>
      </c>
      <c r="W124" s="121">
        <v>0</v>
      </c>
      <c r="X124" s="121">
        <v>0</v>
      </c>
    </row>
    <row r="125" spans="1:63">
      <c r="B125" s="499" t="s">
        <v>114</v>
      </c>
      <c r="C125" s="499">
        <v>10</v>
      </c>
      <c r="D125" s="396">
        <v>0</v>
      </c>
      <c r="E125" s="530">
        <v>999999</v>
      </c>
      <c r="F125" s="530">
        <v>999999</v>
      </c>
      <c r="G125" s="530">
        <v>999999</v>
      </c>
      <c r="H125" s="530">
        <v>999999</v>
      </c>
      <c r="I125" s="396">
        <v>0</v>
      </c>
      <c r="J125" s="530">
        <v>999999</v>
      </c>
      <c r="K125" s="530">
        <v>999999</v>
      </c>
      <c r="L125" s="530">
        <v>999999</v>
      </c>
      <c r="M125" s="530">
        <v>999999</v>
      </c>
      <c r="N125" s="540">
        <v>1.0000000000000001E+50</v>
      </c>
      <c r="O125" s="121">
        <v>0</v>
      </c>
      <c r="P125" s="121">
        <v>0</v>
      </c>
      <c r="Q125" s="121">
        <v>0</v>
      </c>
      <c r="R125" s="121">
        <v>0</v>
      </c>
      <c r="S125" s="121">
        <v>0</v>
      </c>
      <c r="T125" s="121">
        <v>0</v>
      </c>
      <c r="U125" s="121">
        <v>0</v>
      </c>
      <c r="V125" s="121">
        <v>0</v>
      </c>
      <c r="W125" s="121">
        <v>0</v>
      </c>
      <c r="X125" s="121">
        <v>0</v>
      </c>
    </row>
    <row r="128" spans="1:63">
      <c r="A128" s="1" t="s">
        <v>183</v>
      </c>
    </row>
    <row r="129" spans="1:87">
      <c r="P129" s="499" t="s">
        <v>176</v>
      </c>
      <c r="Q129" s="499" t="s">
        <v>176</v>
      </c>
      <c r="R129" s="499" t="s">
        <v>176</v>
      </c>
      <c r="S129" s="499" t="s">
        <v>176</v>
      </c>
      <c r="T129" s="499" t="s">
        <v>176</v>
      </c>
      <c r="U129" s="499" t="s">
        <v>176</v>
      </c>
      <c r="V129" s="499" t="s">
        <v>176</v>
      </c>
      <c r="W129" s="499" t="s">
        <v>176</v>
      </c>
      <c r="X129" s="499" t="s">
        <v>176</v>
      </c>
      <c r="Y129" s="499" t="s">
        <v>176</v>
      </c>
      <c r="Z129" s="499" t="s">
        <v>176</v>
      </c>
      <c r="AA129" s="499" t="s">
        <v>176</v>
      </c>
      <c r="AB129" s="499" t="s">
        <v>184</v>
      </c>
      <c r="AC129" s="499" t="s">
        <v>184</v>
      </c>
      <c r="AD129" s="499" t="s">
        <v>184</v>
      </c>
      <c r="AE129" s="499" t="s">
        <v>184</v>
      </c>
      <c r="AF129" s="499" t="s">
        <v>184</v>
      </c>
      <c r="AG129" s="499" t="s">
        <v>184</v>
      </c>
      <c r="AH129" s="499" t="s">
        <v>184</v>
      </c>
      <c r="AI129" s="499" t="s">
        <v>184</v>
      </c>
      <c r="AJ129" s="499" t="s">
        <v>184</v>
      </c>
      <c r="AK129" s="499" t="s">
        <v>184</v>
      </c>
      <c r="AL129" s="499" t="s">
        <v>184</v>
      </c>
      <c r="AM129" s="499" t="s">
        <v>184</v>
      </c>
      <c r="AN129" s="499" t="s">
        <v>178</v>
      </c>
      <c r="AO129" s="499" t="s">
        <v>178</v>
      </c>
      <c r="AP129" s="499" t="s">
        <v>178</v>
      </c>
      <c r="AQ129" s="499" t="s">
        <v>178</v>
      </c>
      <c r="AR129" s="499" t="s">
        <v>178</v>
      </c>
      <c r="AS129" s="499" t="s">
        <v>178</v>
      </c>
      <c r="AT129" s="499" t="s">
        <v>178</v>
      </c>
      <c r="AU129" s="499" t="s">
        <v>178</v>
      </c>
      <c r="AV129" s="499" t="s">
        <v>178</v>
      </c>
      <c r="AW129" s="499" t="s">
        <v>178</v>
      </c>
      <c r="AX129" s="499" t="s">
        <v>178</v>
      </c>
      <c r="AY129" s="499" t="s">
        <v>178</v>
      </c>
      <c r="AZ129" s="499" t="s">
        <v>12</v>
      </c>
      <c r="BA129" s="499" t="s">
        <v>12</v>
      </c>
      <c r="BB129" s="499" t="s">
        <v>12</v>
      </c>
      <c r="BC129" s="499" t="s">
        <v>12</v>
      </c>
      <c r="BD129" s="499" t="s">
        <v>12</v>
      </c>
      <c r="BE129" s="499" t="s">
        <v>12</v>
      </c>
      <c r="BF129" s="499" t="s">
        <v>12</v>
      </c>
      <c r="BG129" s="499" t="s">
        <v>12</v>
      </c>
      <c r="BH129" s="499" t="s">
        <v>12</v>
      </c>
      <c r="BI129" s="499" t="s">
        <v>12</v>
      </c>
      <c r="BJ129" s="499" t="s">
        <v>12</v>
      </c>
      <c r="BK129" s="499" t="s">
        <v>12</v>
      </c>
      <c r="BL129" s="499" t="s">
        <v>32</v>
      </c>
      <c r="BM129" s="499" t="s">
        <v>32</v>
      </c>
      <c r="BN129" s="499" t="s">
        <v>32</v>
      </c>
      <c r="BO129" s="499" t="s">
        <v>32</v>
      </c>
      <c r="BP129" s="499" t="s">
        <v>32</v>
      </c>
      <c r="BQ129" s="499" t="s">
        <v>32</v>
      </c>
      <c r="BR129" s="499" t="s">
        <v>32</v>
      </c>
      <c r="BS129" s="499" t="s">
        <v>32</v>
      </c>
      <c r="BT129" s="499" t="s">
        <v>32</v>
      </c>
      <c r="BU129" s="499" t="s">
        <v>32</v>
      </c>
      <c r="BV129" s="499" t="s">
        <v>32</v>
      </c>
      <c r="BW129" s="499" t="s">
        <v>32</v>
      </c>
      <c r="BX129" s="499" t="s">
        <v>185</v>
      </c>
      <c r="BY129" s="499" t="s">
        <v>185</v>
      </c>
      <c r="BZ129" s="499" t="s">
        <v>185</v>
      </c>
      <c r="CA129" s="499" t="s">
        <v>185</v>
      </c>
      <c r="CB129" s="499" t="s">
        <v>185</v>
      </c>
      <c r="CC129" s="499" t="s">
        <v>185</v>
      </c>
      <c r="CD129" s="499" t="s">
        <v>185</v>
      </c>
      <c r="CE129" s="499" t="s">
        <v>185</v>
      </c>
      <c r="CF129" s="499" t="s">
        <v>185</v>
      </c>
      <c r="CG129" s="499" t="s">
        <v>185</v>
      </c>
      <c r="CH129" s="499" t="s">
        <v>185</v>
      </c>
      <c r="CI129" s="499" t="s">
        <v>185</v>
      </c>
    </row>
    <row r="130" spans="1:87">
      <c r="B130" s="6" t="s">
        <v>186</v>
      </c>
      <c r="C130" s="6" t="s">
        <v>75</v>
      </c>
      <c r="D130" s="6" t="s">
        <v>34</v>
      </c>
      <c r="E130" s="6" t="s">
        <v>35</v>
      </c>
      <c r="F130" s="6" t="s">
        <v>36</v>
      </c>
      <c r="G130" s="6" t="s">
        <v>37</v>
      </c>
      <c r="H130" s="6" t="s">
        <v>38</v>
      </c>
      <c r="I130" s="6" t="s">
        <v>39</v>
      </c>
      <c r="J130" s="6" t="s">
        <v>40</v>
      </c>
      <c r="K130" s="6" t="s">
        <v>41</v>
      </c>
      <c r="L130" s="6" t="s">
        <v>42</v>
      </c>
      <c r="M130" s="6" t="s">
        <v>43</v>
      </c>
      <c r="N130" s="6" t="s">
        <v>44</v>
      </c>
      <c r="O130" s="6" t="s">
        <v>45</v>
      </c>
      <c r="P130" s="6" t="s">
        <v>34</v>
      </c>
      <c r="Q130" s="6" t="s">
        <v>35</v>
      </c>
      <c r="R130" s="6" t="s">
        <v>36</v>
      </c>
      <c r="S130" s="6" t="s">
        <v>37</v>
      </c>
      <c r="T130" s="6" t="s">
        <v>38</v>
      </c>
      <c r="U130" s="6" t="s">
        <v>39</v>
      </c>
      <c r="V130" s="6" t="s">
        <v>40</v>
      </c>
      <c r="W130" s="6" t="s">
        <v>41</v>
      </c>
      <c r="X130" s="6" t="s">
        <v>42</v>
      </c>
      <c r="Y130" s="6" t="s">
        <v>43</v>
      </c>
      <c r="Z130" s="6" t="s">
        <v>44</v>
      </c>
      <c r="AA130" s="6" t="s">
        <v>45</v>
      </c>
      <c r="AB130" s="6" t="s">
        <v>34</v>
      </c>
      <c r="AC130" s="6" t="s">
        <v>35</v>
      </c>
      <c r="AD130" s="6" t="s">
        <v>36</v>
      </c>
      <c r="AE130" s="6" t="s">
        <v>37</v>
      </c>
      <c r="AF130" s="6" t="s">
        <v>38</v>
      </c>
      <c r="AG130" s="6" t="s">
        <v>39</v>
      </c>
      <c r="AH130" s="6" t="s">
        <v>40</v>
      </c>
      <c r="AI130" s="6" t="s">
        <v>41</v>
      </c>
      <c r="AJ130" s="6" t="s">
        <v>42</v>
      </c>
      <c r="AK130" s="6" t="s">
        <v>43</v>
      </c>
      <c r="AL130" s="6" t="s">
        <v>44</v>
      </c>
      <c r="AM130" s="6" t="s">
        <v>45</v>
      </c>
      <c r="AN130" s="6" t="s">
        <v>34</v>
      </c>
      <c r="AO130" s="6" t="s">
        <v>35</v>
      </c>
      <c r="AP130" s="6" t="s">
        <v>36</v>
      </c>
      <c r="AQ130" s="6" t="s">
        <v>37</v>
      </c>
      <c r="AR130" s="6" t="s">
        <v>38</v>
      </c>
      <c r="AS130" s="6" t="s">
        <v>39</v>
      </c>
      <c r="AT130" s="6" t="s">
        <v>40</v>
      </c>
      <c r="AU130" s="6" t="s">
        <v>41</v>
      </c>
      <c r="AV130" s="6" t="s">
        <v>42</v>
      </c>
      <c r="AW130" s="6" t="s">
        <v>43</v>
      </c>
      <c r="AX130" s="6" t="s">
        <v>44</v>
      </c>
      <c r="AY130" s="6" t="s">
        <v>45</v>
      </c>
      <c r="AZ130" s="6" t="s">
        <v>34</v>
      </c>
      <c r="BA130" s="6" t="s">
        <v>35</v>
      </c>
      <c r="BB130" s="6" t="s">
        <v>36</v>
      </c>
      <c r="BC130" s="6" t="s">
        <v>37</v>
      </c>
      <c r="BD130" s="6" t="s">
        <v>38</v>
      </c>
      <c r="BE130" s="6" t="s">
        <v>39</v>
      </c>
      <c r="BF130" s="6" t="s">
        <v>40</v>
      </c>
      <c r="BG130" s="6" t="s">
        <v>41</v>
      </c>
      <c r="BH130" s="6" t="s">
        <v>42</v>
      </c>
      <c r="BI130" s="6" t="s">
        <v>43</v>
      </c>
      <c r="BJ130" s="6" t="s">
        <v>44</v>
      </c>
      <c r="BK130" s="6" t="s">
        <v>45</v>
      </c>
      <c r="BL130" s="6" t="s">
        <v>34</v>
      </c>
      <c r="BM130" s="6" t="s">
        <v>35</v>
      </c>
      <c r="BN130" s="6" t="s">
        <v>36</v>
      </c>
      <c r="BO130" s="6" t="s">
        <v>37</v>
      </c>
      <c r="BP130" s="6" t="s">
        <v>38</v>
      </c>
      <c r="BQ130" s="6" t="s">
        <v>39</v>
      </c>
      <c r="BR130" s="6" t="s">
        <v>40</v>
      </c>
      <c r="BS130" s="6" t="s">
        <v>41</v>
      </c>
      <c r="BT130" s="6" t="s">
        <v>42</v>
      </c>
      <c r="BU130" s="6" t="s">
        <v>43</v>
      </c>
      <c r="BV130" s="6" t="s">
        <v>44</v>
      </c>
      <c r="BW130" s="6" t="s">
        <v>45</v>
      </c>
      <c r="BX130" s="6" t="s">
        <v>34</v>
      </c>
      <c r="BY130" s="6" t="s">
        <v>35</v>
      </c>
      <c r="BZ130" s="6" t="s">
        <v>36</v>
      </c>
      <c r="CA130" s="6" t="s">
        <v>37</v>
      </c>
      <c r="CB130" s="6" t="s">
        <v>38</v>
      </c>
      <c r="CC130" s="6" t="s">
        <v>39</v>
      </c>
      <c r="CD130" s="6" t="s">
        <v>40</v>
      </c>
      <c r="CE130" s="6" t="s">
        <v>41</v>
      </c>
      <c r="CF130" s="6" t="s">
        <v>42</v>
      </c>
      <c r="CG130" s="6" t="s">
        <v>43</v>
      </c>
      <c r="CH130" s="6" t="s">
        <v>44</v>
      </c>
      <c r="CI130" s="6" t="s">
        <v>45</v>
      </c>
    </row>
    <row r="131" spans="1:87">
      <c r="B131" s="499" t="s">
        <v>187</v>
      </c>
      <c r="C131" s="499" t="s">
        <v>188</v>
      </c>
      <c r="D131" s="7">
        <v>1</v>
      </c>
      <c r="E131" s="7">
        <v>1</v>
      </c>
      <c r="F131" s="7">
        <v>1</v>
      </c>
      <c r="G131" s="7">
        <v>1</v>
      </c>
      <c r="H131" s="7">
        <v>1</v>
      </c>
      <c r="I131" s="7">
        <v>1</v>
      </c>
      <c r="J131" s="7">
        <v>1</v>
      </c>
      <c r="K131" s="7">
        <v>1</v>
      </c>
      <c r="L131" s="7">
        <v>1</v>
      </c>
      <c r="M131" s="7">
        <v>1</v>
      </c>
      <c r="N131" s="7">
        <v>1</v>
      </c>
      <c r="O131" s="7">
        <v>1</v>
      </c>
      <c r="P131" s="7">
        <v>0</v>
      </c>
      <c r="Q131" s="7">
        <v>0</v>
      </c>
      <c r="R131" s="7">
        <v>0</v>
      </c>
      <c r="S131" s="7">
        <v>0</v>
      </c>
      <c r="T131" s="7">
        <v>0</v>
      </c>
      <c r="U131" s="7">
        <v>0</v>
      </c>
      <c r="V131" s="7">
        <v>0</v>
      </c>
      <c r="W131" s="7">
        <v>0</v>
      </c>
      <c r="X131" s="7">
        <v>0</v>
      </c>
      <c r="Y131" s="7">
        <v>0</v>
      </c>
      <c r="Z131" s="7">
        <v>0</v>
      </c>
      <c r="AA131" s="7">
        <v>0</v>
      </c>
      <c r="AB131" s="7">
        <v>0</v>
      </c>
      <c r="AC131" s="7">
        <v>0</v>
      </c>
      <c r="AD131" s="7">
        <v>0</v>
      </c>
      <c r="AE131" s="7">
        <v>0</v>
      </c>
      <c r="AF131" s="7">
        <v>0</v>
      </c>
      <c r="AG131" s="7">
        <v>0</v>
      </c>
      <c r="AH131" s="7">
        <v>0</v>
      </c>
      <c r="AI131" s="7">
        <v>0</v>
      </c>
      <c r="AJ131" s="7">
        <v>0</v>
      </c>
      <c r="AK131" s="7">
        <v>0</v>
      </c>
      <c r="AL131" s="7">
        <v>0</v>
      </c>
      <c r="AM131" s="7">
        <v>0</v>
      </c>
      <c r="AN131" s="7">
        <v>0</v>
      </c>
      <c r="AO131" s="7">
        <v>0</v>
      </c>
      <c r="AP131" s="7">
        <v>0</v>
      </c>
      <c r="AQ131" s="7">
        <v>0</v>
      </c>
      <c r="AR131" s="7">
        <v>0</v>
      </c>
      <c r="AS131" s="7">
        <v>0</v>
      </c>
      <c r="AT131" s="7">
        <v>0</v>
      </c>
      <c r="AU131" s="7">
        <v>0</v>
      </c>
      <c r="AV131" s="7">
        <v>0</v>
      </c>
      <c r="AW131" s="7">
        <v>0</v>
      </c>
      <c r="AX131" s="7">
        <v>0</v>
      </c>
      <c r="AY131" s="7">
        <v>0</v>
      </c>
      <c r="AZ131" s="7">
        <v>0</v>
      </c>
      <c r="BA131" s="7">
        <v>0</v>
      </c>
      <c r="BB131" s="7">
        <v>0</v>
      </c>
      <c r="BC131" s="7">
        <v>0</v>
      </c>
      <c r="BD131" s="7">
        <v>0</v>
      </c>
      <c r="BE131" s="7">
        <v>0</v>
      </c>
      <c r="BF131" s="7">
        <v>0</v>
      </c>
      <c r="BG131" s="7">
        <v>0</v>
      </c>
      <c r="BH131" s="7">
        <v>0</v>
      </c>
      <c r="BI131" s="7">
        <v>0</v>
      </c>
      <c r="BJ131" s="7">
        <v>0</v>
      </c>
      <c r="BK131" s="7">
        <v>0</v>
      </c>
      <c r="BL131" s="7">
        <v>1</v>
      </c>
      <c r="BM131" s="7">
        <v>1</v>
      </c>
      <c r="BN131" s="7">
        <v>1</v>
      </c>
      <c r="BO131" s="7">
        <v>1</v>
      </c>
      <c r="BP131" s="7">
        <v>1</v>
      </c>
      <c r="BQ131" s="7">
        <v>1</v>
      </c>
      <c r="BR131" s="7">
        <v>1</v>
      </c>
      <c r="BS131" s="7">
        <v>1</v>
      </c>
      <c r="BT131" s="7">
        <v>1</v>
      </c>
      <c r="BU131" s="7">
        <v>1</v>
      </c>
      <c r="BV131" s="7">
        <v>1</v>
      </c>
      <c r="BW131" s="7">
        <v>1</v>
      </c>
      <c r="BX131" s="7">
        <v>0</v>
      </c>
      <c r="BY131" s="7">
        <v>0</v>
      </c>
      <c r="BZ131" s="7">
        <v>0</v>
      </c>
      <c r="CA131" s="7">
        <v>0</v>
      </c>
      <c r="CB131" s="7">
        <v>0</v>
      </c>
      <c r="CC131" s="7">
        <v>0</v>
      </c>
      <c r="CD131" s="7">
        <v>0</v>
      </c>
      <c r="CE131" s="7">
        <v>0</v>
      </c>
      <c r="CF131" s="7">
        <v>0</v>
      </c>
      <c r="CG131" s="7">
        <v>0</v>
      </c>
      <c r="CH131" s="7">
        <v>0</v>
      </c>
      <c r="CI131" s="7">
        <v>0</v>
      </c>
    </row>
    <row r="132" spans="1:87">
      <c r="B132" s="499" t="s">
        <v>82</v>
      </c>
      <c r="C132" s="499" t="s">
        <v>67</v>
      </c>
      <c r="D132" s="7">
        <v>1</v>
      </c>
      <c r="E132" s="7">
        <v>1</v>
      </c>
      <c r="F132" s="7">
        <v>1</v>
      </c>
      <c r="G132" s="7">
        <v>1</v>
      </c>
      <c r="H132" s="7">
        <v>1</v>
      </c>
      <c r="I132" s="7">
        <v>1</v>
      </c>
      <c r="J132" s="7">
        <v>1</v>
      </c>
      <c r="K132" s="7">
        <v>1</v>
      </c>
      <c r="L132" s="7">
        <v>1</v>
      </c>
      <c r="M132" s="7">
        <v>1</v>
      </c>
      <c r="N132" s="7">
        <v>1</v>
      </c>
      <c r="O132" s="7">
        <v>1</v>
      </c>
      <c r="P132" s="7">
        <v>0</v>
      </c>
      <c r="Q132" s="7">
        <v>0</v>
      </c>
      <c r="R132" s="7">
        <v>0</v>
      </c>
      <c r="S132" s="7">
        <v>0</v>
      </c>
      <c r="T132" s="7">
        <v>0</v>
      </c>
      <c r="U132" s="7">
        <v>0</v>
      </c>
      <c r="V132" s="7">
        <v>0</v>
      </c>
      <c r="W132" s="7">
        <v>0</v>
      </c>
      <c r="X132" s="7">
        <v>0</v>
      </c>
      <c r="Y132" s="7">
        <v>0</v>
      </c>
      <c r="Z132" s="7">
        <v>0</v>
      </c>
      <c r="AA132" s="7">
        <v>0</v>
      </c>
      <c r="AB132" s="7">
        <v>0</v>
      </c>
      <c r="AC132" s="7">
        <v>0</v>
      </c>
      <c r="AD132" s="7">
        <v>0</v>
      </c>
      <c r="AE132" s="7">
        <v>0</v>
      </c>
      <c r="AF132" s="7">
        <v>0</v>
      </c>
      <c r="AG132" s="7">
        <v>0</v>
      </c>
      <c r="AH132" s="7">
        <v>0</v>
      </c>
      <c r="AI132" s="7">
        <v>0</v>
      </c>
      <c r="AJ132" s="7">
        <v>0</v>
      </c>
      <c r="AK132" s="7">
        <v>0</v>
      </c>
      <c r="AL132" s="7">
        <v>0</v>
      </c>
      <c r="AM132" s="7">
        <v>0</v>
      </c>
      <c r="AN132" s="7">
        <v>0</v>
      </c>
      <c r="AO132" s="7">
        <v>0</v>
      </c>
      <c r="AP132" s="7">
        <v>0</v>
      </c>
      <c r="AQ132" s="7">
        <v>0</v>
      </c>
      <c r="AR132" s="7">
        <v>0</v>
      </c>
      <c r="AS132" s="7">
        <v>0</v>
      </c>
      <c r="AT132" s="7">
        <v>0</v>
      </c>
      <c r="AU132" s="7">
        <v>0</v>
      </c>
      <c r="AV132" s="7">
        <v>0</v>
      </c>
      <c r="AW132" s="7">
        <v>0</v>
      </c>
      <c r="AX132" s="7">
        <v>0</v>
      </c>
      <c r="AY132" s="7">
        <v>0</v>
      </c>
      <c r="AZ132" s="7">
        <v>0</v>
      </c>
      <c r="BA132" s="7">
        <v>0</v>
      </c>
      <c r="BB132" s="7">
        <v>0</v>
      </c>
      <c r="BC132" s="7">
        <v>0</v>
      </c>
      <c r="BD132" s="7">
        <v>0</v>
      </c>
      <c r="BE132" s="7">
        <v>0</v>
      </c>
      <c r="BF132" s="7">
        <v>0</v>
      </c>
      <c r="BG132" s="7">
        <v>0</v>
      </c>
      <c r="BH132" s="7">
        <v>0</v>
      </c>
      <c r="BI132" s="7">
        <v>0</v>
      </c>
      <c r="BJ132" s="7">
        <v>0</v>
      </c>
      <c r="BK132" s="7">
        <v>0</v>
      </c>
      <c r="BL132" s="7">
        <v>1</v>
      </c>
      <c r="BM132" s="7">
        <v>1</v>
      </c>
      <c r="BN132" s="7">
        <v>1</v>
      </c>
      <c r="BO132" s="7">
        <v>1</v>
      </c>
      <c r="BP132" s="7">
        <v>1</v>
      </c>
      <c r="BQ132" s="7">
        <v>1</v>
      </c>
      <c r="BR132" s="7">
        <v>1</v>
      </c>
      <c r="BS132" s="7">
        <v>1</v>
      </c>
      <c r="BT132" s="7">
        <v>1</v>
      </c>
      <c r="BU132" s="7">
        <v>1</v>
      </c>
      <c r="BV132" s="7">
        <v>1</v>
      </c>
      <c r="BW132" s="7">
        <v>1</v>
      </c>
      <c r="BX132" s="7">
        <v>0</v>
      </c>
      <c r="BY132" s="7">
        <v>0</v>
      </c>
      <c r="BZ132" s="7">
        <v>0</v>
      </c>
      <c r="CA132" s="7">
        <v>0</v>
      </c>
      <c r="CB132" s="7">
        <v>0</v>
      </c>
      <c r="CC132" s="7">
        <v>0</v>
      </c>
      <c r="CD132" s="7">
        <v>0</v>
      </c>
      <c r="CE132" s="7">
        <v>0</v>
      </c>
      <c r="CF132" s="7">
        <v>0</v>
      </c>
      <c r="CG132" s="7">
        <v>0</v>
      </c>
      <c r="CH132" s="7">
        <v>0</v>
      </c>
      <c r="CI132" s="7">
        <v>0</v>
      </c>
    </row>
    <row r="133" spans="1:87">
      <c r="B133" s="499" t="s">
        <v>84</v>
      </c>
      <c r="C133" s="499" t="s">
        <v>63</v>
      </c>
      <c r="D133" s="7">
        <v>1</v>
      </c>
      <c r="E133" s="7">
        <v>1</v>
      </c>
      <c r="F133" s="7">
        <v>1</v>
      </c>
      <c r="G133" s="7">
        <v>1</v>
      </c>
      <c r="H133" s="7">
        <v>1</v>
      </c>
      <c r="I133" s="7">
        <v>1</v>
      </c>
      <c r="J133" s="7">
        <v>1</v>
      </c>
      <c r="K133" s="7">
        <v>1</v>
      </c>
      <c r="L133" s="7">
        <v>1</v>
      </c>
      <c r="M133" s="7">
        <v>1</v>
      </c>
      <c r="N133" s="7">
        <v>1</v>
      </c>
      <c r="O133" s="7">
        <v>1</v>
      </c>
      <c r="P133" s="7">
        <v>0</v>
      </c>
      <c r="Q133" s="7">
        <v>0</v>
      </c>
      <c r="R133" s="7">
        <v>0</v>
      </c>
      <c r="S133" s="7">
        <v>0</v>
      </c>
      <c r="T133" s="7">
        <v>0</v>
      </c>
      <c r="U133" s="7">
        <v>0</v>
      </c>
      <c r="V133" s="7">
        <v>0</v>
      </c>
      <c r="W133" s="7">
        <v>0</v>
      </c>
      <c r="X133" s="7">
        <v>0</v>
      </c>
      <c r="Y133" s="7">
        <v>0</v>
      </c>
      <c r="Z133" s="7">
        <v>0</v>
      </c>
      <c r="AA133" s="7">
        <v>0</v>
      </c>
      <c r="AB133" s="7">
        <v>0</v>
      </c>
      <c r="AC133" s="7">
        <v>0</v>
      </c>
      <c r="AD133" s="7">
        <v>0</v>
      </c>
      <c r="AE133" s="7">
        <v>0</v>
      </c>
      <c r="AF133" s="7">
        <v>0</v>
      </c>
      <c r="AG133" s="7">
        <v>0</v>
      </c>
      <c r="AH133" s="7">
        <v>0</v>
      </c>
      <c r="AI133" s="7">
        <v>0</v>
      </c>
      <c r="AJ133" s="7">
        <v>0</v>
      </c>
      <c r="AK133" s="7">
        <v>0</v>
      </c>
      <c r="AL133" s="7">
        <v>0</v>
      </c>
      <c r="AM133" s="7">
        <v>0</v>
      </c>
      <c r="AN133" s="7">
        <v>0</v>
      </c>
      <c r="AO133" s="7">
        <v>0</v>
      </c>
      <c r="AP133" s="7">
        <v>0</v>
      </c>
      <c r="AQ133" s="7">
        <v>0</v>
      </c>
      <c r="AR133" s="7">
        <v>0</v>
      </c>
      <c r="AS133" s="7">
        <v>0</v>
      </c>
      <c r="AT133" s="7">
        <v>0</v>
      </c>
      <c r="AU133" s="7">
        <v>0</v>
      </c>
      <c r="AV133" s="7">
        <v>0</v>
      </c>
      <c r="AW133" s="7">
        <v>0</v>
      </c>
      <c r="AX133" s="7">
        <v>0</v>
      </c>
      <c r="AY133" s="7">
        <v>0</v>
      </c>
      <c r="AZ133" s="7">
        <v>0</v>
      </c>
      <c r="BA133" s="7">
        <v>0</v>
      </c>
      <c r="BB133" s="7">
        <v>0</v>
      </c>
      <c r="BC133" s="7">
        <v>0</v>
      </c>
      <c r="BD133" s="7">
        <v>0</v>
      </c>
      <c r="BE133" s="7">
        <v>0</v>
      </c>
      <c r="BF133" s="7">
        <v>0</v>
      </c>
      <c r="BG133" s="7">
        <v>0</v>
      </c>
      <c r="BH133" s="7">
        <v>0</v>
      </c>
      <c r="BI133" s="7">
        <v>0</v>
      </c>
      <c r="BJ133" s="7">
        <v>0</v>
      </c>
      <c r="BK133" s="7">
        <v>0</v>
      </c>
      <c r="BL133" s="7">
        <v>1</v>
      </c>
      <c r="BM133" s="7">
        <v>1</v>
      </c>
      <c r="BN133" s="7">
        <v>1</v>
      </c>
      <c r="BO133" s="7">
        <v>1</v>
      </c>
      <c r="BP133" s="7">
        <v>1</v>
      </c>
      <c r="BQ133" s="7">
        <v>1</v>
      </c>
      <c r="BR133" s="7">
        <v>1</v>
      </c>
      <c r="BS133" s="7">
        <v>1</v>
      </c>
      <c r="BT133" s="7">
        <v>1</v>
      </c>
      <c r="BU133" s="7">
        <v>1</v>
      </c>
      <c r="BV133" s="7">
        <v>1</v>
      </c>
      <c r="BW133" s="7">
        <v>1</v>
      </c>
      <c r="BX133" s="7">
        <v>0</v>
      </c>
      <c r="BY133" s="7">
        <v>0</v>
      </c>
      <c r="BZ133" s="7">
        <v>0</v>
      </c>
      <c r="CA133" s="7">
        <v>0</v>
      </c>
      <c r="CB133" s="7">
        <v>0</v>
      </c>
      <c r="CC133" s="7">
        <v>0</v>
      </c>
      <c r="CD133" s="7">
        <v>0</v>
      </c>
      <c r="CE133" s="7">
        <v>0</v>
      </c>
      <c r="CF133" s="7">
        <v>0</v>
      </c>
      <c r="CG133" s="7">
        <v>0</v>
      </c>
      <c r="CH133" s="7">
        <v>0</v>
      </c>
      <c r="CI133" s="7">
        <v>0</v>
      </c>
    </row>
    <row r="134" spans="1:87">
      <c r="B134" s="499" t="s">
        <v>86</v>
      </c>
      <c r="C134" s="499" t="s">
        <v>64</v>
      </c>
      <c r="D134" s="7">
        <v>1</v>
      </c>
      <c r="E134" s="7">
        <v>1</v>
      </c>
      <c r="F134" s="7">
        <v>1</v>
      </c>
      <c r="G134" s="7">
        <v>1</v>
      </c>
      <c r="H134" s="7">
        <v>1</v>
      </c>
      <c r="I134" s="7">
        <v>1</v>
      </c>
      <c r="J134" s="7">
        <v>1</v>
      </c>
      <c r="K134" s="7">
        <v>1</v>
      </c>
      <c r="L134" s="7">
        <v>1</v>
      </c>
      <c r="M134" s="7">
        <v>1</v>
      </c>
      <c r="N134" s="7">
        <v>1</v>
      </c>
      <c r="O134" s="7">
        <v>1</v>
      </c>
      <c r="P134" s="7">
        <v>0</v>
      </c>
      <c r="Q134" s="7">
        <v>0</v>
      </c>
      <c r="R134" s="7">
        <v>0</v>
      </c>
      <c r="S134" s="7">
        <v>0</v>
      </c>
      <c r="T134" s="7">
        <v>0</v>
      </c>
      <c r="U134" s="7">
        <v>0</v>
      </c>
      <c r="V134" s="7">
        <v>0</v>
      </c>
      <c r="W134" s="7">
        <v>0</v>
      </c>
      <c r="X134" s="7">
        <v>0</v>
      </c>
      <c r="Y134" s="7">
        <v>0</v>
      </c>
      <c r="Z134" s="7">
        <v>0</v>
      </c>
      <c r="AA134" s="7">
        <v>0</v>
      </c>
      <c r="AB134" s="7">
        <v>0</v>
      </c>
      <c r="AC134" s="7">
        <v>0</v>
      </c>
      <c r="AD134" s="7">
        <v>0</v>
      </c>
      <c r="AE134" s="7">
        <v>0</v>
      </c>
      <c r="AF134" s="7">
        <v>0</v>
      </c>
      <c r="AG134" s="7">
        <v>0</v>
      </c>
      <c r="AH134" s="7">
        <v>0</v>
      </c>
      <c r="AI134" s="7">
        <v>0</v>
      </c>
      <c r="AJ134" s="7">
        <v>0</v>
      </c>
      <c r="AK134" s="7">
        <v>0</v>
      </c>
      <c r="AL134" s="7">
        <v>0</v>
      </c>
      <c r="AM134" s="7">
        <v>0</v>
      </c>
      <c r="AN134" s="7">
        <v>0</v>
      </c>
      <c r="AO134" s="7">
        <v>0</v>
      </c>
      <c r="AP134" s="7">
        <v>0</v>
      </c>
      <c r="AQ134" s="7">
        <v>0</v>
      </c>
      <c r="AR134" s="7">
        <v>0</v>
      </c>
      <c r="AS134" s="7">
        <v>0</v>
      </c>
      <c r="AT134" s="7">
        <v>0</v>
      </c>
      <c r="AU134" s="7">
        <v>0</v>
      </c>
      <c r="AV134" s="7">
        <v>0</v>
      </c>
      <c r="AW134" s="7">
        <v>0</v>
      </c>
      <c r="AX134" s="7">
        <v>0</v>
      </c>
      <c r="AY134" s="7">
        <v>0</v>
      </c>
      <c r="AZ134" s="7">
        <v>0</v>
      </c>
      <c r="BA134" s="7">
        <v>0</v>
      </c>
      <c r="BB134" s="7">
        <v>0</v>
      </c>
      <c r="BC134" s="7">
        <v>0</v>
      </c>
      <c r="BD134" s="7">
        <v>0</v>
      </c>
      <c r="BE134" s="7">
        <v>0</v>
      </c>
      <c r="BF134" s="7">
        <v>0</v>
      </c>
      <c r="BG134" s="7">
        <v>0</v>
      </c>
      <c r="BH134" s="7">
        <v>0</v>
      </c>
      <c r="BI134" s="7">
        <v>0</v>
      </c>
      <c r="BJ134" s="7">
        <v>0</v>
      </c>
      <c r="BK134" s="7">
        <v>0</v>
      </c>
      <c r="BL134" s="7">
        <v>1</v>
      </c>
      <c r="BM134" s="7">
        <v>1</v>
      </c>
      <c r="BN134" s="7">
        <v>1</v>
      </c>
      <c r="BO134" s="7">
        <v>1</v>
      </c>
      <c r="BP134" s="7">
        <v>1</v>
      </c>
      <c r="BQ134" s="7">
        <v>1</v>
      </c>
      <c r="BR134" s="7">
        <v>1</v>
      </c>
      <c r="BS134" s="7">
        <v>1</v>
      </c>
      <c r="BT134" s="7">
        <v>1</v>
      </c>
      <c r="BU134" s="7">
        <v>1</v>
      </c>
      <c r="BV134" s="7">
        <v>1</v>
      </c>
      <c r="BW134" s="7">
        <v>1</v>
      </c>
      <c r="BX134" s="7">
        <v>0</v>
      </c>
      <c r="BY134" s="7">
        <v>0</v>
      </c>
      <c r="BZ134" s="7">
        <v>0</v>
      </c>
      <c r="CA134" s="7">
        <v>0</v>
      </c>
      <c r="CB134" s="7">
        <v>0</v>
      </c>
      <c r="CC134" s="7">
        <v>0</v>
      </c>
      <c r="CD134" s="7">
        <v>0</v>
      </c>
      <c r="CE134" s="7">
        <v>0</v>
      </c>
      <c r="CF134" s="7">
        <v>0</v>
      </c>
      <c r="CG134" s="7">
        <v>0</v>
      </c>
      <c r="CH134" s="7">
        <v>0</v>
      </c>
      <c r="CI134" s="7">
        <v>0</v>
      </c>
    </row>
    <row r="135" spans="1:87">
      <c r="B135" s="499" t="s">
        <v>88</v>
      </c>
      <c r="C135" s="499" t="s">
        <v>65</v>
      </c>
      <c r="D135" s="7">
        <v>1</v>
      </c>
      <c r="E135" s="7">
        <v>1</v>
      </c>
      <c r="F135" s="7">
        <v>1</v>
      </c>
      <c r="G135" s="7">
        <v>1</v>
      </c>
      <c r="H135" s="7">
        <v>1</v>
      </c>
      <c r="I135" s="7">
        <v>1</v>
      </c>
      <c r="J135" s="7">
        <v>1</v>
      </c>
      <c r="K135" s="7">
        <v>1</v>
      </c>
      <c r="L135" s="7">
        <v>1</v>
      </c>
      <c r="M135" s="7">
        <v>1</v>
      </c>
      <c r="N135" s="7">
        <v>1</v>
      </c>
      <c r="O135" s="7">
        <v>1</v>
      </c>
      <c r="P135" s="7">
        <v>0</v>
      </c>
      <c r="Q135" s="7">
        <v>0</v>
      </c>
      <c r="R135" s="7">
        <v>0</v>
      </c>
      <c r="S135" s="7">
        <v>0</v>
      </c>
      <c r="T135" s="7">
        <v>0</v>
      </c>
      <c r="U135" s="7">
        <v>0</v>
      </c>
      <c r="V135" s="7">
        <v>0</v>
      </c>
      <c r="W135" s="7">
        <v>0</v>
      </c>
      <c r="X135" s="7">
        <v>0</v>
      </c>
      <c r="Y135" s="7">
        <v>0</v>
      </c>
      <c r="Z135" s="7">
        <v>0</v>
      </c>
      <c r="AA135" s="7">
        <v>0</v>
      </c>
      <c r="AB135" s="7">
        <v>0</v>
      </c>
      <c r="AC135" s="7">
        <v>0</v>
      </c>
      <c r="AD135" s="7">
        <v>0</v>
      </c>
      <c r="AE135" s="7">
        <v>0</v>
      </c>
      <c r="AF135" s="7">
        <v>0</v>
      </c>
      <c r="AG135" s="7">
        <v>0</v>
      </c>
      <c r="AH135" s="7">
        <v>0</v>
      </c>
      <c r="AI135" s="7">
        <v>0</v>
      </c>
      <c r="AJ135" s="7">
        <v>0</v>
      </c>
      <c r="AK135" s="7">
        <v>0</v>
      </c>
      <c r="AL135" s="7">
        <v>0</v>
      </c>
      <c r="AM135" s="7">
        <v>0</v>
      </c>
      <c r="AN135" s="7">
        <v>0</v>
      </c>
      <c r="AO135" s="7">
        <v>0</v>
      </c>
      <c r="AP135" s="7">
        <v>0</v>
      </c>
      <c r="AQ135" s="7">
        <v>0</v>
      </c>
      <c r="AR135" s="7">
        <v>0</v>
      </c>
      <c r="AS135" s="7">
        <v>0</v>
      </c>
      <c r="AT135" s="7">
        <v>0</v>
      </c>
      <c r="AU135" s="7">
        <v>0</v>
      </c>
      <c r="AV135" s="7">
        <v>0</v>
      </c>
      <c r="AW135" s="7">
        <v>0</v>
      </c>
      <c r="AX135" s="7">
        <v>0</v>
      </c>
      <c r="AY135" s="7">
        <v>0</v>
      </c>
      <c r="AZ135" s="7">
        <v>0</v>
      </c>
      <c r="BA135" s="7">
        <v>0</v>
      </c>
      <c r="BB135" s="7">
        <v>0</v>
      </c>
      <c r="BC135" s="7">
        <v>0</v>
      </c>
      <c r="BD135" s="7">
        <v>0</v>
      </c>
      <c r="BE135" s="7">
        <v>0</v>
      </c>
      <c r="BF135" s="7">
        <v>0</v>
      </c>
      <c r="BG135" s="7">
        <v>0</v>
      </c>
      <c r="BH135" s="7">
        <v>0</v>
      </c>
      <c r="BI135" s="7">
        <v>0</v>
      </c>
      <c r="BJ135" s="7">
        <v>0</v>
      </c>
      <c r="BK135" s="7">
        <v>0</v>
      </c>
      <c r="BL135" s="7">
        <v>1</v>
      </c>
      <c r="BM135" s="7">
        <v>1</v>
      </c>
      <c r="BN135" s="7">
        <v>1</v>
      </c>
      <c r="BO135" s="7">
        <v>1</v>
      </c>
      <c r="BP135" s="7">
        <v>1</v>
      </c>
      <c r="BQ135" s="7">
        <v>1</v>
      </c>
      <c r="BR135" s="7">
        <v>1</v>
      </c>
      <c r="BS135" s="7">
        <v>1</v>
      </c>
      <c r="BT135" s="7">
        <v>1</v>
      </c>
      <c r="BU135" s="7">
        <v>1</v>
      </c>
      <c r="BV135" s="7">
        <v>1</v>
      </c>
      <c r="BW135" s="7">
        <v>1</v>
      </c>
      <c r="BX135" s="7">
        <v>0</v>
      </c>
      <c r="BY135" s="7">
        <v>0</v>
      </c>
      <c r="BZ135" s="7">
        <v>0</v>
      </c>
      <c r="CA135" s="7">
        <v>0</v>
      </c>
      <c r="CB135" s="7">
        <v>0</v>
      </c>
      <c r="CC135" s="7">
        <v>0</v>
      </c>
      <c r="CD135" s="7">
        <v>0</v>
      </c>
      <c r="CE135" s="7">
        <v>0</v>
      </c>
      <c r="CF135" s="7">
        <v>0</v>
      </c>
      <c r="CG135" s="7">
        <v>0</v>
      </c>
      <c r="CH135" s="7">
        <v>0</v>
      </c>
      <c r="CI135" s="7">
        <v>0</v>
      </c>
    </row>
    <row r="138" spans="1:87">
      <c r="A138" s="1" t="s">
        <v>189</v>
      </c>
    </row>
    <row r="139" spans="1:87">
      <c r="B139" s="6"/>
      <c r="C139" s="6" t="s">
        <v>190</v>
      </c>
      <c r="D139" s="6" t="s">
        <v>176</v>
      </c>
      <c r="E139" s="6" t="s">
        <v>177</v>
      </c>
      <c r="F139" s="6" t="s">
        <v>178</v>
      </c>
      <c r="G139" s="6" t="s">
        <v>12</v>
      </c>
      <c r="H139" s="6" t="s">
        <v>191</v>
      </c>
      <c r="I139" s="6" t="s">
        <v>192</v>
      </c>
      <c r="K139" s="6" t="s">
        <v>12</v>
      </c>
    </row>
    <row r="140" spans="1:87">
      <c r="B140" s="499" t="s">
        <v>193</v>
      </c>
      <c r="C140" s="426">
        <f>1-S.AdRvr!H5</f>
        <v>0.42407160938437849</v>
      </c>
      <c r="D140" s="7">
        <v>0</v>
      </c>
      <c r="E140" s="7">
        <v>0</v>
      </c>
      <c r="F140" s="7">
        <v>0</v>
      </c>
      <c r="G140" s="416">
        <v>0.127</v>
      </c>
      <c r="H140" s="7">
        <v>0</v>
      </c>
      <c r="I140" s="7">
        <v>0</v>
      </c>
      <c r="K140" s="416">
        <v>0.127</v>
      </c>
      <c r="L140" s="499" t="s">
        <v>846</v>
      </c>
    </row>
    <row r="141" spans="1:87">
      <c r="B141" s="499" t="s">
        <v>194</v>
      </c>
      <c r="C141" s="7">
        <v>0</v>
      </c>
      <c r="D141" s="7">
        <v>0</v>
      </c>
      <c r="E141" s="7">
        <v>0</v>
      </c>
      <c r="F141" s="7">
        <v>0</v>
      </c>
      <c r="G141" s="7">
        <v>0</v>
      </c>
      <c r="H141" s="7">
        <v>0</v>
      </c>
      <c r="I141" s="7">
        <v>0</v>
      </c>
      <c r="K141" s="7">
        <v>0</v>
      </c>
    </row>
    <row r="145" spans="1:12">
      <c r="A145" s="1" t="s">
        <v>195</v>
      </c>
      <c r="B145" s="1"/>
      <c r="C145" s="1"/>
    </row>
    <row r="146" spans="1:12">
      <c r="B146" s="6" t="s">
        <v>196</v>
      </c>
      <c r="C146" s="6"/>
      <c r="D146" s="6"/>
      <c r="E146" s="6"/>
      <c r="F146" s="6"/>
    </row>
    <row r="147" spans="1:12">
      <c r="B147" s="499" t="s">
        <v>63</v>
      </c>
      <c r="C147" s="499" t="s">
        <v>64</v>
      </c>
      <c r="D147" s="499" t="s">
        <v>197</v>
      </c>
      <c r="E147" s="499" t="s">
        <v>66</v>
      </c>
    </row>
    <row r="148" spans="1:12">
      <c r="B148" s="7">
        <v>0</v>
      </c>
      <c r="C148" s="7">
        <v>0</v>
      </c>
      <c r="D148" s="7">
        <v>0</v>
      </c>
      <c r="E148" s="7">
        <v>0</v>
      </c>
    </row>
    <row r="151" spans="1:12">
      <c r="A151" s="1" t="s">
        <v>198</v>
      </c>
    </row>
    <row r="152" spans="1:12">
      <c r="B152" s="6" t="s">
        <v>199</v>
      </c>
      <c r="C152" s="6" t="s">
        <v>200</v>
      </c>
      <c r="D152" s="6" t="s">
        <v>188</v>
      </c>
      <c r="E152" s="6" t="s">
        <v>67</v>
      </c>
      <c r="F152" s="6" t="s">
        <v>63</v>
      </c>
      <c r="G152" s="6" t="s">
        <v>197</v>
      </c>
      <c r="H152" s="6" t="s">
        <v>66</v>
      </c>
      <c r="I152" s="6" t="s">
        <v>201</v>
      </c>
    </row>
    <row r="153" spans="1:12">
      <c r="B153" s="499" t="s">
        <v>202</v>
      </c>
      <c r="C153" s="499" t="s">
        <v>203</v>
      </c>
      <c r="D153" s="7">
        <v>1</v>
      </c>
      <c r="E153" s="7">
        <v>1</v>
      </c>
      <c r="F153" s="7">
        <v>1</v>
      </c>
      <c r="G153" s="7">
        <v>1</v>
      </c>
      <c r="H153" s="7">
        <v>1</v>
      </c>
      <c r="I153" s="7">
        <v>1</v>
      </c>
      <c r="J153" s="5" t="s">
        <v>204</v>
      </c>
      <c r="K153" s="5"/>
      <c r="L153" s="5"/>
    </row>
    <row r="154" spans="1:12">
      <c r="B154" s="499" t="s">
        <v>205</v>
      </c>
      <c r="C154" s="499" t="s">
        <v>206</v>
      </c>
      <c r="D154" s="7">
        <v>1</v>
      </c>
      <c r="E154" s="7">
        <v>1</v>
      </c>
      <c r="F154" s="7">
        <v>1</v>
      </c>
      <c r="G154" s="7">
        <v>1</v>
      </c>
      <c r="H154" s="7">
        <v>1</v>
      </c>
      <c r="I154" s="7">
        <v>1</v>
      </c>
      <c r="J154" s="5" t="s">
        <v>207</v>
      </c>
      <c r="K154" s="5"/>
      <c r="L154" s="5"/>
    </row>
    <row r="155" spans="1:12">
      <c r="B155" s="499" t="s">
        <v>208</v>
      </c>
      <c r="C155" s="499" t="s">
        <v>209</v>
      </c>
      <c r="D155" s="7">
        <v>1</v>
      </c>
      <c r="E155" s="7">
        <v>1</v>
      </c>
      <c r="F155" s="7">
        <v>1</v>
      </c>
      <c r="G155" s="7">
        <v>1</v>
      </c>
      <c r="H155" s="7">
        <v>1</v>
      </c>
      <c r="I155" s="7">
        <v>1</v>
      </c>
      <c r="J155" s="5" t="s">
        <v>210</v>
      </c>
      <c r="K155" s="5"/>
      <c r="L155" s="5"/>
    </row>
    <row r="156" spans="1:12">
      <c r="B156" s="499" t="s">
        <v>211</v>
      </c>
      <c r="C156" s="499" t="s">
        <v>212</v>
      </c>
      <c r="D156" s="7">
        <v>1</v>
      </c>
      <c r="E156" s="7">
        <v>1</v>
      </c>
      <c r="F156" s="7">
        <v>1</v>
      </c>
      <c r="G156" s="7">
        <v>1</v>
      </c>
      <c r="H156" s="7">
        <v>1</v>
      </c>
      <c r="I156" s="7">
        <v>1</v>
      </c>
    </row>
    <row r="157" spans="1:12">
      <c r="B157" s="499" t="s">
        <v>213</v>
      </c>
      <c r="C157" s="499" t="s">
        <v>214</v>
      </c>
      <c r="D157" s="7">
        <v>1</v>
      </c>
      <c r="E157" s="7">
        <v>1</v>
      </c>
      <c r="F157" s="7">
        <v>1</v>
      </c>
      <c r="G157" s="7">
        <v>1</v>
      </c>
      <c r="H157" s="7">
        <v>1</v>
      </c>
      <c r="I157" s="7">
        <v>1</v>
      </c>
    </row>
    <row r="158" spans="1:12">
      <c r="B158" s="499" t="s">
        <v>215</v>
      </c>
      <c r="C158" s="499" t="s">
        <v>216</v>
      </c>
      <c r="D158" s="7">
        <v>1</v>
      </c>
      <c r="E158" s="7">
        <v>1</v>
      </c>
      <c r="F158" s="7">
        <v>1</v>
      </c>
      <c r="G158" s="7">
        <v>1</v>
      </c>
      <c r="H158" s="7">
        <v>1</v>
      </c>
      <c r="I158" s="7">
        <v>1</v>
      </c>
    </row>
    <row r="159" spans="1:12">
      <c r="B159" s="499" t="s">
        <v>217</v>
      </c>
      <c r="C159" s="499" t="s">
        <v>218</v>
      </c>
      <c r="D159" s="7">
        <v>1</v>
      </c>
      <c r="E159" s="7">
        <v>1</v>
      </c>
      <c r="F159" s="7">
        <v>1</v>
      </c>
      <c r="G159" s="7">
        <v>1</v>
      </c>
      <c r="H159" s="7">
        <v>1</v>
      </c>
      <c r="I159" s="7">
        <v>1</v>
      </c>
    </row>
    <row r="160" spans="1:12">
      <c r="B160" s="499" t="s">
        <v>219</v>
      </c>
      <c r="C160" s="499" t="s">
        <v>220</v>
      </c>
      <c r="D160" s="7">
        <v>1</v>
      </c>
      <c r="E160" s="7">
        <v>1</v>
      </c>
      <c r="F160" s="7">
        <v>1</v>
      </c>
      <c r="G160" s="7">
        <v>1</v>
      </c>
      <c r="H160" s="7">
        <v>1</v>
      </c>
      <c r="I160" s="7">
        <v>1</v>
      </c>
    </row>
    <row r="161" spans="1:13">
      <c r="B161" s="499" t="s">
        <v>221</v>
      </c>
      <c r="C161" s="499" t="s">
        <v>222</v>
      </c>
      <c r="D161" s="7">
        <v>1</v>
      </c>
      <c r="E161" s="7">
        <v>1</v>
      </c>
      <c r="F161" s="7">
        <v>1</v>
      </c>
      <c r="G161" s="7">
        <v>1</v>
      </c>
      <c r="H161" s="7">
        <v>1</v>
      </c>
      <c r="I161" s="7">
        <v>1</v>
      </c>
    </row>
    <row r="162" spans="1:13">
      <c r="B162" s="499" t="s">
        <v>223</v>
      </c>
      <c r="C162" s="499" t="s">
        <v>224</v>
      </c>
      <c r="D162" s="7">
        <v>1</v>
      </c>
      <c r="E162" s="7">
        <v>1</v>
      </c>
      <c r="F162" s="7">
        <v>1</v>
      </c>
      <c r="G162" s="7">
        <v>1</v>
      </c>
      <c r="H162" s="7">
        <v>1</v>
      </c>
      <c r="I162" s="7">
        <v>1</v>
      </c>
    </row>
    <row r="163" spans="1:13">
      <c r="B163" s="499" t="s">
        <v>225</v>
      </c>
      <c r="C163" s="499" t="s">
        <v>226</v>
      </c>
      <c r="D163" s="7">
        <v>1</v>
      </c>
      <c r="E163" s="7">
        <v>1</v>
      </c>
      <c r="F163" s="7">
        <v>1</v>
      </c>
      <c r="G163" s="7">
        <v>1</v>
      </c>
      <c r="H163" s="7">
        <v>1</v>
      </c>
      <c r="I163" s="7">
        <v>1</v>
      </c>
    </row>
    <row r="166" spans="1:13">
      <c r="A166" s="1" t="s">
        <v>227</v>
      </c>
      <c r="B166" s="1"/>
      <c r="C166" s="1"/>
      <c r="D166" s="1"/>
      <c r="E166" s="1"/>
    </row>
    <row r="167" spans="1:13">
      <c r="B167" s="13"/>
      <c r="C167" s="13"/>
      <c r="D167" s="13" t="s">
        <v>228</v>
      </c>
      <c r="E167" s="13"/>
      <c r="F167" s="13"/>
      <c r="G167" s="13"/>
      <c r="H167" s="13"/>
      <c r="I167" s="13"/>
      <c r="J167" s="13"/>
      <c r="K167" s="13"/>
      <c r="L167" s="13"/>
      <c r="M167" s="13"/>
    </row>
    <row r="168" spans="1:13">
      <c r="B168" s="6" t="s">
        <v>199</v>
      </c>
      <c r="C168" s="6" t="s">
        <v>200</v>
      </c>
      <c r="D168" s="6">
        <v>1</v>
      </c>
      <c r="E168" s="6">
        <v>2</v>
      </c>
      <c r="F168" s="6">
        <v>3</v>
      </c>
      <c r="G168" s="6">
        <v>4</v>
      </c>
      <c r="H168" s="6">
        <v>5</v>
      </c>
      <c r="I168" s="6">
        <v>6</v>
      </c>
      <c r="J168" s="6">
        <v>7</v>
      </c>
      <c r="K168" s="6">
        <v>8</v>
      </c>
      <c r="L168" s="6">
        <v>9</v>
      </c>
      <c r="M168" s="6">
        <v>10</v>
      </c>
    </row>
    <row r="169" spans="1:13">
      <c r="B169" s="499" t="s">
        <v>202</v>
      </c>
      <c r="C169" s="499" t="s">
        <v>203</v>
      </c>
      <c r="D169" s="267">
        <f>f!C11</f>
        <v>4090.9228635271579</v>
      </c>
      <c r="E169" s="267">
        <f>f!C12</f>
        <v>7021.3100064774535</v>
      </c>
      <c r="F169" s="267">
        <f>f!C13</f>
        <v>10170.074024482548</v>
      </c>
      <c r="G169" s="267">
        <f>f!C13</f>
        <v>10170.074024482548</v>
      </c>
      <c r="H169" s="267">
        <f>f!C13</f>
        <v>10170.074024482548</v>
      </c>
      <c r="I169" s="267">
        <f>f!C13</f>
        <v>10170.074024482548</v>
      </c>
      <c r="J169" s="267">
        <f>f!C13</f>
        <v>10170.074024482548</v>
      </c>
      <c r="K169" s="267">
        <f>f!C13</f>
        <v>10170.074024482548</v>
      </c>
      <c r="L169" s="267">
        <f>f!C13</f>
        <v>10170.074024482548</v>
      </c>
      <c r="M169" s="267">
        <f>f!C13</f>
        <v>10170.074024482548</v>
      </c>
    </row>
    <row r="170" spans="1:13">
      <c r="B170" s="499" t="s">
        <v>205</v>
      </c>
      <c r="C170" s="499" t="s">
        <v>206</v>
      </c>
      <c r="D170" s="7">
        <v>4000</v>
      </c>
      <c r="E170" s="7">
        <v>7000</v>
      </c>
      <c r="F170" s="7">
        <v>10000</v>
      </c>
      <c r="G170" s="7">
        <v>10000</v>
      </c>
      <c r="H170" s="7">
        <v>10000</v>
      </c>
      <c r="I170" s="7">
        <v>10000</v>
      </c>
      <c r="J170" s="7">
        <v>10000</v>
      </c>
      <c r="K170" s="7">
        <v>10000</v>
      </c>
      <c r="L170" s="7">
        <v>10000</v>
      </c>
      <c r="M170" s="7">
        <v>10000</v>
      </c>
    </row>
    <row r="171" spans="1:13">
      <c r="B171" s="499" t="s">
        <v>208</v>
      </c>
      <c r="C171" s="499" t="s">
        <v>209</v>
      </c>
      <c r="D171" s="7">
        <v>4000</v>
      </c>
      <c r="E171" s="7">
        <v>7000</v>
      </c>
      <c r="F171" s="7">
        <v>10000</v>
      </c>
      <c r="G171" s="7">
        <v>10000</v>
      </c>
      <c r="H171" s="7">
        <v>10000</v>
      </c>
      <c r="I171" s="7">
        <v>10000</v>
      </c>
      <c r="J171" s="7">
        <v>10000</v>
      </c>
      <c r="K171" s="7">
        <v>10000</v>
      </c>
      <c r="L171" s="7">
        <v>10000</v>
      </c>
      <c r="M171" s="7">
        <v>10000</v>
      </c>
    </row>
    <row r="172" spans="1:13">
      <c r="B172" s="499" t="s">
        <v>211</v>
      </c>
      <c r="C172" s="499" t="s">
        <v>212</v>
      </c>
      <c r="D172" s="7">
        <v>4000</v>
      </c>
      <c r="E172" s="7">
        <v>7000</v>
      </c>
      <c r="F172" s="7">
        <v>10000</v>
      </c>
      <c r="G172" s="7">
        <v>10000</v>
      </c>
      <c r="H172" s="7">
        <v>10000</v>
      </c>
      <c r="I172" s="7">
        <v>10000</v>
      </c>
      <c r="J172" s="7">
        <v>10000</v>
      </c>
      <c r="K172" s="7">
        <v>10000</v>
      </c>
      <c r="L172" s="7">
        <v>10000</v>
      </c>
      <c r="M172" s="7">
        <v>10000</v>
      </c>
    </row>
    <row r="173" spans="1:13">
      <c r="B173" s="499" t="s">
        <v>213</v>
      </c>
      <c r="C173" s="499" t="s">
        <v>214</v>
      </c>
      <c r="D173" s="7">
        <v>4000</v>
      </c>
      <c r="E173" s="7">
        <v>7000</v>
      </c>
      <c r="F173" s="7">
        <v>10000</v>
      </c>
      <c r="G173" s="7">
        <v>10000</v>
      </c>
      <c r="H173" s="7">
        <v>10000</v>
      </c>
      <c r="I173" s="7">
        <v>10000</v>
      </c>
      <c r="J173" s="7">
        <v>10000</v>
      </c>
      <c r="K173" s="7">
        <v>10000</v>
      </c>
      <c r="L173" s="7">
        <v>10000</v>
      </c>
      <c r="M173" s="7">
        <v>10000</v>
      </c>
    </row>
    <row r="174" spans="1:13">
      <c r="B174" s="499" t="s">
        <v>215</v>
      </c>
      <c r="C174" s="499" t="s">
        <v>216</v>
      </c>
      <c r="D174" s="7">
        <v>4000</v>
      </c>
      <c r="E174" s="7">
        <v>7000</v>
      </c>
      <c r="F174" s="7">
        <v>10000</v>
      </c>
      <c r="G174" s="7">
        <v>10000</v>
      </c>
      <c r="H174" s="7">
        <v>10000</v>
      </c>
      <c r="I174" s="7">
        <v>10000</v>
      </c>
      <c r="J174" s="7">
        <v>10000</v>
      </c>
      <c r="K174" s="7">
        <v>10000</v>
      </c>
      <c r="L174" s="7">
        <v>10000</v>
      </c>
      <c r="M174" s="7">
        <v>10000</v>
      </c>
    </row>
    <row r="175" spans="1:13">
      <c r="B175" s="499" t="s">
        <v>217</v>
      </c>
      <c r="C175" s="499" t="s">
        <v>218</v>
      </c>
      <c r="D175" s="7">
        <v>4000</v>
      </c>
      <c r="E175" s="7">
        <v>7000</v>
      </c>
      <c r="F175" s="7">
        <v>10000</v>
      </c>
      <c r="G175" s="7">
        <v>10000</v>
      </c>
      <c r="H175" s="7">
        <v>10000</v>
      </c>
      <c r="I175" s="7">
        <v>10000</v>
      </c>
      <c r="J175" s="7">
        <v>10000</v>
      </c>
      <c r="K175" s="7">
        <v>10000</v>
      </c>
      <c r="L175" s="7">
        <v>10000</v>
      </c>
      <c r="M175" s="7">
        <v>10000</v>
      </c>
    </row>
    <row r="176" spans="1:13">
      <c r="B176" s="499" t="s">
        <v>219</v>
      </c>
      <c r="C176" s="499" t="s">
        <v>220</v>
      </c>
      <c r="D176" s="7">
        <v>4000</v>
      </c>
      <c r="E176" s="7">
        <v>7000</v>
      </c>
      <c r="F176" s="7">
        <v>10000</v>
      </c>
      <c r="G176" s="7">
        <v>10000</v>
      </c>
      <c r="H176" s="7">
        <v>10000</v>
      </c>
      <c r="I176" s="7">
        <v>10000</v>
      </c>
      <c r="J176" s="7">
        <v>10000</v>
      </c>
      <c r="K176" s="7">
        <v>10000</v>
      </c>
      <c r="L176" s="7">
        <v>10000</v>
      </c>
      <c r="M176" s="7">
        <v>10000</v>
      </c>
    </row>
    <row r="177" spans="1:23">
      <c r="B177" s="499" t="s">
        <v>221</v>
      </c>
      <c r="C177" s="499" t="s">
        <v>222</v>
      </c>
      <c r="D177" s="7">
        <v>4000</v>
      </c>
      <c r="E177" s="7">
        <v>7000</v>
      </c>
      <c r="F177" s="7">
        <v>10000</v>
      </c>
      <c r="G177" s="7">
        <v>10000</v>
      </c>
      <c r="H177" s="7">
        <v>10000</v>
      </c>
      <c r="I177" s="7">
        <v>10000</v>
      </c>
      <c r="J177" s="7">
        <v>10000</v>
      </c>
      <c r="K177" s="7">
        <v>10000</v>
      </c>
      <c r="L177" s="7">
        <v>10000</v>
      </c>
      <c r="M177" s="7">
        <v>10000</v>
      </c>
    </row>
    <row r="178" spans="1:23">
      <c r="B178" s="499" t="s">
        <v>223</v>
      </c>
      <c r="C178" s="499" t="s">
        <v>224</v>
      </c>
      <c r="D178" s="7">
        <v>4000</v>
      </c>
      <c r="E178" s="7">
        <v>7000</v>
      </c>
      <c r="F178" s="7">
        <v>10000</v>
      </c>
      <c r="G178" s="7">
        <v>10000</v>
      </c>
      <c r="H178" s="7">
        <v>10000</v>
      </c>
      <c r="I178" s="7">
        <v>10000</v>
      </c>
      <c r="J178" s="7">
        <v>10000</v>
      </c>
      <c r="K178" s="7">
        <v>10000</v>
      </c>
      <c r="L178" s="7">
        <v>10000</v>
      </c>
      <c r="M178" s="7">
        <v>10000</v>
      </c>
    </row>
    <row r="179" spans="1:23">
      <c r="B179" s="499" t="s">
        <v>225</v>
      </c>
      <c r="C179" s="499" t="s">
        <v>226</v>
      </c>
      <c r="D179" s="7">
        <v>4000</v>
      </c>
      <c r="E179" s="7">
        <v>7000</v>
      </c>
      <c r="F179" s="7">
        <v>10000</v>
      </c>
      <c r="G179" s="7">
        <v>10000</v>
      </c>
      <c r="H179" s="7">
        <v>10000</v>
      </c>
      <c r="I179" s="7">
        <v>10000</v>
      </c>
      <c r="J179" s="7">
        <v>10000</v>
      </c>
      <c r="K179" s="7">
        <v>10000</v>
      </c>
      <c r="L179" s="7">
        <v>10000</v>
      </c>
      <c r="M179" s="7">
        <v>10000</v>
      </c>
    </row>
    <row r="182" spans="1:23">
      <c r="A182" s="1" t="s">
        <v>229</v>
      </c>
      <c r="D182" s="499" t="s">
        <v>230</v>
      </c>
      <c r="E182" s="499" t="s">
        <v>230</v>
      </c>
      <c r="F182" s="499" t="s">
        <v>230</v>
      </c>
      <c r="G182" s="499" t="s">
        <v>230</v>
      </c>
      <c r="H182" s="499" t="s">
        <v>230</v>
      </c>
      <c r="I182" s="499" t="s">
        <v>230</v>
      </c>
      <c r="J182" s="499" t="s">
        <v>230</v>
      </c>
      <c r="K182" s="499" t="s">
        <v>230</v>
      </c>
      <c r="L182" s="499" t="s">
        <v>230</v>
      </c>
      <c r="M182" s="499" t="s">
        <v>230</v>
      </c>
      <c r="N182" s="499" t="s">
        <v>231</v>
      </c>
      <c r="O182" s="499" t="s">
        <v>231</v>
      </c>
      <c r="P182" s="499" t="s">
        <v>231</v>
      </c>
      <c r="Q182" s="499" t="s">
        <v>231</v>
      </c>
      <c r="R182" s="499" t="s">
        <v>231</v>
      </c>
      <c r="S182" s="499" t="s">
        <v>231</v>
      </c>
      <c r="T182" s="499" t="s">
        <v>231</v>
      </c>
      <c r="U182" s="499" t="s">
        <v>231</v>
      </c>
      <c r="V182" s="499" t="s">
        <v>231</v>
      </c>
      <c r="W182" s="499" t="s">
        <v>231</v>
      </c>
    </row>
    <row r="183" spans="1:23">
      <c r="A183" s="14" t="s">
        <v>232</v>
      </c>
      <c r="D183" s="499" t="s">
        <v>233</v>
      </c>
      <c r="N183" s="499" t="s">
        <v>233</v>
      </c>
    </row>
    <row r="184" spans="1:23">
      <c r="B184" s="6" t="s">
        <v>199</v>
      </c>
      <c r="C184" s="6" t="s">
        <v>200</v>
      </c>
      <c r="D184" s="6">
        <v>1</v>
      </c>
      <c r="E184" s="6">
        <v>2</v>
      </c>
      <c r="F184" s="6">
        <v>3</v>
      </c>
      <c r="G184" s="6">
        <v>4</v>
      </c>
      <c r="H184" s="6">
        <v>5</v>
      </c>
      <c r="I184" s="6">
        <v>6</v>
      </c>
      <c r="J184" s="6">
        <v>7</v>
      </c>
      <c r="K184" s="6">
        <v>8</v>
      </c>
      <c r="L184" s="6">
        <v>9</v>
      </c>
      <c r="M184" s="6">
        <v>10</v>
      </c>
      <c r="N184" s="6">
        <v>1</v>
      </c>
      <c r="O184" s="6">
        <v>2</v>
      </c>
      <c r="P184" s="6">
        <v>3</v>
      </c>
      <c r="Q184" s="6">
        <v>4</v>
      </c>
      <c r="R184" s="6">
        <v>5</v>
      </c>
      <c r="S184" s="6">
        <v>6</v>
      </c>
      <c r="T184" s="6">
        <v>7</v>
      </c>
      <c r="U184" s="6">
        <v>8</v>
      </c>
      <c r="V184" s="6">
        <v>9</v>
      </c>
      <c r="W184" s="6">
        <v>10</v>
      </c>
    </row>
    <row r="185" spans="1:23">
      <c r="B185" s="499" t="s">
        <v>202</v>
      </c>
      <c r="C185" s="499" t="s">
        <v>203</v>
      </c>
      <c r="D185" s="589">
        <v>0</v>
      </c>
      <c r="E185" s="589">
        <v>0</v>
      </c>
      <c r="F185" s="589">
        <v>0</v>
      </c>
      <c r="G185" s="269">
        <v>0</v>
      </c>
      <c r="H185" s="269">
        <v>0</v>
      </c>
      <c r="I185" s="269">
        <v>0</v>
      </c>
      <c r="J185" s="7">
        <v>0</v>
      </c>
      <c r="K185" s="7">
        <v>0</v>
      </c>
      <c r="L185" s="7">
        <v>0</v>
      </c>
      <c r="M185" s="7">
        <v>0</v>
      </c>
      <c r="N185" s="589">
        <v>0</v>
      </c>
      <c r="O185" s="589">
        <v>0</v>
      </c>
      <c r="P185" s="589">
        <v>0</v>
      </c>
      <c r="Q185" s="269">
        <v>0</v>
      </c>
      <c r="R185" s="269">
        <v>0</v>
      </c>
      <c r="S185" s="269">
        <v>0</v>
      </c>
      <c r="T185" s="7">
        <v>0</v>
      </c>
      <c r="U185" s="7">
        <v>0</v>
      </c>
      <c r="V185" s="7">
        <v>0</v>
      </c>
      <c r="W185" s="7">
        <v>0</v>
      </c>
    </row>
    <row r="186" spans="1:23">
      <c r="B186" s="499" t="s">
        <v>205</v>
      </c>
      <c r="C186" s="499" t="s">
        <v>206</v>
      </c>
      <c r="D186" s="7">
        <v>0</v>
      </c>
      <c r="E186" s="7">
        <v>0</v>
      </c>
      <c r="F186" s="7">
        <v>0</v>
      </c>
      <c r="G186" s="7">
        <v>0</v>
      </c>
      <c r="H186" s="7">
        <v>0</v>
      </c>
      <c r="I186" s="7">
        <v>0</v>
      </c>
      <c r="J186" s="7">
        <v>0</v>
      </c>
      <c r="K186" s="7">
        <v>0</v>
      </c>
      <c r="L186" s="7">
        <v>0</v>
      </c>
      <c r="M186" s="7">
        <v>0</v>
      </c>
      <c r="N186" s="7">
        <v>0</v>
      </c>
      <c r="O186" s="7">
        <v>0</v>
      </c>
      <c r="P186" s="7">
        <v>0</v>
      </c>
      <c r="Q186" s="7">
        <v>0</v>
      </c>
      <c r="R186" s="7">
        <v>0</v>
      </c>
      <c r="S186" s="7">
        <v>0</v>
      </c>
      <c r="T186" s="7">
        <v>0</v>
      </c>
      <c r="U186" s="7">
        <v>0</v>
      </c>
      <c r="V186" s="7">
        <v>0</v>
      </c>
      <c r="W186" s="7">
        <v>0</v>
      </c>
    </row>
    <row r="187" spans="1:23">
      <c r="B187" s="499" t="s">
        <v>208</v>
      </c>
      <c r="C187" s="499" t="s">
        <v>209</v>
      </c>
      <c r="D187" s="7">
        <v>0</v>
      </c>
      <c r="E187" s="7">
        <v>0</v>
      </c>
      <c r="F187" s="7">
        <v>0</v>
      </c>
      <c r="G187" s="7">
        <v>0</v>
      </c>
      <c r="H187" s="7">
        <v>0</v>
      </c>
      <c r="I187" s="7">
        <v>0</v>
      </c>
      <c r="J187" s="7">
        <v>0</v>
      </c>
      <c r="K187" s="7">
        <v>0</v>
      </c>
      <c r="L187" s="7">
        <v>0</v>
      </c>
      <c r="M187" s="7">
        <v>0</v>
      </c>
      <c r="N187" s="7">
        <v>0</v>
      </c>
      <c r="O187" s="7">
        <v>0</v>
      </c>
      <c r="P187" s="7">
        <v>0</v>
      </c>
      <c r="Q187" s="7">
        <v>0</v>
      </c>
      <c r="R187" s="7">
        <v>0</v>
      </c>
      <c r="S187" s="7">
        <v>0</v>
      </c>
      <c r="T187" s="7">
        <v>0</v>
      </c>
      <c r="U187" s="7">
        <v>0</v>
      </c>
      <c r="V187" s="7">
        <v>0</v>
      </c>
      <c r="W187" s="7">
        <v>0</v>
      </c>
    </row>
    <row r="188" spans="1:23">
      <c r="B188" s="499" t="s">
        <v>211</v>
      </c>
      <c r="C188" s="499" t="s">
        <v>212</v>
      </c>
      <c r="D188" s="7">
        <v>0</v>
      </c>
      <c r="E188" s="7">
        <v>0</v>
      </c>
      <c r="F188" s="7">
        <v>0</v>
      </c>
      <c r="G188" s="7">
        <v>0</v>
      </c>
      <c r="H188" s="7">
        <v>0</v>
      </c>
      <c r="I188" s="7">
        <v>0</v>
      </c>
      <c r="J188" s="7">
        <v>0</v>
      </c>
      <c r="K188" s="7">
        <v>0</v>
      </c>
      <c r="L188" s="7">
        <v>0</v>
      </c>
      <c r="M188" s="7">
        <v>0</v>
      </c>
      <c r="N188" s="7">
        <v>0</v>
      </c>
      <c r="O188" s="7">
        <v>0</v>
      </c>
      <c r="P188" s="7">
        <v>0</v>
      </c>
      <c r="Q188" s="7">
        <v>0</v>
      </c>
      <c r="R188" s="7">
        <v>0</v>
      </c>
      <c r="S188" s="7">
        <v>0</v>
      </c>
      <c r="T188" s="7">
        <v>0</v>
      </c>
      <c r="U188" s="7">
        <v>0</v>
      </c>
      <c r="V188" s="7">
        <v>0</v>
      </c>
      <c r="W188" s="7">
        <v>0</v>
      </c>
    </row>
    <row r="189" spans="1:23">
      <c r="B189" s="499" t="s">
        <v>213</v>
      </c>
      <c r="C189" s="499" t="s">
        <v>214</v>
      </c>
      <c r="D189" s="7">
        <v>0</v>
      </c>
      <c r="E189" s="7">
        <v>0</v>
      </c>
      <c r="F189" s="7">
        <v>0</v>
      </c>
      <c r="G189" s="7">
        <v>0</v>
      </c>
      <c r="H189" s="7">
        <v>0</v>
      </c>
      <c r="I189" s="7">
        <v>0</v>
      </c>
      <c r="J189" s="7">
        <v>0</v>
      </c>
      <c r="K189" s="7">
        <v>0</v>
      </c>
      <c r="L189" s="7">
        <v>0</v>
      </c>
      <c r="M189" s="7">
        <v>0</v>
      </c>
      <c r="N189" s="7">
        <v>0</v>
      </c>
      <c r="O189" s="7">
        <v>0</v>
      </c>
      <c r="P189" s="7">
        <v>0</v>
      </c>
      <c r="Q189" s="7">
        <v>0</v>
      </c>
      <c r="R189" s="7">
        <v>0</v>
      </c>
      <c r="S189" s="7">
        <v>0</v>
      </c>
      <c r="T189" s="7">
        <v>0</v>
      </c>
      <c r="U189" s="7">
        <v>0</v>
      </c>
      <c r="V189" s="7">
        <v>0</v>
      </c>
      <c r="W189" s="7">
        <v>0</v>
      </c>
    </row>
    <row r="190" spans="1:23">
      <c r="B190" s="499" t="s">
        <v>215</v>
      </c>
      <c r="C190" s="499" t="s">
        <v>216</v>
      </c>
      <c r="D190" s="7">
        <v>0</v>
      </c>
      <c r="E190" s="7">
        <v>0</v>
      </c>
      <c r="F190" s="7">
        <v>0</v>
      </c>
      <c r="G190" s="7">
        <v>0</v>
      </c>
      <c r="H190" s="7">
        <v>0</v>
      </c>
      <c r="I190" s="7">
        <v>0</v>
      </c>
      <c r="J190" s="7">
        <v>0</v>
      </c>
      <c r="K190" s="7">
        <v>0</v>
      </c>
      <c r="L190" s="7">
        <v>0</v>
      </c>
      <c r="M190" s="7">
        <v>0</v>
      </c>
      <c r="N190" s="7">
        <v>0</v>
      </c>
      <c r="O190" s="7">
        <v>0</v>
      </c>
      <c r="P190" s="7">
        <v>0</v>
      </c>
      <c r="Q190" s="7">
        <v>0</v>
      </c>
      <c r="R190" s="7">
        <v>0</v>
      </c>
      <c r="S190" s="7">
        <v>0</v>
      </c>
      <c r="T190" s="7">
        <v>0</v>
      </c>
      <c r="U190" s="7">
        <v>0</v>
      </c>
      <c r="V190" s="7">
        <v>0</v>
      </c>
      <c r="W190" s="7">
        <v>0</v>
      </c>
    </row>
    <row r="191" spans="1:23">
      <c r="B191" s="499" t="s">
        <v>217</v>
      </c>
      <c r="C191" s="499" t="s">
        <v>218</v>
      </c>
      <c r="D191" s="7">
        <v>0</v>
      </c>
      <c r="E191" s="7">
        <v>0</v>
      </c>
      <c r="F191" s="7">
        <v>0</v>
      </c>
      <c r="G191" s="7">
        <v>0</v>
      </c>
      <c r="H191" s="7">
        <v>0</v>
      </c>
      <c r="I191" s="7">
        <v>0</v>
      </c>
      <c r="J191" s="7">
        <v>0</v>
      </c>
      <c r="K191" s="7">
        <v>0</v>
      </c>
      <c r="L191" s="7">
        <v>0</v>
      </c>
      <c r="M191" s="7">
        <v>0</v>
      </c>
      <c r="N191" s="7">
        <v>0</v>
      </c>
      <c r="O191" s="7">
        <v>0</v>
      </c>
      <c r="P191" s="7">
        <v>0</v>
      </c>
      <c r="Q191" s="7">
        <v>0</v>
      </c>
      <c r="R191" s="7">
        <v>0</v>
      </c>
      <c r="S191" s="7">
        <v>0</v>
      </c>
      <c r="T191" s="7">
        <v>0</v>
      </c>
      <c r="U191" s="7">
        <v>0</v>
      </c>
      <c r="V191" s="7">
        <v>0</v>
      </c>
      <c r="W191" s="7">
        <v>0</v>
      </c>
    </row>
    <row r="192" spans="1:23">
      <c r="B192" s="499" t="s">
        <v>219</v>
      </c>
      <c r="C192" s="499" t="s">
        <v>220</v>
      </c>
      <c r="D192" s="7">
        <v>0</v>
      </c>
      <c r="E192" s="7">
        <v>0</v>
      </c>
      <c r="F192" s="7">
        <v>0</v>
      </c>
      <c r="G192" s="7">
        <v>0</v>
      </c>
      <c r="H192" s="7">
        <v>0</v>
      </c>
      <c r="I192" s="7">
        <v>0</v>
      </c>
      <c r="J192" s="7">
        <v>0</v>
      </c>
      <c r="K192" s="7">
        <v>0</v>
      </c>
      <c r="L192" s="7">
        <v>0</v>
      </c>
      <c r="M192" s="7">
        <v>0</v>
      </c>
      <c r="N192" s="7">
        <v>0</v>
      </c>
      <c r="O192" s="7">
        <v>0</v>
      </c>
      <c r="P192" s="7">
        <v>0</v>
      </c>
      <c r="Q192" s="7">
        <v>0</v>
      </c>
      <c r="R192" s="7">
        <v>0</v>
      </c>
      <c r="S192" s="7">
        <v>0</v>
      </c>
      <c r="T192" s="7">
        <v>0</v>
      </c>
      <c r="U192" s="7">
        <v>0</v>
      </c>
      <c r="V192" s="7">
        <v>0</v>
      </c>
      <c r="W192" s="7">
        <v>0</v>
      </c>
    </row>
    <row r="193" spans="1:23">
      <c r="B193" s="499" t="s">
        <v>221</v>
      </c>
      <c r="C193" s="499" t="s">
        <v>222</v>
      </c>
      <c r="D193" s="7">
        <v>0</v>
      </c>
      <c r="E193" s="7">
        <v>0</v>
      </c>
      <c r="F193" s="7">
        <v>0</v>
      </c>
      <c r="G193" s="7">
        <v>0</v>
      </c>
      <c r="H193" s="7">
        <v>0</v>
      </c>
      <c r="I193" s="7">
        <v>0</v>
      </c>
      <c r="J193" s="7">
        <v>0</v>
      </c>
      <c r="K193" s="7">
        <v>0</v>
      </c>
      <c r="L193" s="7">
        <v>0</v>
      </c>
      <c r="M193" s="7">
        <v>0</v>
      </c>
      <c r="N193" s="7">
        <v>0</v>
      </c>
      <c r="O193" s="7">
        <v>0</v>
      </c>
      <c r="P193" s="7">
        <v>0</v>
      </c>
      <c r="Q193" s="7">
        <v>0</v>
      </c>
      <c r="R193" s="7">
        <v>0</v>
      </c>
      <c r="S193" s="7">
        <v>0</v>
      </c>
      <c r="T193" s="7">
        <v>0</v>
      </c>
      <c r="U193" s="7">
        <v>0</v>
      </c>
      <c r="V193" s="7">
        <v>0</v>
      </c>
      <c r="W193" s="7">
        <v>0</v>
      </c>
    </row>
    <row r="194" spans="1:23">
      <c r="B194" s="499" t="s">
        <v>223</v>
      </c>
      <c r="C194" s="499" t="s">
        <v>224</v>
      </c>
      <c r="D194" s="7">
        <v>0</v>
      </c>
      <c r="E194" s="7">
        <v>0</v>
      </c>
      <c r="F194" s="7">
        <v>0</v>
      </c>
      <c r="G194" s="7">
        <v>0</v>
      </c>
      <c r="H194" s="7">
        <v>0</v>
      </c>
      <c r="I194" s="7">
        <v>0</v>
      </c>
      <c r="J194" s="7">
        <v>0</v>
      </c>
      <c r="K194" s="7">
        <v>0</v>
      </c>
      <c r="L194" s="7">
        <v>0</v>
      </c>
      <c r="M194" s="7">
        <v>0</v>
      </c>
      <c r="N194" s="7">
        <v>0</v>
      </c>
      <c r="O194" s="7">
        <v>0</v>
      </c>
      <c r="P194" s="7">
        <v>0</v>
      </c>
      <c r="Q194" s="7">
        <v>0</v>
      </c>
      <c r="R194" s="7">
        <v>0</v>
      </c>
      <c r="S194" s="7">
        <v>0</v>
      </c>
      <c r="T194" s="7">
        <v>0</v>
      </c>
      <c r="U194" s="7">
        <v>0</v>
      </c>
      <c r="V194" s="7">
        <v>0</v>
      </c>
      <c r="W194" s="7">
        <v>0</v>
      </c>
    </row>
    <row r="195" spans="1:23">
      <c r="B195" s="499" t="s">
        <v>225</v>
      </c>
      <c r="C195" s="499" t="s">
        <v>226</v>
      </c>
      <c r="D195" s="7">
        <v>0</v>
      </c>
      <c r="E195" s="7">
        <v>0</v>
      </c>
      <c r="F195" s="7">
        <v>0</v>
      </c>
      <c r="G195" s="7">
        <v>0</v>
      </c>
      <c r="H195" s="7">
        <v>0</v>
      </c>
      <c r="I195" s="7">
        <v>0</v>
      </c>
      <c r="J195" s="7">
        <v>0</v>
      </c>
      <c r="K195" s="7">
        <v>0</v>
      </c>
      <c r="L195" s="7">
        <v>0</v>
      </c>
      <c r="M195" s="7">
        <v>0</v>
      </c>
      <c r="N195" s="7">
        <v>0</v>
      </c>
      <c r="O195" s="7">
        <v>0</v>
      </c>
      <c r="P195" s="7">
        <v>0</v>
      </c>
      <c r="Q195" s="7">
        <v>0</v>
      </c>
      <c r="R195" s="7">
        <v>0</v>
      </c>
      <c r="S195" s="7">
        <v>0</v>
      </c>
      <c r="T195" s="7">
        <v>0</v>
      </c>
      <c r="U195" s="7">
        <v>0</v>
      </c>
      <c r="V195" s="7">
        <v>0</v>
      </c>
      <c r="W195" s="7">
        <v>0</v>
      </c>
    </row>
    <row r="197" spans="1:23">
      <c r="A197" s="1" t="s">
        <v>234</v>
      </c>
      <c r="D197" s="499" t="s">
        <v>230</v>
      </c>
      <c r="E197" s="499" t="s">
        <v>230</v>
      </c>
      <c r="F197" s="499" t="s">
        <v>230</v>
      </c>
      <c r="G197" s="499" t="s">
        <v>230</v>
      </c>
      <c r="H197" s="499" t="s">
        <v>230</v>
      </c>
      <c r="I197" s="499" t="s">
        <v>230</v>
      </c>
      <c r="J197" s="499" t="s">
        <v>230</v>
      </c>
      <c r="K197" s="499" t="s">
        <v>230</v>
      </c>
      <c r="L197" s="499" t="s">
        <v>230</v>
      </c>
      <c r="M197" s="499" t="s">
        <v>230</v>
      </c>
      <c r="N197" s="499" t="s">
        <v>231</v>
      </c>
      <c r="O197" s="499" t="s">
        <v>231</v>
      </c>
      <c r="P197" s="499" t="s">
        <v>231</v>
      </c>
      <c r="Q197" s="499" t="s">
        <v>231</v>
      </c>
      <c r="R197" s="499" t="s">
        <v>231</v>
      </c>
      <c r="S197" s="499" t="s">
        <v>231</v>
      </c>
      <c r="T197" s="499" t="s">
        <v>231</v>
      </c>
      <c r="U197" s="499" t="s">
        <v>231</v>
      </c>
      <c r="V197" s="499" t="s">
        <v>231</v>
      </c>
      <c r="W197" s="499" t="s">
        <v>231</v>
      </c>
    </row>
    <row r="198" spans="1:23">
      <c r="A198" s="14" t="s">
        <v>235</v>
      </c>
      <c r="D198" s="499" t="s">
        <v>236</v>
      </c>
      <c r="N198" s="499" t="s">
        <v>236</v>
      </c>
    </row>
    <row r="199" spans="1:23">
      <c r="B199" s="6" t="s">
        <v>199</v>
      </c>
      <c r="C199" s="6" t="s">
        <v>200</v>
      </c>
      <c r="D199" s="6">
        <v>1</v>
      </c>
      <c r="E199" s="6">
        <v>2</v>
      </c>
      <c r="F199" s="6">
        <v>3</v>
      </c>
      <c r="G199" s="6">
        <v>4</v>
      </c>
      <c r="H199" s="6">
        <v>5</v>
      </c>
      <c r="I199" s="6">
        <v>6</v>
      </c>
      <c r="J199" s="6">
        <v>7</v>
      </c>
      <c r="K199" s="6">
        <v>8</v>
      </c>
      <c r="L199" s="6">
        <v>9</v>
      </c>
      <c r="M199" s="6">
        <v>10</v>
      </c>
      <c r="N199" s="6">
        <v>1</v>
      </c>
      <c r="O199" s="6">
        <v>2</v>
      </c>
      <c r="P199" s="6">
        <v>3</v>
      </c>
      <c r="Q199" s="6">
        <v>4</v>
      </c>
      <c r="R199" s="6">
        <v>5</v>
      </c>
      <c r="S199" s="6">
        <v>6</v>
      </c>
      <c r="T199" s="6">
        <v>7</v>
      </c>
      <c r="U199" s="6">
        <v>8</v>
      </c>
      <c r="V199" s="6">
        <v>9</v>
      </c>
      <c r="W199" s="6">
        <v>10</v>
      </c>
    </row>
    <row r="200" spans="1:23">
      <c r="B200" s="499" t="s">
        <v>202</v>
      </c>
      <c r="C200" s="499" t="s">
        <v>203</v>
      </c>
      <c r="D200" s="264">
        <f>S.kelt!A39*C104</f>
        <v>0.31909795995575668</v>
      </c>
      <c r="E200" s="264">
        <f>S.kelt!A39*C104</f>
        <v>0.31909795995575668</v>
      </c>
      <c r="F200" s="264">
        <f>S.kelt!A39*C104</f>
        <v>0.31909795995575668</v>
      </c>
      <c r="G200" s="264">
        <f>S.kelt!A39*C104</f>
        <v>0.31909795995575668</v>
      </c>
      <c r="H200" s="264">
        <f>S.kelt!A39*C104</f>
        <v>0.31909795995575668</v>
      </c>
      <c r="I200" s="264">
        <f>S.kelt!A39*C104</f>
        <v>0.31909795995575668</v>
      </c>
      <c r="J200" s="7">
        <v>0</v>
      </c>
      <c r="K200" s="7">
        <v>0</v>
      </c>
      <c r="L200" s="7">
        <v>0</v>
      </c>
      <c r="M200" s="7">
        <v>0</v>
      </c>
      <c r="N200" s="264">
        <f>S.kelt!A39*C104</f>
        <v>0.31909795995575668</v>
      </c>
      <c r="O200" s="264">
        <f>S.kelt!A39*C104</f>
        <v>0.31909795995575668</v>
      </c>
      <c r="P200" s="264">
        <f>S.kelt!A39*C104</f>
        <v>0.31909795995575668</v>
      </c>
      <c r="Q200" s="264">
        <f>S.kelt!A39*C104</f>
        <v>0.31909795995575668</v>
      </c>
      <c r="R200" s="264">
        <f>S.kelt!A39*C104</f>
        <v>0.31909795995575668</v>
      </c>
      <c r="S200" s="264">
        <f>S.kelt!A39*C104</f>
        <v>0.31909795995575668</v>
      </c>
      <c r="T200" s="7">
        <v>0</v>
      </c>
      <c r="U200" s="7">
        <v>0</v>
      </c>
      <c r="V200" s="7">
        <v>0</v>
      </c>
      <c r="W200" s="7">
        <v>0</v>
      </c>
    </row>
    <row r="201" spans="1:23">
      <c r="B201" s="499" t="s">
        <v>205</v>
      </c>
      <c r="C201" s="499" t="s">
        <v>206</v>
      </c>
      <c r="D201" s="7">
        <v>0</v>
      </c>
      <c r="E201" s="7">
        <v>0</v>
      </c>
      <c r="F201" s="7">
        <v>0</v>
      </c>
      <c r="G201" s="7">
        <v>0</v>
      </c>
      <c r="H201" s="7">
        <v>0</v>
      </c>
      <c r="I201" s="7">
        <v>0</v>
      </c>
      <c r="J201" s="7">
        <v>0</v>
      </c>
      <c r="K201" s="7">
        <v>0</v>
      </c>
      <c r="L201" s="7">
        <v>0</v>
      </c>
      <c r="M201" s="7">
        <v>0</v>
      </c>
      <c r="N201" s="7">
        <v>0</v>
      </c>
      <c r="O201" s="7">
        <v>0</v>
      </c>
      <c r="P201" s="7">
        <v>0</v>
      </c>
      <c r="Q201" s="7">
        <v>0</v>
      </c>
      <c r="R201" s="7">
        <v>0</v>
      </c>
      <c r="S201" s="7">
        <v>0</v>
      </c>
      <c r="T201" s="7">
        <v>0</v>
      </c>
      <c r="U201" s="7">
        <v>0</v>
      </c>
      <c r="V201" s="7">
        <v>0</v>
      </c>
      <c r="W201" s="7">
        <v>0</v>
      </c>
    </row>
    <row r="202" spans="1:23">
      <c r="B202" s="499" t="s">
        <v>208</v>
      </c>
      <c r="C202" s="499" t="s">
        <v>209</v>
      </c>
      <c r="D202" s="7">
        <v>0</v>
      </c>
      <c r="E202" s="7">
        <v>0</v>
      </c>
      <c r="F202" s="7">
        <v>0</v>
      </c>
      <c r="G202" s="7">
        <v>0</v>
      </c>
      <c r="H202" s="7">
        <v>0</v>
      </c>
      <c r="I202" s="7">
        <v>0</v>
      </c>
      <c r="J202" s="7">
        <v>0</v>
      </c>
      <c r="K202" s="7">
        <v>0</v>
      </c>
      <c r="L202" s="7">
        <v>0</v>
      </c>
      <c r="M202" s="7">
        <v>0</v>
      </c>
      <c r="N202" s="7">
        <v>0</v>
      </c>
      <c r="O202" s="7">
        <v>0</v>
      </c>
      <c r="P202" s="7">
        <v>0</v>
      </c>
      <c r="Q202" s="7">
        <v>0</v>
      </c>
      <c r="R202" s="7">
        <v>0</v>
      </c>
      <c r="S202" s="7">
        <v>0</v>
      </c>
      <c r="T202" s="7">
        <v>0</v>
      </c>
      <c r="U202" s="7">
        <v>0</v>
      </c>
      <c r="V202" s="7">
        <v>0</v>
      </c>
      <c r="W202" s="7">
        <v>0</v>
      </c>
    </row>
    <row r="203" spans="1:23">
      <c r="B203" s="499" t="s">
        <v>211</v>
      </c>
      <c r="C203" s="499" t="s">
        <v>212</v>
      </c>
      <c r="D203" s="7">
        <v>0</v>
      </c>
      <c r="E203" s="7">
        <v>0</v>
      </c>
      <c r="F203" s="7">
        <v>0</v>
      </c>
      <c r="G203" s="7">
        <v>0</v>
      </c>
      <c r="H203" s="7">
        <v>0</v>
      </c>
      <c r="I203" s="7">
        <v>0</v>
      </c>
      <c r="J203" s="7">
        <v>0</v>
      </c>
      <c r="K203" s="7">
        <v>0</v>
      </c>
      <c r="L203" s="7">
        <v>0</v>
      </c>
      <c r="M203" s="7">
        <v>0</v>
      </c>
      <c r="N203" s="7">
        <v>0</v>
      </c>
      <c r="O203" s="7">
        <v>0</v>
      </c>
      <c r="P203" s="7">
        <v>0</v>
      </c>
      <c r="Q203" s="7">
        <v>0</v>
      </c>
      <c r="R203" s="7">
        <v>0</v>
      </c>
      <c r="S203" s="7">
        <v>0</v>
      </c>
      <c r="T203" s="7">
        <v>0</v>
      </c>
      <c r="U203" s="7">
        <v>0</v>
      </c>
      <c r="V203" s="7">
        <v>0</v>
      </c>
      <c r="W203" s="7">
        <v>0</v>
      </c>
    </row>
    <row r="204" spans="1:23">
      <c r="B204" s="499" t="s">
        <v>213</v>
      </c>
      <c r="C204" s="499" t="s">
        <v>214</v>
      </c>
      <c r="D204" s="7">
        <v>0</v>
      </c>
      <c r="E204" s="7">
        <v>0</v>
      </c>
      <c r="F204" s="7">
        <v>0</v>
      </c>
      <c r="G204" s="7">
        <v>0</v>
      </c>
      <c r="H204" s="7">
        <v>0</v>
      </c>
      <c r="I204" s="7">
        <v>0</v>
      </c>
      <c r="J204" s="7">
        <v>0</v>
      </c>
      <c r="K204" s="7">
        <v>0</v>
      </c>
      <c r="L204" s="7">
        <v>0</v>
      </c>
      <c r="M204" s="7">
        <v>0</v>
      </c>
      <c r="N204" s="7">
        <v>0</v>
      </c>
      <c r="O204" s="7">
        <v>0</v>
      </c>
      <c r="P204" s="7">
        <v>0</v>
      </c>
      <c r="Q204" s="7">
        <v>0</v>
      </c>
      <c r="R204" s="7">
        <v>0</v>
      </c>
      <c r="S204" s="7">
        <v>0</v>
      </c>
      <c r="T204" s="7">
        <v>0</v>
      </c>
      <c r="U204" s="7">
        <v>0</v>
      </c>
      <c r="V204" s="7">
        <v>0</v>
      </c>
      <c r="W204" s="7">
        <v>0</v>
      </c>
    </row>
    <row r="205" spans="1:23">
      <c r="B205" s="499" t="s">
        <v>215</v>
      </c>
      <c r="C205" s="499" t="s">
        <v>216</v>
      </c>
      <c r="D205" s="7">
        <v>0</v>
      </c>
      <c r="E205" s="7">
        <v>0</v>
      </c>
      <c r="F205" s="7">
        <v>0</v>
      </c>
      <c r="G205" s="7">
        <v>0</v>
      </c>
      <c r="H205" s="7">
        <v>0</v>
      </c>
      <c r="I205" s="7">
        <v>0</v>
      </c>
      <c r="J205" s="7">
        <v>0</v>
      </c>
      <c r="K205" s="7">
        <v>0</v>
      </c>
      <c r="L205" s="7">
        <v>0</v>
      </c>
      <c r="M205" s="7">
        <v>0</v>
      </c>
      <c r="N205" s="7">
        <v>0</v>
      </c>
      <c r="O205" s="7">
        <v>0</v>
      </c>
      <c r="P205" s="7">
        <v>0</v>
      </c>
      <c r="Q205" s="7">
        <v>0</v>
      </c>
      <c r="R205" s="7">
        <v>0</v>
      </c>
      <c r="S205" s="7">
        <v>0</v>
      </c>
      <c r="T205" s="7">
        <v>0</v>
      </c>
      <c r="U205" s="7">
        <v>0</v>
      </c>
      <c r="V205" s="7">
        <v>0</v>
      </c>
      <c r="W205" s="7">
        <v>0</v>
      </c>
    </row>
    <row r="206" spans="1:23">
      <c r="B206" s="499" t="s">
        <v>217</v>
      </c>
      <c r="C206" s="499" t="s">
        <v>218</v>
      </c>
      <c r="D206" s="7">
        <v>0</v>
      </c>
      <c r="E206" s="7">
        <v>0</v>
      </c>
      <c r="F206" s="7">
        <v>0</v>
      </c>
      <c r="G206" s="7">
        <v>0</v>
      </c>
      <c r="H206" s="7">
        <v>0</v>
      </c>
      <c r="I206" s="7">
        <v>0</v>
      </c>
      <c r="J206" s="7">
        <v>0</v>
      </c>
      <c r="K206" s="7">
        <v>0</v>
      </c>
      <c r="L206" s="7">
        <v>0</v>
      </c>
      <c r="M206" s="7">
        <v>0</v>
      </c>
      <c r="N206" s="7">
        <v>0</v>
      </c>
      <c r="O206" s="7">
        <v>0</v>
      </c>
      <c r="P206" s="7">
        <v>0</v>
      </c>
      <c r="Q206" s="7">
        <v>0</v>
      </c>
      <c r="R206" s="7">
        <v>0</v>
      </c>
      <c r="S206" s="7">
        <v>0</v>
      </c>
      <c r="T206" s="7">
        <v>0</v>
      </c>
      <c r="U206" s="7">
        <v>0</v>
      </c>
      <c r="V206" s="7">
        <v>0</v>
      </c>
      <c r="W206" s="7">
        <v>0</v>
      </c>
    </row>
    <row r="207" spans="1:23">
      <c r="B207" s="499" t="s">
        <v>219</v>
      </c>
      <c r="C207" s="499" t="s">
        <v>220</v>
      </c>
      <c r="D207" s="7">
        <v>0</v>
      </c>
      <c r="E207" s="7">
        <v>0</v>
      </c>
      <c r="F207" s="7">
        <v>0</v>
      </c>
      <c r="G207" s="7">
        <v>0</v>
      </c>
      <c r="H207" s="7">
        <v>0</v>
      </c>
      <c r="I207" s="7">
        <v>0</v>
      </c>
      <c r="J207" s="7">
        <v>0</v>
      </c>
      <c r="K207" s="7">
        <v>0</v>
      </c>
      <c r="L207" s="7">
        <v>0</v>
      </c>
      <c r="M207" s="7">
        <v>0</v>
      </c>
      <c r="N207" s="7">
        <v>0</v>
      </c>
      <c r="O207" s="7">
        <v>0</v>
      </c>
      <c r="P207" s="7">
        <v>0</v>
      </c>
      <c r="Q207" s="7">
        <v>0</v>
      </c>
      <c r="R207" s="7">
        <v>0</v>
      </c>
      <c r="S207" s="7">
        <v>0</v>
      </c>
      <c r="T207" s="7">
        <v>0</v>
      </c>
      <c r="U207" s="7">
        <v>0</v>
      </c>
      <c r="V207" s="7">
        <v>0</v>
      </c>
      <c r="W207" s="7">
        <v>0</v>
      </c>
    </row>
    <row r="208" spans="1:23">
      <c r="B208" s="499" t="s">
        <v>221</v>
      </c>
      <c r="C208" s="499" t="s">
        <v>222</v>
      </c>
      <c r="D208" s="7">
        <v>0</v>
      </c>
      <c r="E208" s="7">
        <v>0</v>
      </c>
      <c r="F208" s="7">
        <v>0</v>
      </c>
      <c r="G208" s="7">
        <v>0</v>
      </c>
      <c r="H208" s="7">
        <v>0</v>
      </c>
      <c r="I208" s="7">
        <v>0</v>
      </c>
      <c r="J208" s="7">
        <v>0</v>
      </c>
      <c r="K208" s="7">
        <v>0</v>
      </c>
      <c r="L208" s="7">
        <v>0</v>
      </c>
      <c r="M208" s="7">
        <v>0</v>
      </c>
      <c r="N208" s="7">
        <v>0</v>
      </c>
      <c r="O208" s="7">
        <v>0</v>
      </c>
      <c r="P208" s="7">
        <v>0</v>
      </c>
      <c r="Q208" s="7">
        <v>0</v>
      </c>
      <c r="R208" s="7">
        <v>0</v>
      </c>
      <c r="S208" s="7">
        <v>0</v>
      </c>
      <c r="T208" s="7">
        <v>0</v>
      </c>
      <c r="U208" s="7">
        <v>0</v>
      </c>
      <c r="V208" s="7">
        <v>0</v>
      </c>
      <c r="W208" s="7">
        <v>0</v>
      </c>
    </row>
    <row r="209" spans="2:23">
      <c r="B209" s="499" t="s">
        <v>223</v>
      </c>
      <c r="C209" s="499" t="s">
        <v>224</v>
      </c>
      <c r="D209" s="7">
        <v>0</v>
      </c>
      <c r="E209" s="7">
        <v>0</v>
      </c>
      <c r="F209" s="7">
        <v>0</v>
      </c>
      <c r="G209" s="7">
        <v>0</v>
      </c>
      <c r="H209" s="7">
        <v>0</v>
      </c>
      <c r="I209" s="7">
        <v>0</v>
      </c>
      <c r="J209" s="7">
        <v>0</v>
      </c>
      <c r="K209" s="7">
        <v>0</v>
      </c>
      <c r="L209" s="7">
        <v>0</v>
      </c>
      <c r="M209" s="7">
        <v>0</v>
      </c>
      <c r="N209" s="7">
        <v>0</v>
      </c>
      <c r="O209" s="7">
        <v>0</v>
      </c>
      <c r="P209" s="7">
        <v>0</v>
      </c>
      <c r="Q209" s="7">
        <v>0</v>
      </c>
      <c r="R209" s="7">
        <v>0</v>
      </c>
      <c r="S209" s="7">
        <v>0</v>
      </c>
      <c r="T209" s="7">
        <v>0</v>
      </c>
      <c r="U209" s="7">
        <v>0</v>
      </c>
      <c r="V209" s="7">
        <v>0</v>
      </c>
      <c r="W209" s="7">
        <v>0</v>
      </c>
    </row>
    <row r="210" spans="2:23">
      <c r="B210" s="499" t="s">
        <v>225</v>
      </c>
      <c r="C210" s="499" t="s">
        <v>226</v>
      </c>
      <c r="D210" s="7">
        <v>0</v>
      </c>
      <c r="E210" s="7">
        <v>0</v>
      </c>
      <c r="F210" s="7">
        <v>0</v>
      </c>
      <c r="G210" s="7">
        <v>0</v>
      </c>
      <c r="H210" s="7">
        <v>0</v>
      </c>
      <c r="I210" s="7">
        <v>0</v>
      </c>
      <c r="J210" s="7">
        <v>0</v>
      </c>
      <c r="K210" s="7">
        <v>0</v>
      </c>
      <c r="L210" s="7">
        <v>0</v>
      </c>
      <c r="M210" s="7">
        <v>0</v>
      </c>
      <c r="N210" s="7">
        <v>0</v>
      </c>
      <c r="O210" s="7">
        <v>0</v>
      </c>
      <c r="P210" s="7">
        <v>0</v>
      </c>
      <c r="Q210" s="7">
        <v>0</v>
      </c>
      <c r="R210" s="7">
        <v>0</v>
      </c>
      <c r="S210" s="7">
        <v>0</v>
      </c>
      <c r="T210" s="7">
        <v>0</v>
      </c>
      <c r="U210" s="7">
        <v>0</v>
      </c>
      <c r="V210" s="7">
        <v>0</v>
      </c>
      <c r="W210" s="7">
        <v>0</v>
      </c>
    </row>
  </sheetData>
  <conditionalFormatting sqref="E80:H95">
    <cfRule type="cellIs" dxfId="76" priority="24" operator="equal">
      <formula>999999</formula>
    </cfRule>
  </conditionalFormatting>
  <conditionalFormatting sqref="D83:H83">
    <cfRule type="cellIs" dxfId="75" priority="23" operator="equal">
      <formula>-99</formula>
    </cfRule>
  </conditionalFormatting>
  <conditionalFormatting sqref="F101">
    <cfRule type="cellIs" dxfId="74" priority="22" operator="equal">
      <formula>999999</formula>
    </cfRule>
  </conditionalFormatting>
  <conditionalFormatting sqref="G101">
    <cfRule type="cellIs" dxfId="73" priority="21" operator="equal">
      <formula>999999</formula>
    </cfRule>
  </conditionalFormatting>
  <conditionalFormatting sqref="F102:G107">
    <cfRule type="cellIs" dxfId="72" priority="20" operator="equal">
      <formula>999999</formula>
    </cfRule>
  </conditionalFormatting>
  <conditionalFormatting sqref="F108:G110">
    <cfRule type="cellIs" dxfId="71" priority="19" operator="equal">
      <formula>999999</formula>
    </cfRule>
  </conditionalFormatting>
  <conditionalFormatting sqref="D101">
    <cfRule type="cellIs" dxfId="70" priority="18" operator="equal">
      <formula>999999</formula>
    </cfRule>
  </conditionalFormatting>
  <conditionalFormatting sqref="D102:D107">
    <cfRule type="cellIs" dxfId="69" priority="17" operator="equal">
      <formula>999999</formula>
    </cfRule>
  </conditionalFormatting>
  <conditionalFormatting sqref="D108:D110">
    <cfRule type="cellIs" dxfId="68" priority="16" operator="equal">
      <formula>999999</formula>
    </cfRule>
  </conditionalFormatting>
  <conditionalFormatting sqref="E108:E110">
    <cfRule type="cellIs" dxfId="67" priority="15" operator="equal">
      <formula>999999</formula>
    </cfRule>
  </conditionalFormatting>
  <conditionalFormatting sqref="K108:N110">
    <cfRule type="cellIs" dxfId="66" priority="14" operator="equal">
      <formula>999999</formula>
    </cfRule>
  </conditionalFormatting>
  <conditionalFormatting sqref="R108:U110">
    <cfRule type="cellIs" dxfId="65" priority="13" operator="equal">
      <formula>999999</formula>
    </cfRule>
  </conditionalFormatting>
  <conditionalFormatting sqref="R101:R107">
    <cfRule type="cellIs" dxfId="64" priority="12" operator="equal">
      <formula>999999</formula>
    </cfRule>
  </conditionalFormatting>
  <conditionalFormatting sqref="T101:U107">
    <cfRule type="cellIs" dxfId="63" priority="11" operator="equal">
      <formula>999999</formula>
    </cfRule>
  </conditionalFormatting>
  <conditionalFormatting sqref="K101:K107">
    <cfRule type="cellIs" dxfId="62" priority="10" operator="equal">
      <formula>999999</formula>
    </cfRule>
  </conditionalFormatting>
  <conditionalFormatting sqref="M101:N107">
    <cfRule type="cellIs" dxfId="61" priority="9" operator="equal">
      <formula>999999</formula>
    </cfRule>
  </conditionalFormatting>
  <conditionalFormatting sqref="I83:J83">
    <cfRule type="cellIs" dxfId="60" priority="8" operator="equal">
      <formula>999999</formula>
    </cfRule>
  </conditionalFormatting>
  <conditionalFormatting sqref="I83:J83">
    <cfRule type="cellIs" dxfId="59" priority="7" operator="equal">
      <formula>-99</formula>
    </cfRule>
  </conditionalFormatting>
  <conditionalFormatting sqref="E116:E125">
    <cfRule type="cellIs" dxfId="58" priority="6" operator="equal">
      <formula>999999</formula>
    </cfRule>
  </conditionalFormatting>
  <conditionalFormatting sqref="G116:H125">
    <cfRule type="cellIs" dxfId="57" priority="5" operator="equal">
      <formula>999999</formula>
    </cfRule>
  </conditionalFormatting>
  <conditionalFormatting sqref="F116:F125">
    <cfRule type="cellIs" dxfId="56" priority="4" operator="equal">
      <formula>999999</formula>
    </cfRule>
  </conditionalFormatting>
  <conditionalFormatting sqref="J123:M125">
    <cfRule type="cellIs" dxfId="55" priority="3" operator="equal">
      <formula>999999</formula>
    </cfRule>
  </conditionalFormatting>
  <conditionalFormatting sqref="J116:J122">
    <cfRule type="cellIs" dxfId="54" priority="2" operator="equal">
      <formula>999999</formula>
    </cfRule>
  </conditionalFormatting>
  <conditionalFormatting sqref="L116:M122">
    <cfRule type="cellIs" dxfId="53" priority="1" operator="equal">
      <formula>999999</formula>
    </cfRule>
  </conditionalFormatting>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CU570"/>
  <sheetViews>
    <sheetView zoomScale="85" zoomScaleNormal="85" workbookViewId="0">
      <selection activeCell="G41" sqref="G41"/>
    </sheetView>
  </sheetViews>
  <sheetFormatPr defaultRowHeight="14.4"/>
  <cols>
    <col min="29" max="29" width="10" customWidth="1"/>
    <col min="39" max="39" width="9.109375" style="499"/>
    <col min="42" max="42" width="9.109375" style="499"/>
    <col min="44" max="51" width="13.33203125" style="499" customWidth="1"/>
    <col min="61" max="61" width="9.109375" style="499"/>
    <col min="67" max="67" width="9.109375" style="499"/>
    <col min="73" max="73" width="9.109375" style="499"/>
    <col min="98" max="98" width="9.6640625" bestFit="1" customWidth="1"/>
    <col min="99" max="99" width="10.6640625" bestFit="1" customWidth="1"/>
  </cols>
  <sheetData>
    <row r="1" spans="1:99" s="499" customFormat="1" ht="21.6" thickBot="1">
      <c r="B1" s="499">
        <v>1</v>
      </c>
      <c r="C1" s="499">
        <v>2</v>
      </c>
      <c r="D1" s="499">
        <v>3</v>
      </c>
      <c r="E1" s="499">
        <v>4</v>
      </c>
      <c r="F1" s="499">
        <v>5</v>
      </c>
      <c r="G1" s="499">
        <v>6</v>
      </c>
      <c r="H1" s="499">
        <v>7</v>
      </c>
      <c r="I1" s="499">
        <v>8</v>
      </c>
      <c r="J1" s="499">
        <v>9</v>
      </c>
      <c r="K1" s="499">
        <v>10</v>
      </c>
      <c r="L1" s="499">
        <v>11</v>
      </c>
      <c r="M1" s="499">
        <v>12</v>
      </c>
      <c r="N1" s="499">
        <v>13</v>
      </c>
      <c r="O1" s="499">
        <v>14</v>
      </c>
      <c r="P1" s="499">
        <v>15</v>
      </c>
      <c r="Q1" s="499">
        <v>16</v>
      </c>
      <c r="R1" s="499">
        <v>17</v>
      </c>
      <c r="S1" s="499">
        <v>18</v>
      </c>
      <c r="T1" s="499">
        <v>19</v>
      </c>
      <c r="U1" s="499">
        <v>20</v>
      </c>
      <c r="V1" s="499">
        <v>21</v>
      </c>
      <c r="W1" s="499">
        <v>22</v>
      </c>
      <c r="X1" s="499">
        <v>23</v>
      </c>
      <c r="Y1" s="499">
        <v>24</v>
      </c>
      <c r="Z1" s="499">
        <v>25</v>
      </c>
      <c r="AA1" s="499">
        <v>26</v>
      </c>
      <c r="AB1" s="499">
        <v>27</v>
      </c>
      <c r="AC1" s="499">
        <v>28</v>
      </c>
      <c r="AD1" s="499">
        <v>29</v>
      </c>
      <c r="AE1" s="499">
        <v>30</v>
      </c>
      <c r="AF1" s="499">
        <v>31</v>
      </c>
      <c r="AG1" s="499">
        <v>32</v>
      </c>
      <c r="AH1" s="499">
        <v>33</v>
      </c>
      <c r="AI1" s="499">
        <v>34</v>
      </c>
      <c r="AJ1" s="499">
        <v>35</v>
      </c>
      <c r="AK1" s="499">
        <v>36</v>
      </c>
      <c r="AL1" s="499">
        <v>37</v>
      </c>
      <c r="AM1" s="499">
        <v>38</v>
      </c>
      <c r="AN1" s="499">
        <v>39</v>
      </c>
      <c r="AO1" s="499">
        <v>40</v>
      </c>
      <c r="AP1" s="499">
        <v>41</v>
      </c>
      <c r="AR1" s="615" t="s">
        <v>1092</v>
      </c>
      <c r="BD1" s="499" t="s">
        <v>1093</v>
      </c>
    </row>
    <row r="2" spans="1:99" ht="15.6">
      <c r="B2" t="s">
        <v>983</v>
      </c>
      <c r="C2" t="s">
        <v>1009</v>
      </c>
      <c r="D2" t="s">
        <v>1010</v>
      </c>
      <c r="E2" t="s">
        <v>1011</v>
      </c>
      <c r="F2" t="s">
        <v>1012</v>
      </c>
      <c r="G2" t="s">
        <v>1013</v>
      </c>
      <c r="H2" t="s">
        <v>1014</v>
      </c>
      <c r="I2" t="s">
        <v>1015</v>
      </c>
      <c r="J2" t="s">
        <v>1016</v>
      </c>
      <c r="K2" t="s">
        <v>1017</v>
      </c>
      <c r="L2" t="s">
        <v>1018</v>
      </c>
      <c r="M2" t="s">
        <v>1019</v>
      </c>
      <c r="N2" t="s">
        <v>1020</v>
      </c>
      <c r="O2" t="s">
        <v>1021</v>
      </c>
      <c r="P2" t="s">
        <v>1022</v>
      </c>
      <c r="Q2" t="s">
        <v>1023</v>
      </c>
      <c r="R2" t="s">
        <v>1024</v>
      </c>
      <c r="S2" t="s">
        <v>1025</v>
      </c>
      <c r="T2" t="s">
        <v>1026</v>
      </c>
      <c r="U2" t="s">
        <v>1027</v>
      </c>
      <c r="V2" t="s">
        <v>1028</v>
      </c>
      <c r="W2" t="s">
        <v>1029</v>
      </c>
      <c r="X2" t="s">
        <v>1030</v>
      </c>
      <c r="Y2" t="s">
        <v>1031</v>
      </c>
      <c r="Z2" t="s">
        <v>1032</v>
      </c>
      <c r="AA2" t="s">
        <v>1033</v>
      </c>
      <c r="AB2" t="s">
        <v>1034</v>
      </c>
      <c r="AC2" t="s">
        <v>1035</v>
      </c>
      <c r="AD2" t="s">
        <v>1036</v>
      </c>
      <c r="AE2" t="s">
        <v>1037</v>
      </c>
      <c r="AF2" t="s">
        <v>1038</v>
      </c>
      <c r="AG2" t="s">
        <v>1039</v>
      </c>
      <c r="AH2" t="s">
        <v>1040</v>
      </c>
      <c r="AI2" t="s">
        <v>1041</v>
      </c>
      <c r="AJ2" t="s">
        <v>1042</v>
      </c>
      <c r="AK2" t="s">
        <v>1044</v>
      </c>
      <c r="AL2" t="s">
        <v>1045</v>
      </c>
      <c r="AM2" s="499" t="s">
        <v>1049</v>
      </c>
      <c r="AN2" s="5" t="s">
        <v>1079</v>
      </c>
      <c r="AO2" s="5" t="s">
        <v>1084</v>
      </c>
      <c r="AP2" s="5" t="s">
        <v>1080</v>
      </c>
      <c r="AR2" s="583" t="s">
        <v>1050</v>
      </c>
      <c r="AS2" s="20" t="s">
        <v>984</v>
      </c>
      <c r="AT2" s="20"/>
      <c r="AU2" s="20"/>
      <c r="AV2" s="611" t="s">
        <v>1051</v>
      </c>
      <c r="AW2" s="611" t="s">
        <v>1051</v>
      </c>
      <c r="AX2" s="611" t="s">
        <v>1051</v>
      </c>
      <c r="AY2" s="20"/>
      <c r="AZ2" s="20"/>
      <c r="BA2" s="20"/>
      <c r="BB2" s="21"/>
      <c r="BD2" s="499" t="s">
        <v>1082</v>
      </c>
      <c r="BE2" s="499"/>
      <c r="BF2" s="499"/>
      <c r="BG2" s="499"/>
      <c r="BI2" s="493" t="s">
        <v>1091</v>
      </c>
    </row>
    <row r="3" spans="1:99" ht="15" thickBot="1">
      <c r="A3">
        <f>B3-C3</f>
        <v>1</v>
      </c>
      <c r="B3">
        <v>214</v>
      </c>
      <c r="C3">
        <v>213</v>
      </c>
      <c r="D3" t="s">
        <v>1043</v>
      </c>
      <c r="E3">
        <v>213</v>
      </c>
      <c r="F3">
        <v>0</v>
      </c>
      <c r="G3">
        <v>1.2</v>
      </c>
      <c r="H3">
        <v>642</v>
      </c>
      <c r="I3">
        <v>5</v>
      </c>
      <c r="J3">
        <v>331061.26426600001</v>
      </c>
      <c r="K3">
        <v>4972250.50404</v>
      </c>
      <c r="L3">
        <v>331053.77267600002</v>
      </c>
      <c r="M3">
        <v>4972542.2163380003</v>
      </c>
      <c r="N3">
        <v>6887</v>
      </c>
      <c r="O3">
        <v>16.228684000000001</v>
      </c>
      <c r="P3">
        <v>16.228684000000001</v>
      </c>
      <c r="Q3">
        <v>3</v>
      </c>
      <c r="R3">
        <v>-6657.4966670000003</v>
      </c>
      <c r="S3">
        <v>-6657.0066669999997</v>
      </c>
      <c r="T3">
        <v>-6656.5633330000001</v>
      </c>
      <c r="U3">
        <v>-6655.5033329999997</v>
      </c>
      <c r="V3">
        <v>-6657.3733329999995</v>
      </c>
      <c r="W3">
        <v>-6656.6266670000005</v>
      </c>
      <c r="X3">
        <v>-6657</v>
      </c>
      <c r="Y3">
        <v>-6657.81</v>
      </c>
      <c r="Z3">
        <v>-6657.6933330000002</v>
      </c>
      <c r="AA3">
        <v>-5900.6666670000004</v>
      </c>
      <c r="AB3">
        <v>23681266.333333001</v>
      </c>
      <c r="AC3">
        <v>24.125184999999998</v>
      </c>
      <c r="AD3">
        <v>29.666878000000001</v>
      </c>
      <c r="AE3">
        <v>75</v>
      </c>
      <c r="AF3">
        <v>582.33333300000004</v>
      </c>
      <c r="AG3">
        <v>7799.377152</v>
      </c>
      <c r="AH3">
        <v>581030.49461299996</v>
      </c>
      <c r="AI3">
        <v>1067.8182380000001</v>
      </c>
      <c r="AJ3">
        <v>1</v>
      </c>
      <c r="AK3">
        <v>0</v>
      </c>
      <c r="AL3" s="15">
        <f>AK3+27.34</f>
        <v>27.34</v>
      </c>
      <c r="AM3" s="26"/>
      <c r="AN3">
        <f t="shared" ref="AN3:AN34" si="0">INDEX($BF$5:$BF$570,MATCH($AL3,$BD$5:$BD$570,-1))</f>
        <v>19.707799999999999</v>
      </c>
      <c r="AO3" s="499">
        <f t="shared" ref="AO3:AO34" si="1">INDEX($BE$5:$BE$570,MATCH($AL3,$BD$5:$BD$570,-1))</f>
        <v>26.541623588709687</v>
      </c>
      <c r="AP3" s="499">
        <f t="shared" ref="AP3:AP34" si="2">INDEX($BG$5:$BG$570,MATCH($AL3,$BD$5:$BD$570,-1))</f>
        <v>26.25312687833333</v>
      </c>
      <c r="AR3" s="512" t="s">
        <v>981</v>
      </c>
      <c r="AS3" s="242" t="s">
        <v>983</v>
      </c>
      <c r="AT3" s="242" t="s">
        <v>979</v>
      </c>
      <c r="AU3" s="242" t="s">
        <v>980</v>
      </c>
      <c r="AV3" s="613" t="s">
        <v>1083</v>
      </c>
      <c r="AW3" s="613" t="s">
        <v>1078</v>
      </c>
      <c r="AX3" s="613" t="s">
        <v>1081</v>
      </c>
      <c r="AY3" s="242" t="s">
        <v>982</v>
      </c>
      <c r="AZ3" s="613" t="s">
        <v>1088</v>
      </c>
      <c r="BA3" s="613" t="s">
        <v>1089</v>
      </c>
      <c r="BB3" s="614" t="s">
        <v>1087</v>
      </c>
      <c r="BD3" s="499" t="s">
        <v>1047</v>
      </c>
      <c r="BE3" s="499"/>
      <c r="BF3" s="499"/>
      <c r="BG3" s="499"/>
      <c r="BI3" t="s">
        <v>1085</v>
      </c>
      <c r="BO3" t="s">
        <v>1090</v>
      </c>
      <c r="BU3" t="s">
        <v>1086</v>
      </c>
      <c r="CA3" s="499"/>
      <c r="CB3" s="499"/>
      <c r="CC3" s="499"/>
      <c r="CD3" s="499"/>
      <c r="CE3" s="499"/>
      <c r="CQ3" t="s">
        <v>1139</v>
      </c>
    </row>
    <row r="4" spans="1:99">
      <c r="A4" s="499">
        <f>B4-C4</f>
        <v>1</v>
      </c>
      <c r="B4">
        <v>335</v>
      </c>
      <c r="C4">
        <v>334</v>
      </c>
      <c r="D4" t="s">
        <v>1043</v>
      </c>
      <c r="E4">
        <v>334</v>
      </c>
      <c r="F4">
        <v>0</v>
      </c>
      <c r="G4">
        <v>0.9</v>
      </c>
      <c r="H4">
        <v>615</v>
      </c>
      <c r="I4">
        <v>3</v>
      </c>
      <c r="J4">
        <v>331407.28658700001</v>
      </c>
      <c r="K4">
        <v>4971675.8804900004</v>
      </c>
      <c r="L4">
        <v>331414.556323</v>
      </c>
      <c r="M4">
        <v>4972044.8346600002</v>
      </c>
      <c r="N4">
        <v>6883</v>
      </c>
      <c r="O4">
        <v>16.847607</v>
      </c>
      <c r="P4">
        <v>16.847607</v>
      </c>
      <c r="Q4">
        <v>3</v>
      </c>
      <c r="R4">
        <v>-6657.4966670000003</v>
      </c>
      <c r="S4">
        <v>-6657.0066669999997</v>
      </c>
      <c r="T4">
        <v>-6656.5633330000001</v>
      </c>
      <c r="U4">
        <v>-6655.5033329999997</v>
      </c>
      <c r="V4">
        <v>-6657.3733329999995</v>
      </c>
      <c r="W4">
        <v>-6656.6266670000005</v>
      </c>
      <c r="X4">
        <v>-6657</v>
      </c>
      <c r="Y4">
        <v>-6657.81</v>
      </c>
      <c r="Z4">
        <v>-6657.6933330000002</v>
      </c>
      <c r="AA4">
        <v>-5900.6666670000004</v>
      </c>
      <c r="AB4">
        <v>23681266.333333001</v>
      </c>
      <c r="AC4">
        <v>24.125184999999998</v>
      </c>
      <c r="AD4">
        <v>29.666878000000001</v>
      </c>
      <c r="AE4">
        <v>75</v>
      </c>
      <c r="AF4">
        <v>582.33333300000004</v>
      </c>
      <c r="AG4">
        <v>7799.377152</v>
      </c>
      <c r="AH4">
        <v>581030.49461299996</v>
      </c>
      <c r="AI4">
        <v>907.17723699999999</v>
      </c>
      <c r="AJ4">
        <v>2</v>
      </c>
      <c r="AK4">
        <f>AK3+AI3/1000</f>
        <v>1.0678182380000001</v>
      </c>
      <c r="AL4" s="15">
        <f t="shared" ref="AL4:AL66" si="3">AK4+27.34</f>
        <v>28.407818238000001</v>
      </c>
      <c r="AM4" s="15"/>
      <c r="AN4" s="499">
        <f t="shared" si="0"/>
        <v>19.837932661290314</v>
      </c>
      <c r="AO4" s="499">
        <f t="shared" si="1"/>
        <v>26.651279435483872</v>
      </c>
      <c r="AP4" s="499">
        <f t="shared" si="2"/>
        <v>26.398363638562273</v>
      </c>
      <c r="AR4" s="584">
        <v>30</v>
      </c>
      <c r="AS4" s="469">
        <v>415</v>
      </c>
      <c r="AT4" s="469">
        <v>0</v>
      </c>
      <c r="AU4" s="469">
        <f>IF(AW4&gt;=24.4,1,0)</f>
        <v>1</v>
      </c>
      <c r="AV4" s="469">
        <v>30</v>
      </c>
      <c r="AW4" s="469">
        <v>30</v>
      </c>
      <c r="AX4" s="469">
        <v>30</v>
      </c>
      <c r="AY4" s="469">
        <v>77.005773000000005</v>
      </c>
      <c r="AZ4" s="13"/>
      <c r="BA4" s="13"/>
      <c r="BB4" s="97"/>
      <c r="BD4" s="5" t="s">
        <v>1048</v>
      </c>
      <c r="BE4" s="5" t="s">
        <v>1083</v>
      </c>
      <c r="BF4" s="5" t="s">
        <v>1078</v>
      </c>
      <c r="BG4" s="5" t="s">
        <v>1081</v>
      </c>
      <c r="BI4" s="499" t="s">
        <v>618</v>
      </c>
      <c r="BJ4" t="s">
        <v>979</v>
      </c>
      <c r="BK4" t="s">
        <v>980</v>
      </c>
      <c r="BL4" t="s">
        <v>981</v>
      </c>
      <c r="BM4" t="s">
        <v>982</v>
      </c>
      <c r="BO4" s="499" t="s">
        <v>618</v>
      </c>
      <c r="BP4" s="499" t="s">
        <v>979</v>
      </c>
      <c r="BQ4" s="499" t="s">
        <v>980</v>
      </c>
      <c r="BR4" s="499" t="s">
        <v>981</v>
      </c>
      <c r="BS4" s="499" t="s">
        <v>982</v>
      </c>
      <c r="BU4" s="499" t="str">
        <f t="shared" ref="BU4" si="4">BI4</f>
        <v>ID</v>
      </c>
      <c r="BV4" s="499" t="str">
        <f t="shared" ref="BV4" si="5">BJ4</f>
        <v>bfw</v>
      </c>
      <c r="BW4" s="499" t="str">
        <f t="shared" ref="BW4" si="6">BK4</f>
        <v>Tlev</v>
      </c>
      <c r="BX4" s="499" t="str">
        <f t="shared" ref="BX4" si="7">BL4</f>
        <v>maxT</v>
      </c>
      <c r="BY4" s="499" t="str">
        <f t="shared" ref="BY4" si="8">BM4</f>
        <v>s.length</v>
      </c>
      <c r="CA4" t="s">
        <v>979</v>
      </c>
      <c r="CB4" t="s">
        <v>980</v>
      </c>
      <c r="CC4" t="s">
        <v>981</v>
      </c>
      <c r="CD4" t="s">
        <v>982</v>
      </c>
      <c r="CG4" t="s">
        <v>1094</v>
      </c>
      <c r="CH4" t="s">
        <v>1078</v>
      </c>
      <c r="CI4" t="s">
        <v>1095</v>
      </c>
      <c r="CJ4" t="s">
        <v>1096</v>
      </c>
    </row>
    <row r="5" spans="1:99">
      <c r="A5" s="499">
        <f t="shared" ref="A5:A68" si="9">B5-C5</f>
        <v>1</v>
      </c>
      <c r="B5">
        <v>378</v>
      </c>
      <c r="C5">
        <v>377</v>
      </c>
      <c r="D5" t="s">
        <v>1043</v>
      </c>
      <c r="E5">
        <v>377</v>
      </c>
      <c r="F5">
        <v>0</v>
      </c>
      <c r="G5">
        <v>1</v>
      </c>
      <c r="H5">
        <v>616</v>
      </c>
      <c r="I5">
        <v>4</v>
      </c>
      <c r="J5">
        <v>332021.65224199998</v>
      </c>
      <c r="K5">
        <v>4971600.4327499997</v>
      </c>
      <c r="L5">
        <v>332007.871033</v>
      </c>
      <c r="M5">
        <v>4971936.8671199996</v>
      </c>
      <c r="N5">
        <v>6879.5</v>
      </c>
      <c r="O5">
        <v>16.399768000000002</v>
      </c>
      <c r="P5">
        <v>16.399768000000002</v>
      </c>
      <c r="Q5">
        <v>1</v>
      </c>
      <c r="R5">
        <v>-9999</v>
      </c>
      <c r="S5">
        <v>-9999</v>
      </c>
      <c r="T5">
        <v>-9999</v>
      </c>
      <c r="U5">
        <v>-9999</v>
      </c>
      <c r="V5">
        <v>-9999</v>
      </c>
      <c r="W5">
        <v>-9999</v>
      </c>
      <c r="X5">
        <v>-9999</v>
      </c>
      <c r="Y5">
        <v>-9999</v>
      </c>
      <c r="Z5">
        <v>-9999</v>
      </c>
      <c r="AA5">
        <v>-9999</v>
      </c>
      <c r="AB5">
        <v>23681169</v>
      </c>
      <c r="AC5">
        <v>22.6</v>
      </c>
      <c r="AD5">
        <v>26.794280000000001</v>
      </c>
      <c r="AE5">
        <v>75</v>
      </c>
      <c r="AF5">
        <v>570</v>
      </c>
      <c r="AG5">
        <v>5724.8040769999998</v>
      </c>
      <c r="AH5">
        <v>412675.85578300001</v>
      </c>
      <c r="AI5">
        <v>1000.118677</v>
      </c>
      <c r="AJ5">
        <v>3</v>
      </c>
      <c r="AK5" s="499">
        <f>AK4+AI4/1000</f>
        <v>1.9749954750000001</v>
      </c>
      <c r="AL5" s="15">
        <f t="shared" si="3"/>
        <v>29.314995475</v>
      </c>
      <c r="AM5" s="15"/>
      <c r="AN5" s="499">
        <f t="shared" si="0"/>
        <v>19.973688709677422</v>
      </c>
      <c r="AO5" s="499">
        <f t="shared" si="1"/>
        <v>26.771375201612905</v>
      </c>
      <c r="AP5" s="499">
        <f t="shared" si="2"/>
        <v>26.56373015273352</v>
      </c>
      <c r="AR5" s="584">
        <v>20.800049999999999</v>
      </c>
      <c r="AS5" s="469">
        <v>245</v>
      </c>
      <c r="AT5" s="469">
        <v>0</v>
      </c>
      <c r="AU5" s="469">
        <f t="shared" ref="AU5:AU7" si="10">IF(AW5&gt;=24.4,1,0)</f>
        <v>0</v>
      </c>
      <c r="AV5" s="469">
        <v>20.800049999999999</v>
      </c>
      <c r="AW5" s="469">
        <v>20.800049999999999</v>
      </c>
      <c r="AX5" s="469">
        <v>20.800049999999999</v>
      </c>
      <c r="AY5" s="469">
        <v>87.685446999999996</v>
      </c>
      <c r="AZ5" s="13"/>
      <c r="BA5" s="13"/>
      <c r="BB5" s="97"/>
      <c r="BD5" s="499">
        <v>112.95</v>
      </c>
      <c r="BE5" s="499">
        <v>23.042641129032265</v>
      </c>
      <c r="BF5" s="499">
        <v>23.042641129032265</v>
      </c>
      <c r="BG5" s="499">
        <v>20.796700512820511</v>
      </c>
      <c r="BI5" s="499">
        <f>AS8</f>
        <v>323</v>
      </c>
      <c r="BJ5" s="499">
        <f>AT8</f>
        <v>1.726485</v>
      </c>
      <c r="BK5" s="5">
        <f>IF(BL5&gt;=24.4,1,0)</f>
        <v>0</v>
      </c>
      <c r="BL5">
        <f>AR8</f>
        <v>21.599999999999998</v>
      </c>
      <c r="BM5">
        <f>AY8</f>
        <v>864.74902899999995</v>
      </c>
      <c r="BO5" s="499">
        <f>BI5</f>
        <v>323</v>
      </c>
      <c r="BP5" s="499">
        <f>BJ5</f>
        <v>1.726485</v>
      </c>
      <c r="BQ5" s="5">
        <f>IF(BR5&gt;=24.4,1,0)</f>
        <v>0</v>
      </c>
      <c r="BR5" s="499">
        <f>$BL5-AZ8</f>
        <v>21.599999999999998</v>
      </c>
      <c r="BS5" s="499">
        <f t="shared" ref="BS5:BS69" si="11">BM5</f>
        <v>864.74902899999995</v>
      </c>
      <c r="BU5" s="499">
        <f>BI5</f>
        <v>323</v>
      </c>
      <c r="BV5" s="499">
        <f>BJ5</f>
        <v>1.726485</v>
      </c>
      <c r="BW5" s="5">
        <f t="shared" ref="BW5:BW68" si="12">IF(BX5&gt;=24.4,1,0)</f>
        <v>0</v>
      </c>
      <c r="BX5" s="499">
        <f>$BL5-BA8</f>
        <v>21.599999999999998</v>
      </c>
      <c r="BY5" s="499">
        <f>BM5</f>
        <v>864.74902899999995</v>
      </c>
      <c r="CA5">
        <v>323</v>
      </c>
      <c r="CB5">
        <v>1.726485</v>
      </c>
      <c r="CC5">
        <v>0</v>
      </c>
      <c r="CD5">
        <v>21.6</v>
      </c>
      <c r="CE5">
        <v>864.74902899999995</v>
      </c>
      <c r="CG5">
        <f>BK5</f>
        <v>0</v>
      </c>
      <c r="CH5">
        <f>BQ5</f>
        <v>0</v>
      </c>
      <c r="CI5">
        <f>BW5</f>
        <v>0</v>
      </c>
      <c r="CJ5">
        <f>CC5</f>
        <v>0</v>
      </c>
      <c r="CM5" s="28" t="s">
        <v>1135</v>
      </c>
      <c r="CN5" s="28" t="s">
        <v>303</v>
      </c>
      <c r="CQ5" t="s">
        <v>1136</v>
      </c>
      <c r="CR5" t="s">
        <v>1137</v>
      </c>
      <c r="CS5" t="s">
        <v>1138</v>
      </c>
      <c r="CT5" t="s">
        <v>1078</v>
      </c>
      <c r="CU5" t="s">
        <v>1095</v>
      </c>
    </row>
    <row r="6" spans="1:99">
      <c r="A6" s="499">
        <f t="shared" si="9"/>
        <v>1</v>
      </c>
      <c r="B6">
        <v>89</v>
      </c>
      <c r="C6">
        <v>88</v>
      </c>
      <c r="D6" t="s">
        <v>1043</v>
      </c>
      <c r="E6">
        <v>88</v>
      </c>
      <c r="F6">
        <v>0</v>
      </c>
      <c r="G6">
        <v>1</v>
      </c>
      <c r="H6">
        <v>617</v>
      </c>
      <c r="I6">
        <v>4</v>
      </c>
      <c r="J6">
        <v>332430.72552699997</v>
      </c>
      <c r="K6">
        <v>4971517.5236719996</v>
      </c>
      <c r="L6">
        <v>332576.07997000002</v>
      </c>
      <c r="M6">
        <v>4971828.5800550003</v>
      </c>
      <c r="N6">
        <v>6875.5</v>
      </c>
      <c r="O6">
        <v>16.079549</v>
      </c>
      <c r="P6">
        <v>16.079549</v>
      </c>
      <c r="Q6">
        <v>3</v>
      </c>
      <c r="R6">
        <v>-6657.65</v>
      </c>
      <c r="S6">
        <v>-6657.31</v>
      </c>
      <c r="T6">
        <v>-6656.7666669999999</v>
      </c>
      <c r="U6">
        <v>-6655.7133329999997</v>
      </c>
      <c r="V6">
        <v>-6657.7166669999997</v>
      </c>
      <c r="W6">
        <v>-6657.2233329999999</v>
      </c>
      <c r="X6">
        <v>-6657.48</v>
      </c>
      <c r="Y6">
        <v>-6658.5533329999998</v>
      </c>
      <c r="Z6">
        <v>-6658.1633330000004</v>
      </c>
      <c r="AA6">
        <v>-5963</v>
      </c>
      <c r="AB6">
        <v>23681169.666666999</v>
      </c>
      <c r="AC6">
        <v>23.635926000000001</v>
      </c>
      <c r="AD6">
        <v>29.041609999999999</v>
      </c>
      <c r="AE6">
        <v>75</v>
      </c>
      <c r="AF6">
        <v>565</v>
      </c>
      <c r="AG6">
        <v>5019.8405130000001</v>
      </c>
      <c r="AH6">
        <v>359395.34225599997</v>
      </c>
      <c r="AI6">
        <v>1000.155572</v>
      </c>
      <c r="AJ6">
        <v>4</v>
      </c>
      <c r="AK6" s="499">
        <f t="shared" ref="AK6:AK69" si="13">AK5+AI5/1000</f>
        <v>2.9751141520000002</v>
      </c>
      <c r="AL6" s="15">
        <f t="shared" si="3"/>
        <v>30.315114152</v>
      </c>
      <c r="AM6" s="15"/>
      <c r="AN6" s="499">
        <f t="shared" si="0"/>
        <v>20.072313508064514</v>
      </c>
      <c r="AO6" s="499">
        <f t="shared" si="1"/>
        <v>26.803887701612901</v>
      </c>
      <c r="AP6" s="499">
        <f t="shared" si="2"/>
        <v>26.649461870952379</v>
      </c>
      <c r="AR6" s="584">
        <v>21.791024</v>
      </c>
      <c r="AS6" s="469">
        <v>370</v>
      </c>
      <c r="AT6" s="469">
        <v>0</v>
      </c>
      <c r="AU6" s="469">
        <f t="shared" si="10"/>
        <v>0</v>
      </c>
      <c r="AV6" s="469">
        <v>21.791024</v>
      </c>
      <c r="AW6" s="469">
        <v>21.791024</v>
      </c>
      <c r="AX6" s="469">
        <v>21.791024</v>
      </c>
      <c r="AY6" s="469">
        <v>73.370135000000005</v>
      </c>
      <c r="AZ6" s="13"/>
      <c r="BA6" s="13"/>
      <c r="BB6" s="97"/>
      <c r="BC6" s="499"/>
      <c r="BD6" s="499">
        <v>112.75</v>
      </c>
      <c r="BE6" s="499">
        <v>22.97681491935484</v>
      </c>
      <c r="BF6" s="499">
        <v>22.923910685483872</v>
      </c>
      <c r="BG6" s="499">
        <v>20.778397043814106</v>
      </c>
      <c r="BI6" s="499">
        <f t="shared" ref="BI6:BJ6" si="14">AS9</f>
        <v>348</v>
      </c>
      <c r="BJ6" s="499">
        <f t="shared" si="14"/>
        <v>2.046754</v>
      </c>
      <c r="BK6" s="5">
        <f t="shared" ref="BK6:BK69" si="15">IF(BL6&gt;=24.4,1,0)</f>
        <v>0</v>
      </c>
      <c r="BL6" s="499">
        <f t="shared" ref="BL6:BL69" si="16">AR9</f>
        <v>21.599999999999998</v>
      </c>
      <c r="BM6" s="499">
        <f t="shared" ref="BM6:BM69" si="17">AY9</f>
        <v>998.70048299999996</v>
      </c>
      <c r="BO6" s="499">
        <f t="shared" ref="BO6:BO69" si="18">BI6</f>
        <v>348</v>
      </c>
      <c r="BP6" s="499">
        <f t="shared" ref="BP6:BP69" si="19">BJ6</f>
        <v>2.046754</v>
      </c>
      <c r="BQ6" s="5">
        <f t="shared" ref="BQ6:BQ68" si="20">IF(BR6&gt;=24.4,1,0)</f>
        <v>0</v>
      </c>
      <c r="BR6" s="499">
        <f t="shared" ref="BR6:BR69" si="21">$BL6-AZ9</f>
        <v>21.599999999999998</v>
      </c>
      <c r="BS6" s="499">
        <f t="shared" si="11"/>
        <v>998.70048299999996</v>
      </c>
      <c r="BU6" s="499">
        <f t="shared" ref="BU6:BU69" si="22">BI6</f>
        <v>348</v>
      </c>
      <c r="BV6" s="499">
        <f t="shared" ref="BV6:BV69" si="23">BJ6</f>
        <v>2.046754</v>
      </c>
      <c r="BW6" s="5">
        <f t="shared" si="12"/>
        <v>0</v>
      </c>
      <c r="BX6" s="499">
        <f t="shared" ref="BX6:BX69" si="24">$BL6-BA9</f>
        <v>21.599999999999998</v>
      </c>
      <c r="BY6" s="499">
        <f t="shared" ref="BY6:BY69" si="25">BM6</f>
        <v>998.70048299999996</v>
      </c>
      <c r="CA6">
        <v>348</v>
      </c>
      <c r="CB6">
        <v>2.046754</v>
      </c>
      <c r="CC6">
        <v>0</v>
      </c>
      <c r="CD6">
        <v>21.6</v>
      </c>
      <c r="CE6">
        <v>998.70048299999996</v>
      </c>
      <c r="CG6" s="499">
        <f t="shared" ref="CG6:CG69" si="26">BK6</f>
        <v>0</v>
      </c>
      <c r="CH6" s="499">
        <f t="shared" ref="CH6:CH69" si="27">BQ6</f>
        <v>0</v>
      </c>
      <c r="CI6" s="499">
        <f t="shared" ref="CI6:CI69" si="28">BW6</f>
        <v>0</v>
      </c>
      <c r="CJ6" s="499">
        <f t="shared" ref="CJ6:CJ69" si="29">CC6</f>
        <v>0</v>
      </c>
      <c r="CM6" s="28">
        <v>10</v>
      </c>
      <c r="CN6" s="65">
        <f>(97.886/(1+EXP(-((CM6-24.35322)/-0.5033))))/100</f>
        <v>0.97885999999959683</v>
      </c>
      <c r="CQ6" s="65">
        <f>(97.886/(1+EXP(-((BL5-24.35322)/-0.5033))))/100</f>
        <v>0.97475645241763909</v>
      </c>
      <c r="CR6">
        <f>(97.886/(1+EXP(-((BR5-24.35322)/-0.5033))))/100</f>
        <v>0.97475645241763909</v>
      </c>
      <c r="CS6">
        <f>(97.886/(1+EXP(-((BX5-24.35322)/-0.5033))))/100</f>
        <v>0.97475645241763909</v>
      </c>
      <c r="CT6" s="38">
        <f>CR6/CQ6</f>
        <v>1</v>
      </c>
      <c r="CU6" s="498">
        <f>CS6/CQ6</f>
        <v>1</v>
      </c>
    </row>
    <row r="7" spans="1:99">
      <c r="A7" s="499">
        <f t="shared" si="9"/>
        <v>1</v>
      </c>
      <c r="B7">
        <v>399</v>
      </c>
      <c r="C7">
        <v>398</v>
      </c>
      <c r="D7" t="s">
        <v>1043</v>
      </c>
      <c r="E7">
        <v>398</v>
      </c>
      <c r="F7">
        <v>0</v>
      </c>
      <c r="G7">
        <v>1</v>
      </c>
      <c r="H7">
        <v>618</v>
      </c>
      <c r="I7">
        <v>4</v>
      </c>
      <c r="J7">
        <v>332723.591098</v>
      </c>
      <c r="K7">
        <v>4970788.6731380001</v>
      </c>
      <c r="L7">
        <v>332823.79840999999</v>
      </c>
      <c r="M7">
        <v>4971123.6436670003</v>
      </c>
      <c r="N7">
        <v>6871.5</v>
      </c>
      <c r="O7">
        <v>16.197050999999998</v>
      </c>
      <c r="P7">
        <v>16.197050999999998</v>
      </c>
      <c r="Q7">
        <v>1</v>
      </c>
      <c r="R7">
        <v>-9999</v>
      </c>
      <c r="S7">
        <v>-9999</v>
      </c>
      <c r="T7">
        <v>-9999</v>
      </c>
      <c r="U7">
        <v>-9999</v>
      </c>
      <c r="V7">
        <v>-9999</v>
      </c>
      <c r="W7">
        <v>-9999</v>
      </c>
      <c r="X7">
        <v>-9999</v>
      </c>
      <c r="Y7">
        <v>-9999</v>
      </c>
      <c r="Z7">
        <v>-9999</v>
      </c>
      <c r="AA7">
        <v>-9999</v>
      </c>
      <c r="AB7">
        <v>23681171</v>
      </c>
      <c r="AC7">
        <v>22.5</v>
      </c>
      <c r="AD7">
        <v>26.705449999999999</v>
      </c>
      <c r="AE7">
        <v>75</v>
      </c>
      <c r="AF7">
        <v>563</v>
      </c>
      <c r="AG7">
        <v>4793.0365700000002</v>
      </c>
      <c r="AH7">
        <v>342328.01801599999</v>
      </c>
      <c r="AI7">
        <v>999.88487499999997</v>
      </c>
      <c r="AJ7">
        <v>5</v>
      </c>
      <c r="AK7" s="499">
        <f t="shared" si="13"/>
        <v>3.9752697240000003</v>
      </c>
      <c r="AL7" s="15">
        <f t="shared" si="3"/>
        <v>31.315269724</v>
      </c>
      <c r="AM7" s="15"/>
      <c r="AN7" s="499">
        <f t="shared" si="0"/>
        <v>20.135279233870968</v>
      </c>
      <c r="AO7" s="499">
        <f t="shared" si="1"/>
        <v>27.115176411290324</v>
      </c>
      <c r="AP7" s="499">
        <f t="shared" si="2"/>
        <v>26.747024141446889</v>
      </c>
      <c r="AR7" s="584">
        <v>22.346617999999999</v>
      </c>
      <c r="AS7" s="469">
        <v>413</v>
      </c>
      <c r="AT7" s="469">
        <v>0</v>
      </c>
      <c r="AU7" s="469">
        <f t="shared" si="10"/>
        <v>0</v>
      </c>
      <c r="AV7" s="469">
        <v>22.346617999999999</v>
      </c>
      <c r="AW7" s="469">
        <v>22.346617999999999</v>
      </c>
      <c r="AX7" s="469">
        <v>22.346617999999999</v>
      </c>
      <c r="AY7" s="469">
        <v>170.67234500000001</v>
      </c>
      <c r="AZ7" s="13"/>
      <c r="BA7" s="13"/>
      <c r="BB7" s="97"/>
      <c r="BC7" s="499"/>
      <c r="BD7" s="499">
        <v>112.55</v>
      </c>
      <c r="BE7" s="499">
        <v>22.96766008064516</v>
      </c>
      <c r="BF7" s="499">
        <v>22.769924999999997</v>
      </c>
      <c r="BG7" s="499">
        <v>20.783573010384618</v>
      </c>
      <c r="BI7" s="499">
        <f t="shared" ref="BI7:BJ7" si="30">AS10</f>
        <v>13</v>
      </c>
      <c r="BJ7" s="499">
        <f t="shared" si="30"/>
        <v>2.075091</v>
      </c>
      <c r="BK7" s="5">
        <f t="shared" si="15"/>
        <v>0</v>
      </c>
      <c r="BL7" s="499">
        <f t="shared" si="16"/>
        <v>21.599999999999998</v>
      </c>
      <c r="BM7" s="499">
        <f t="shared" si="17"/>
        <v>999.28890899999999</v>
      </c>
      <c r="BO7" s="499">
        <f t="shared" si="18"/>
        <v>13</v>
      </c>
      <c r="BP7" s="499">
        <f t="shared" si="19"/>
        <v>2.075091</v>
      </c>
      <c r="BQ7" s="5">
        <f t="shared" si="20"/>
        <v>0</v>
      </c>
      <c r="BR7" s="499">
        <f t="shared" si="21"/>
        <v>21.599999999999998</v>
      </c>
      <c r="BS7" s="499">
        <f t="shared" si="11"/>
        <v>999.28890899999999</v>
      </c>
      <c r="BU7" s="499">
        <f t="shared" si="22"/>
        <v>13</v>
      </c>
      <c r="BV7" s="499">
        <f t="shared" si="23"/>
        <v>2.075091</v>
      </c>
      <c r="BW7" s="5">
        <f t="shared" si="12"/>
        <v>0</v>
      </c>
      <c r="BX7" s="499">
        <f t="shared" si="24"/>
        <v>21.599999999999998</v>
      </c>
      <c r="BY7" s="499">
        <f t="shared" si="25"/>
        <v>999.28890899999999</v>
      </c>
      <c r="CA7">
        <v>13</v>
      </c>
      <c r="CB7">
        <v>2.075091</v>
      </c>
      <c r="CC7">
        <v>0</v>
      </c>
      <c r="CD7">
        <v>21.6</v>
      </c>
      <c r="CE7">
        <v>999.28890899999999</v>
      </c>
      <c r="CG7" s="499">
        <f t="shared" si="26"/>
        <v>0</v>
      </c>
      <c r="CH7" s="499">
        <f t="shared" si="27"/>
        <v>0</v>
      </c>
      <c r="CI7" s="499">
        <f t="shared" si="28"/>
        <v>0</v>
      </c>
      <c r="CJ7" s="499">
        <f t="shared" si="29"/>
        <v>0</v>
      </c>
      <c r="CM7" s="28">
        <v>11</v>
      </c>
      <c r="CN7" s="65">
        <f t="shared" ref="CN7:CN26" si="31">(97.886/(1+EXP(-((CM7-24.35322)/-0.5033))))/100</f>
        <v>0.9788599999970603</v>
      </c>
      <c r="CP7" s="499"/>
      <c r="CQ7" s="65">
        <f t="shared" ref="CQ7:CQ70" si="32">(97.886/(1+EXP(-((BL6-24.35322)/-0.5033))))/100</f>
        <v>0.97475645241763909</v>
      </c>
      <c r="CR7" s="499">
        <f t="shared" ref="CR7:CR70" si="33">(97.886/(1+EXP(-((BR6-24.35322)/-0.5033))))/100</f>
        <v>0.97475645241763909</v>
      </c>
      <c r="CS7" s="499">
        <f t="shared" ref="CS7:CS70" si="34">(97.886/(1+EXP(-((BX6-24.35322)/-0.5033))))/100</f>
        <v>0.97475645241763909</v>
      </c>
      <c r="CT7" s="38">
        <f t="shared" ref="CT7:CT70" si="35">CR7/CQ7</f>
        <v>1</v>
      </c>
      <c r="CU7" s="498">
        <f t="shared" ref="CU7:CU70" si="36">CS7/CQ7</f>
        <v>1</v>
      </c>
    </row>
    <row r="8" spans="1:99">
      <c r="A8" s="499">
        <f t="shared" si="9"/>
        <v>1</v>
      </c>
      <c r="B8">
        <v>75</v>
      </c>
      <c r="C8">
        <v>74</v>
      </c>
      <c r="D8" t="s">
        <v>1043</v>
      </c>
      <c r="E8">
        <v>74</v>
      </c>
      <c r="F8">
        <v>0</v>
      </c>
      <c r="G8">
        <v>1</v>
      </c>
      <c r="H8">
        <v>619</v>
      </c>
      <c r="I8">
        <v>4</v>
      </c>
      <c r="J8">
        <v>333225.01964000001</v>
      </c>
      <c r="K8">
        <v>4970941.6776219998</v>
      </c>
      <c r="L8">
        <v>333221.40207000001</v>
      </c>
      <c r="M8">
        <v>4971179.4756199997</v>
      </c>
      <c r="N8">
        <v>6867.5</v>
      </c>
      <c r="O8">
        <v>16.277920000000002</v>
      </c>
      <c r="P8">
        <v>16.277920000000002</v>
      </c>
      <c r="Q8">
        <v>3</v>
      </c>
      <c r="R8">
        <v>-6657.2533329999997</v>
      </c>
      <c r="S8">
        <v>-6656.603333</v>
      </c>
      <c r="T8">
        <v>-6656.1333329999998</v>
      </c>
      <c r="U8">
        <v>-6655.2866670000003</v>
      </c>
      <c r="V8">
        <v>-6657.07</v>
      </c>
      <c r="W8">
        <v>-6656.44</v>
      </c>
      <c r="X8">
        <v>-6656.8833329999998</v>
      </c>
      <c r="Y8">
        <v>-6657.68</v>
      </c>
      <c r="Z8">
        <v>-6657.5166669999999</v>
      </c>
      <c r="AA8">
        <v>-5965.6666670000004</v>
      </c>
      <c r="AB8">
        <v>23681359.666666999</v>
      </c>
      <c r="AC8">
        <v>24.203703999999998</v>
      </c>
      <c r="AD8">
        <v>29.856717</v>
      </c>
      <c r="AE8">
        <v>75</v>
      </c>
      <c r="AF8">
        <v>568</v>
      </c>
      <c r="AG8">
        <v>4319.225093</v>
      </c>
      <c r="AH8">
        <v>306636.63442900003</v>
      </c>
      <c r="AI8">
        <v>1000.837808</v>
      </c>
      <c r="AJ8">
        <v>6</v>
      </c>
      <c r="AK8" s="499">
        <f t="shared" si="13"/>
        <v>4.9751545990000006</v>
      </c>
      <c r="AL8" s="15">
        <f t="shared" si="3"/>
        <v>32.315154599000003</v>
      </c>
      <c r="AM8" s="15"/>
      <c r="AN8" s="499">
        <f t="shared" si="0"/>
        <v>20.089782862903228</v>
      </c>
      <c r="AO8" s="499">
        <f t="shared" si="1"/>
        <v>26.999634677419348</v>
      </c>
      <c r="AP8" s="499">
        <f t="shared" si="2"/>
        <v>26.522281023768311</v>
      </c>
      <c r="AR8" s="585">
        <v>21.599999999999998</v>
      </c>
      <c r="AS8" s="13">
        <v>323</v>
      </c>
      <c r="AT8" s="13">
        <v>1.726485</v>
      </c>
      <c r="AU8" s="13">
        <f>IF(AW8&gt;=24.4,1,0)</f>
        <v>0</v>
      </c>
      <c r="AV8" s="13">
        <f>IF(ISERROR(VLOOKUP(AS8,B$3:AP$102,40,FALSE))=TRUE,AR8,VLOOKUP(AS8,B$3:AP$102,40,FALSE))</f>
        <v>21.599999999999998</v>
      </c>
      <c r="AW8" s="612">
        <f>IF(ISERROR(VLOOKUP(AS8,B$3:AP$102,39,FALSE))=TRUE,AR8,VLOOKUP(AS8,B$3:AP$102,39,FALSE))</f>
        <v>21.599999999999998</v>
      </c>
      <c r="AX8" s="612">
        <f>IF(ISERROR(VLOOKUP(AS8,B$3:AP$102,41,FALSE))=TRUE,AR8,VLOOKUP(AS8,B$3:AP$102,41,FALSE))</f>
        <v>21.599999999999998</v>
      </c>
      <c r="AY8" s="13">
        <v>864.74902899999995</v>
      </c>
      <c r="AZ8" s="13">
        <f>IF($AV8=0,0,$AV8-AW8)</f>
        <v>0</v>
      </c>
      <c r="BA8" s="13">
        <f>IF($AV8=0,0,$AV8-AX8)</f>
        <v>0</v>
      </c>
      <c r="BB8" s="97">
        <f>IF(AV8=0,0,$AR8-AV8)</f>
        <v>0</v>
      </c>
      <c r="BC8" s="499"/>
      <c r="BD8" s="499">
        <v>112.35</v>
      </c>
      <c r="BE8" s="499">
        <v>23.030291733870964</v>
      </c>
      <c r="BF8" s="499">
        <v>22.588078830645156</v>
      </c>
      <c r="BG8" s="499">
        <v>20.851417142646529</v>
      </c>
      <c r="BI8" s="499">
        <f t="shared" ref="BI8:BJ8" si="37">AS11</f>
        <v>353</v>
      </c>
      <c r="BJ8" s="499">
        <f t="shared" si="37"/>
        <v>2.1655730000000002</v>
      </c>
      <c r="BK8" s="5">
        <f t="shared" si="15"/>
        <v>0</v>
      </c>
      <c r="BL8" s="499">
        <f t="shared" si="16"/>
        <v>21.599999999999998</v>
      </c>
      <c r="BM8" s="499">
        <f t="shared" si="17"/>
        <v>999.54353700000001</v>
      </c>
      <c r="BO8" s="499">
        <f t="shared" si="18"/>
        <v>353</v>
      </c>
      <c r="BP8" s="499">
        <f t="shared" si="19"/>
        <v>2.1655730000000002</v>
      </c>
      <c r="BQ8" s="5">
        <f t="shared" si="20"/>
        <v>0</v>
      </c>
      <c r="BR8" s="499">
        <f t="shared" si="21"/>
        <v>21.599999999999998</v>
      </c>
      <c r="BS8" s="499">
        <f t="shared" si="11"/>
        <v>999.54353700000001</v>
      </c>
      <c r="BU8" s="499">
        <f t="shared" si="22"/>
        <v>353</v>
      </c>
      <c r="BV8" s="499">
        <f t="shared" si="23"/>
        <v>2.1655730000000002</v>
      </c>
      <c r="BW8" s="5">
        <f t="shared" si="12"/>
        <v>0</v>
      </c>
      <c r="BX8" s="499">
        <f t="shared" si="24"/>
        <v>21.599999999999998</v>
      </c>
      <c r="BY8" s="499">
        <f t="shared" si="25"/>
        <v>999.54353700000001</v>
      </c>
      <c r="CA8">
        <v>353</v>
      </c>
      <c r="CB8">
        <v>2.1655730000000002</v>
      </c>
      <c r="CC8">
        <v>0</v>
      </c>
      <c r="CD8">
        <v>21.6</v>
      </c>
      <c r="CE8">
        <v>999.54353700000001</v>
      </c>
      <c r="CG8" s="499">
        <f t="shared" si="26"/>
        <v>0</v>
      </c>
      <c r="CH8" s="499">
        <f t="shared" si="27"/>
        <v>0</v>
      </c>
      <c r="CI8" s="499">
        <f t="shared" si="28"/>
        <v>0</v>
      </c>
      <c r="CJ8" s="499">
        <f t="shared" si="29"/>
        <v>0</v>
      </c>
      <c r="CM8" s="28">
        <v>12</v>
      </c>
      <c r="CN8" s="65">
        <f t="shared" si="31"/>
        <v>0.97885999997856121</v>
      </c>
      <c r="CP8" s="499"/>
      <c r="CQ8" s="65">
        <f t="shared" si="32"/>
        <v>0.97475645241763909</v>
      </c>
      <c r="CR8" s="499">
        <f t="shared" si="33"/>
        <v>0.97475645241763909</v>
      </c>
      <c r="CS8" s="499">
        <f t="shared" si="34"/>
        <v>0.97475645241763909</v>
      </c>
      <c r="CT8" s="38">
        <f t="shared" si="35"/>
        <v>1</v>
      </c>
      <c r="CU8" s="498">
        <f t="shared" si="36"/>
        <v>1</v>
      </c>
    </row>
    <row r="9" spans="1:99">
      <c r="A9" s="499">
        <f t="shared" si="9"/>
        <v>1</v>
      </c>
      <c r="B9">
        <v>28</v>
      </c>
      <c r="C9">
        <v>27</v>
      </c>
      <c r="D9" t="s">
        <v>1043</v>
      </c>
      <c r="E9">
        <v>27</v>
      </c>
      <c r="F9">
        <v>0</v>
      </c>
      <c r="G9">
        <v>1</v>
      </c>
      <c r="H9">
        <v>620</v>
      </c>
      <c r="I9">
        <v>4</v>
      </c>
      <c r="J9">
        <v>333531.23272000003</v>
      </c>
      <c r="K9">
        <v>4970718.8155969996</v>
      </c>
      <c r="L9">
        <v>333483.85103800002</v>
      </c>
      <c r="M9">
        <v>4971011.8538570004</v>
      </c>
      <c r="N9">
        <v>6863.5</v>
      </c>
      <c r="O9">
        <v>15.963279</v>
      </c>
      <c r="P9">
        <v>15.963279</v>
      </c>
      <c r="Q9">
        <v>1</v>
      </c>
      <c r="R9">
        <v>-9999</v>
      </c>
      <c r="S9">
        <v>-9999</v>
      </c>
      <c r="T9">
        <v>-9999</v>
      </c>
      <c r="U9">
        <v>-9999</v>
      </c>
      <c r="V9">
        <v>-9999</v>
      </c>
      <c r="W9">
        <v>-9999</v>
      </c>
      <c r="X9">
        <v>-9999</v>
      </c>
      <c r="Y9">
        <v>-9999</v>
      </c>
      <c r="Z9">
        <v>-9999</v>
      </c>
      <c r="AA9">
        <v>-9999</v>
      </c>
      <c r="AB9">
        <v>23681173</v>
      </c>
      <c r="AC9">
        <v>22.4</v>
      </c>
      <c r="AD9">
        <v>26.616620000000001</v>
      </c>
      <c r="AE9">
        <v>75</v>
      </c>
      <c r="AF9">
        <v>559</v>
      </c>
      <c r="AG9">
        <v>2919.3532310000001</v>
      </c>
      <c r="AH9">
        <v>201710.262563</v>
      </c>
      <c r="AI9">
        <v>1000.235482</v>
      </c>
      <c r="AJ9">
        <v>7</v>
      </c>
      <c r="AK9" s="499">
        <f t="shared" si="13"/>
        <v>5.9759924070000006</v>
      </c>
      <c r="AL9" s="15">
        <f t="shared" si="3"/>
        <v>33.315992407000003</v>
      </c>
      <c r="AM9" s="15"/>
      <c r="AN9" s="499">
        <f t="shared" si="0"/>
        <v>19.927521370967746</v>
      </c>
      <c r="AO9" s="499">
        <f t="shared" si="1"/>
        <v>26.728808467741935</v>
      </c>
      <c r="AP9" s="499">
        <f t="shared" si="2"/>
        <v>26.384402496680405</v>
      </c>
      <c r="AR9" s="585">
        <v>21.599999999999998</v>
      </c>
      <c r="AS9" s="13">
        <v>348</v>
      </c>
      <c r="AT9" s="13">
        <v>2.046754</v>
      </c>
      <c r="AU9" s="13">
        <f>IF(AW9&gt;=24.4,1,0)</f>
        <v>0</v>
      </c>
      <c r="AV9" s="13">
        <f t="shared" ref="AV9:AV72" si="38">IF(ISERROR(VLOOKUP(AS9,B$3:AP$102,40,FALSE))=TRUE,AR9,VLOOKUP(AS9,B$3:AP$102,40,FALSE))</f>
        <v>21.599999999999998</v>
      </c>
      <c r="AW9" s="612">
        <f t="shared" ref="AW9:AW72" si="39">IF(ISERROR(VLOOKUP(AS9,B$3:AP$102,39,FALSE))=TRUE,AR9,VLOOKUP(AS9,B$3:AP$102,39,FALSE))</f>
        <v>21.599999999999998</v>
      </c>
      <c r="AX9" s="612">
        <f t="shared" ref="AX9:AX72" si="40">IF(ISERROR(VLOOKUP(AS9,B$3:AP$102,41,FALSE))=TRUE,AR9,VLOOKUP(AS9,B$3:AP$102,41,FALSE))</f>
        <v>21.599999999999998</v>
      </c>
      <c r="AY9" s="13">
        <v>998.70048299999996</v>
      </c>
      <c r="AZ9" s="13">
        <f t="shared" ref="AZ9:AZ72" si="41">IF($AV9=0,0,$AV9-AW9)</f>
        <v>0</v>
      </c>
      <c r="BA9" s="13">
        <f t="shared" ref="BA9:BA72" si="42">IF($AV9=0,0,$AV9-AX9)</f>
        <v>0</v>
      </c>
      <c r="BB9" s="97">
        <f t="shared" ref="BB9:BB72" si="43">IF(AV9=0,0,$AR9-AV9)</f>
        <v>0</v>
      </c>
      <c r="BC9" s="499"/>
      <c r="BD9" s="499">
        <v>112.15</v>
      </c>
      <c r="BE9" s="499">
        <v>23.109702822580648</v>
      </c>
      <c r="BF9" s="499">
        <v>22.421849596774202</v>
      </c>
      <c r="BG9" s="499">
        <v>20.93068919463828</v>
      </c>
      <c r="BI9" s="499">
        <f t="shared" ref="BI9:BJ9" si="44">AS12</f>
        <v>484</v>
      </c>
      <c r="BJ9" s="499">
        <f t="shared" si="44"/>
        <v>2.1850019999999999</v>
      </c>
      <c r="BK9" s="5">
        <f t="shared" si="15"/>
        <v>0</v>
      </c>
      <c r="BL9" s="499">
        <f t="shared" si="16"/>
        <v>21.599999999999998</v>
      </c>
      <c r="BM9" s="499">
        <f t="shared" si="17"/>
        <v>1000.085381</v>
      </c>
      <c r="BO9" s="499">
        <f t="shared" si="18"/>
        <v>484</v>
      </c>
      <c r="BP9" s="499">
        <f t="shared" si="19"/>
        <v>2.1850019999999999</v>
      </c>
      <c r="BQ9" s="5">
        <f t="shared" si="20"/>
        <v>0</v>
      </c>
      <c r="BR9" s="499">
        <f t="shared" si="21"/>
        <v>21.599999999999998</v>
      </c>
      <c r="BS9" s="499">
        <f t="shared" si="11"/>
        <v>1000.085381</v>
      </c>
      <c r="BU9" s="499">
        <f t="shared" si="22"/>
        <v>484</v>
      </c>
      <c r="BV9" s="499">
        <f t="shared" si="23"/>
        <v>2.1850019999999999</v>
      </c>
      <c r="BW9" s="5">
        <f t="shared" si="12"/>
        <v>0</v>
      </c>
      <c r="BX9" s="499">
        <f t="shared" si="24"/>
        <v>21.599999999999998</v>
      </c>
      <c r="BY9" s="499">
        <f t="shared" si="25"/>
        <v>1000.085381</v>
      </c>
      <c r="CA9">
        <v>484</v>
      </c>
      <c r="CB9">
        <v>2.1850019999999999</v>
      </c>
      <c r="CC9">
        <v>0</v>
      </c>
      <c r="CD9">
        <v>21.6</v>
      </c>
      <c r="CE9">
        <v>1000.085381</v>
      </c>
      <c r="CG9" s="499">
        <f t="shared" si="26"/>
        <v>0</v>
      </c>
      <c r="CH9" s="499">
        <f t="shared" si="27"/>
        <v>0</v>
      </c>
      <c r="CI9" s="499">
        <f t="shared" si="28"/>
        <v>0</v>
      </c>
      <c r="CJ9" s="499">
        <f t="shared" si="29"/>
        <v>0</v>
      </c>
      <c r="CM9" s="28">
        <v>13</v>
      </c>
      <c r="CN9" s="65">
        <f t="shared" si="31"/>
        <v>0.97885999984365024</v>
      </c>
      <c r="CP9" s="499"/>
      <c r="CQ9" s="65">
        <f t="shared" si="32"/>
        <v>0.97475645241763909</v>
      </c>
      <c r="CR9" s="499">
        <f t="shared" si="33"/>
        <v>0.97475645241763909</v>
      </c>
      <c r="CS9" s="499">
        <f t="shared" si="34"/>
        <v>0.97475645241763909</v>
      </c>
      <c r="CT9" s="38">
        <f t="shared" si="35"/>
        <v>1</v>
      </c>
      <c r="CU9" s="498">
        <f t="shared" si="36"/>
        <v>1</v>
      </c>
    </row>
    <row r="10" spans="1:99">
      <c r="A10" s="499">
        <f t="shared" si="9"/>
        <v>1</v>
      </c>
      <c r="B10">
        <v>372</v>
      </c>
      <c r="C10">
        <v>371</v>
      </c>
      <c r="D10" t="s">
        <v>1043</v>
      </c>
      <c r="E10">
        <v>371</v>
      </c>
      <c r="F10">
        <v>0</v>
      </c>
      <c r="G10">
        <v>1</v>
      </c>
      <c r="H10">
        <v>621</v>
      </c>
      <c r="I10">
        <v>4</v>
      </c>
      <c r="J10">
        <v>334153.20192000002</v>
      </c>
      <c r="K10">
        <v>4970427.3203250002</v>
      </c>
      <c r="L10">
        <v>334286.49556000001</v>
      </c>
      <c r="M10">
        <v>4970853.4916979996</v>
      </c>
      <c r="N10">
        <v>6859.5</v>
      </c>
      <c r="O10">
        <v>16.22092</v>
      </c>
      <c r="P10">
        <v>16.22092</v>
      </c>
      <c r="Q10">
        <v>3</v>
      </c>
      <c r="R10">
        <v>-6657.8</v>
      </c>
      <c r="S10">
        <v>-6657.3666670000002</v>
      </c>
      <c r="T10">
        <v>-6656.853333</v>
      </c>
      <c r="U10">
        <v>-6656.1</v>
      </c>
      <c r="V10">
        <v>-6657.9033330000002</v>
      </c>
      <c r="W10">
        <v>-6657.35</v>
      </c>
      <c r="X10">
        <v>-6657.6133330000002</v>
      </c>
      <c r="Y10">
        <v>-6658.9333329999999</v>
      </c>
      <c r="Z10">
        <v>-6658.23</v>
      </c>
      <c r="AA10">
        <v>-5963.6666670000004</v>
      </c>
      <c r="AB10">
        <v>23681364.333333001</v>
      </c>
      <c r="AC10">
        <v>23.327777999999999</v>
      </c>
      <c r="AD10">
        <v>28.682257</v>
      </c>
      <c r="AE10">
        <v>75</v>
      </c>
      <c r="AF10">
        <v>555.33333300000004</v>
      </c>
      <c r="AG10">
        <v>3725.3598699999998</v>
      </c>
      <c r="AH10">
        <v>262630.15356800001</v>
      </c>
      <c r="AI10">
        <v>999.39421000000004</v>
      </c>
      <c r="AJ10">
        <v>8</v>
      </c>
      <c r="AK10" s="499">
        <f t="shared" si="13"/>
        <v>6.9762278890000005</v>
      </c>
      <c r="AL10" s="15">
        <f t="shared" si="3"/>
        <v>34.316227889000004</v>
      </c>
      <c r="AM10" s="15"/>
      <c r="AN10" s="499">
        <f t="shared" si="0"/>
        <v>19.841130645161289</v>
      </c>
      <c r="AO10" s="499">
        <f t="shared" si="1"/>
        <v>26.70396895161289</v>
      </c>
      <c r="AP10" s="499">
        <f t="shared" si="2"/>
        <v>26.536623094784801</v>
      </c>
      <c r="AR10" s="585">
        <v>21.599999999999998</v>
      </c>
      <c r="AS10" s="13">
        <v>13</v>
      </c>
      <c r="AT10" s="13">
        <v>2.075091</v>
      </c>
      <c r="AU10" s="13">
        <f>IF(AW10&gt;=24.4,1,0)</f>
        <v>0</v>
      </c>
      <c r="AV10" s="13">
        <f t="shared" si="38"/>
        <v>21.599999999999998</v>
      </c>
      <c r="AW10" s="612">
        <f t="shared" si="39"/>
        <v>21.599999999999998</v>
      </c>
      <c r="AX10" s="612">
        <f t="shared" si="40"/>
        <v>21.599999999999998</v>
      </c>
      <c r="AY10" s="13">
        <v>999.28890899999999</v>
      </c>
      <c r="AZ10" s="13">
        <f t="shared" si="41"/>
        <v>0</v>
      </c>
      <c r="BA10" s="13">
        <f t="shared" si="42"/>
        <v>0</v>
      </c>
      <c r="BB10" s="97">
        <f t="shared" si="43"/>
        <v>0</v>
      </c>
      <c r="BC10" s="499"/>
      <c r="BD10" s="499">
        <v>111.95</v>
      </c>
      <c r="BE10" s="499">
        <v>23.219934879032259</v>
      </c>
      <c r="BF10" s="499">
        <v>22.265136895161284</v>
      </c>
      <c r="BG10" s="499">
        <v>21.018383677980776</v>
      </c>
      <c r="BI10" s="499">
        <f t="shared" ref="BI10:BJ10" si="45">AS13</f>
        <v>18</v>
      </c>
      <c r="BJ10" s="499">
        <f t="shared" si="45"/>
        <v>2.2692589999999999</v>
      </c>
      <c r="BK10" s="5">
        <f t="shared" si="15"/>
        <v>0</v>
      </c>
      <c r="BL10" s="499">
        <f t="shared" si="16"/>
        <v>21.599999999999998</v>
      </c>
      <c r="BM10" s="499">
        <f t="shared" si="17"/>
        <v>1001.458899</v>
      </c>
      <c r="BO10" s="499">
        <f t="shared" si="18"/>
        <v>18</v>
      </c>
      <c r="BP10" s="499">
        <f t="shared" si="19"/>
        <v>2.2692589999999999</v>
      </c>
      <c r="BQ10" s="5">
        <f t="shared" si="20"/>
        <v>0</v>
      </c>
      <c r="BR10" s="499">
        <f t="shared" si="21"/>
        <v>21.599999999999998</v>
      </c>
      <c r="BS10" s="499">
        <f t="shared" si="11"/>
        <v>1001.458899</v>
      </c>
      <c r="BU10" s="499">
        <f t="shared" si="22"/>
        <v>18</v>
      </c>
      <c r="BV10" s="499">
        <f t="shared" si="23"/>
        <v>2.2692589999999999</v>
      </c>
      <c r="BW10" s="5">
        <f t="shared" si="12"/>
        <v>0</v>
      </c>
      <c r="BX10" s="499">
        <f t="shared" si="24"/>
        <v>21.599999999999998</v>
      </c>
      <c r="BY10" s="499">
        <f t="shared" si="25"/>
        <v>1001.458899</v>
      </c>
      <c r="CA10">
        <v>18</v>
      </c>
      <c r="CB10">
        <v>2.2692589999999999</v>
      </c>
      <c r="CC10">
        <v>0</v>
      </c>
      <c r="CD10">
        <v>21.6</v>
      </c>
      <c r="CE10">
        <v>1001.458899</v>
      </c>
      <c r="CG10" s="499">
        <f t="shared" si="26"/>
        <v>0</v>
      </c>
      <c r="CH10" s="499">
        <f t="shared" si="27"/>
        <v>0</v>
      </c>
      <c r="CI10" s="499">
        <f t="shared" si="28"/>
        <v>0</v>
      </c>
      <c r="CJ10" s="499">
        <f t="shared" si="29"/>
        <v>0</v>
      </c>
      <c r="CM10" s="28">
        <v>14</v>
      </c>
      <c r="CN10" s="65">
        <f t="shared" si="31"/>
        <v>0.97885999885977482</v>
      </c>
      <c r="CP10" s="499"/>
      <c r="CQ10" s="65">
        <f t="shared" si="32"/>
        <v>0.97475645241763909</v>
      </c>
      <c r="CR10" s="499">
        <f t="shared" si="33"/>
        <v>0.97475645241763909</v>
      </c>
      <c r="CS10" s="499">
        <f t="shared" si="34"/>
        <v>0.97475645241763909</v>
      </c>
      <c r="CT10" s="38">
        <f t="shared" si="35"/>
        <v>1</v>
      </c>
      <c r="CU10" s="498">
        <f t="shared" si="36"/>
        <v>1</v>
      </c>
    </row>
    <row r="11" spans="1:99">
      <c r="A11" s="499">
        <f t="shared" si="9"/>
        <v>1</v>
      </c>
      <c r="B11">
        <v>464</v>
      </c>
      <c r="C11">
        <v>463</v>
      </c>
      <c r="D11" t="s">
        <v>1043</v>
      </c>
      <c r="E11">
        <v>463</v>
      </c>
      <c r="F11">
        <v>0</v>
      </c>
      <c r="G11">
        <v>1</v>
      </c>
      <c r="H11">
        <v>622</v>
      </c>
      <c r="I11">
        <v>4</v>
      </c>
      <c r="J11">
        <v>335044.27381699998</v>
      </c>
      <c r="K11">
        <v>4970499.3781730002</v>
      </c>
      <c r="L11">
        <v>335025.75461</v>
      </c>
      <c r="M11">
        <v>4970819.4350420004</v>
      </c>
      <c r="N11">
        <v>6855.5</v>
      </c>
      <c r="O11">
        <v>16.934895999999998</v>
      </c>
      <c r="P11">
        <v>16.934895999999998</v>
      </c>
      <c r="Q11">
        <v>1</v>
      </c>
      <c r="R11">
        <v>-9999</v>
      </c>
      <c r="S11">
        <v>-9999</v>
      </c>
      <c r="T11">
        <v>-9999</v>
      </c>
      <c r="U11">
        <v>-9999</v>
      </c>
      <c r="V11">
        <v>-9999</v>
      </c>
      <c r="W11">
        <v>-9999</v>
      </c>
      <c r="X11">
        <v>-9999</v>
      </c>
      <c r="Y11">
        <v>-9999</v>
      </c>
      <c r="Z11">
        <v>-9999</v>
      </c>
      <c r="AA11">
        <v>-9999</v>
      </c>
      <c r="AB11">
        <v>23681173</v>
      </c>
      <c r="AC11">
        <v>22.3</v>
      </c>
      <c r="AD11">
        <v>26.52779</v>
      </c>
      <c r="AE11">
        <v>75</v>
      </c>
      <c r="AF11">
        <v>554</v>
      </c>
      <c r="AG11">
        <v>6612.3892599999999</v>
      </c>
      <c r="AH11">
        <v>480453.908131</v>
      </c>
      <c r="AI11">
        <v>1000.333602</v>
      </c>
      <c r="AJ11">
        <v>9</v>
      </c>
      <c r="AK11" s="499">
        <f t="shared" si="13"/>
        <v>7.9756220990000006</v>
      </c>
      <c r="AL11" s="15">
        <f t="shared" si="3"/>
        <v>35.315622099000002</v>
      </c>
      <c r="AM11" s="15"/>
      <c r="AN11" s="499">
        <f t="shared" si="0"/>
        <v>19.785653629032257</v>
      </c>
      <c r="AO11" s="499">
        <f t="shared" si="1"/>
        <v>26.71898850806452</v>
      </c>
      <c r="AP11" s="499">
        <f t="shared" si="2"/>
        <v>26.315377653159342</v>
      </c>
      <c r="AR11" s="585">
        <v>21.599999999999998</v>
      </c>
      <c r="AS11" s="13">
        <v>353</v>
      </c>
      <c r="AT11" s="13">
        <v>2.1655730000000002</v>
      </c>
      <c r="AU11" s="13">
        <f>IF(AW11&gt;=24.4,1,0)</f>
        <v>0</v>
      </c>
      <c r="AV11" s="13">
        <f t="shared" si="38"/>
        <v>21.599999999999998</v>
      </c>
      <c r="AW11" s="612">
        <f t="shared" si="39"/>
        <v>21.599999999999998</v>
      </c>
      <c r="AX11" s="612">
        <f t="shared" si="40"/>
        <v>21.599999999999998</v>
      </c>
      <c r="AY11" s="13">
        <v>999.54353700000001</v>
      </c>
      <c r="AZ11" s="13">
        <f t="shared" si="41"/>
        <v>0</v>
      </c>
      <c r="BA11" s="13">
        <f t="shared" si="42"/>
        <v>0</v>
      </c>
      <c r="BB11" s="97">
        <f t="shared" si="43"/>
        <v>0</v>
      </c>
      <c r="BC11" s="499"/>
      <c r="BD11" s="499">
        <v>111.75</v>
      </c>
      <c r="BE11" s="499">
        <v>23.329211693548388</v>
      </c>
      <c r="BF11" s="499">
        <v>22.149170362903231</v>
      </c>
      <c r="BG11" s="499">
        <v>21.087622220141942</v>
      </c>
      <c r="BI11" s="499">
        <f t="shared" ref="BI11:BJ11" si="46">AS14</f>
        <v>231</v>
      </c>
      <c r="BJ11" s="499">
        <f t="shared" si="46"/>
        <v>1.391818</v>
      </c>
      <c r="BK11" s="5">
        <f t="shared" si="15"/>
        <v>0</v>
      </c>
      <c r="BL11" s="499">
        <f t="shared" si="16"/>
        <v>22.798845</v>
      </c>
      <c r="BM11" s="499">
        <f t="shared" si="17"/>
        <v>717.29311900000005</v>
      </c>
      <c r="BO11" s="499">
        <f t="shared" si="18"/>
        <v>231</v>
      </c>
      <c r="BP11" s="499">
        <f t="shared" si="19"/>
        <v>1.391818</v>
      </c>
      <c r="BQ11" s="5">
        <f t="shared" si="20"/>
        <v>0</v>
      </c>
      <c r="BR11" s="499">
        <f>$BL11-AZ14</f>
        <v>22.798845</v>
      </c>
      <c r="BS11" s="499">
        <f t="shared" si="11"/>
        <v>717.29311900000005</v>
      </c>
      <c r="BU11" s="499">
        <f t="shared" si="22"/>
        <v>231</v>
      </c>
      <c r="BV11" s="499">
        <f t="shared" si="23"/>
        <v>1.391818</v>
      </c>
      <c r="BW11" s="5">
        <f t="shared" si="12"/>
        <v>0</v>
      </c>
      <c r="BX11" s="499">
        <f>$BL11-BA14</f>
        <v>22.798845</v>
      </c>
      <c r="BY11" s="499">
        <f t="shared" si="25"/>
        <v>717.29311900000005</v>
      </c>
      <c r="CA11">
        <v>231</v>
      </c>
      <c r="CB11">
        <v>1.391818</v>
      </c>
      <c r="CC11">
        <v>0</v>
      </c>
      <c r="CD11">
        <v>22.798845</v>
      </c>
      <c r="CE11">
        <v>717.29311900000005</v>
      </c>
      <c r="CG11" s="499">
        <f t="shared" si="26"/>
        <v>0</v>
      </c>
      <c r="CH11" s="499">
        <f t="shared" si="27"/>
        <v>0</v>
      </c>
      <c r="CI11" s="499">
        <f t="shared" si="28"/>
        <v>0</v>
      </c>
      <c r="CJ11" s="499">
        <f t="shared" si="29"/>
        <v>0</v>
      </c>
      <c r="CM11" s="28">
        <v>15</v>
      </c>
      <c r="CN11" s="65">
        <f t="shared" si="31"/>
        <v>0.97885999168457549</v>
      </c>
      <c r="CP11" s="499"/>
      <c r="CQ11" s="65">
        <f t="shared" si="32"/>
        <v>0.97475645241763909</v>
      </c>
      <c r="CR11" s="499">
        <f t="shared" si="33"/>
        <v>0.97475645241763909</v>
      </c>
      <c r="CS11" s="499">
        <f t="shared" si="34"/>
        <v>0.97475645241763909</v>
      </c>
      <c r="CT11" s="38">
        <f t="shared" si="35"/>
        <v>1</v>
      </c>
      <c r="CU11" s="498">
        <f t="shared" si="36"/>
        <v>1</v>
      </c>
    </row>
    <row r="12" spans="1:99">
      <c r="A12" s="499">
        <f t="shared" si="9"/>
        <v>1</v>
      </c>
      <c r="B12">
        <v>177</v>
      </c>
      <c r="C12">
        <v>176</v>
      </c>
      <c r="D12" t="s">
        <v>1043</v>
      </c>
      <c r="E12">
        <v>176</v>
      </c>
      <c r="F12">
        <v>0</v>
      </c>
      <c r="G12">
        <v>1.2</v>
      </c>
      <c r="H12">
        <v>614</v>
      </c>
      <c r="I12">
        <v>5</v>
      </c>
      <c r="J12">
        <v>335613.36057199998</v>
      </c>
      <c r="K12">
        <v>4970260.1749879997</v>
      </c>
      <c r="L12">
        <v>335776.24413000001</v>
      </c>
      <c r="M12">
        <v>4970658.8611460002</v>
      </c>
      <c r="N12">
        <v>6851</v>
      </c>
      <c r="O12">
        <v>16.728104999999999</v>
      </c>
      <c r="P12">
        <v>16.728104999999999</v>
      </c>
      <c r="Q12">
        <v>1</v>
      </c>
      <c r="R12">
        <v>-9999</v>
      </c>
      <c r="S12">
        <v>-9999</v>
      </c>
      <c r="T12">
        <v>-9999</v>
      </c>
      <c r="U12">
        <v>-9999</v>
      </c>
      <c r="V12">
        <v>-9999</v>
      </c>
      <c r="W12">
        <v>-9999</v>
      </c>
      <c r="X12">
        <v>-9999</v>
      </c>
      <c r="Y12">
        <v>-9999</v>
      </c>
      <c r="Z12">
        <v>-9999</v>
      </c>
      <c r="AA12">
        <v>-9999</v>
      </c>
      <c r="AB12">
        <v>23681173</v>
      </c>
      <c r="AC12">
        <v>22.3</v>
      </c>
      <c r="AD12">
        <v>26.52779</v>
      </c>
      <c r="AE12">
        <v>75</v>
      </c>
      <c r="AF12">
        <v>554</v>
      </c>
      <c r="AG12">
        <v>6612.3892599999999</v>
      </c>
      <c r="AH12">
        <v>480453.908131</v>
      </c>
      <c r="AI12">
        <v>1192.4855190000001</v>
      </c>
      <c r="AJ12">
        <v>10</v>
      </c>
      <c r="AK12" s="499">
        <f t="shared" si="13"/>
        <v>8.9759557010000002</v>
      </c>
      <c r="AL12" s="15">
        <f t="shared" si="3"/>
        <v>36.315955701</v>
      </c>
      <c r="AM12" s="15"/>
      <c r="AN12" s="499">
        <f t="shared" si="0"/>
        <v>19.74189939516129</v>
      </c>
      <c r="AO12" s="499">
        <f t="shared" si="1"/>
        <v>26.377921774193549</v>
      </c>
      <c r="AP12" s="499">
        <f t="shared" si="2"/>
        <v>25.773615047367223</v>
      </c>
      <c r="AR12" s="585">
        <v>21.599999999999998</v>
      </c>
      <c r="AS12" s="13">
        <v>484</v>
      </c>
      <c r="AT12" s="13">
        <v>2.1850019999999999</v>
      </c>
      <c r="AU12" s="13">
        <f t="shared" ref="AU12:AU75" si="47">IF(AW12&gt;=24.4,1,0)</f>
        <v>0</v>
      </c>
      <c r="AV12" s="13">
        <f t="shared" si="38"/>
        <v>21.599999999999998</v>
      </c>
      <c r="AW12" s="612">
        <f t="shared" si="39"/>
        <v>21.599999999999998</v>
      </c>
      <c r="AX12" s="612">
        <f t="shared" si="40"/>
        <v>21.599999999999998</v>
      </c>
      <c r="AY12" s="13">
        <v>1000.085381</v>
      </c>
      <c r="AZ12" s="13">
        <f t="shared" si="41"/>
        <v>0</v>
      </c>
      <c r="BA12" s="13">
        <f t="shared" si="42"/>
        <v>0</v>
      </c>
      <c r="BB12" s="97">
        <f t="shared" si="43"/>
        <v>0</v>
      </c>
      <c r="BC12" s="499"/>
      <c r="BD12" s="499">
        <v>111.55</v>
      </c>
      <c r="BE12" s="499">
        <v>23.420152016129038</v>
      </c>
      <c r="BF12" s="499">
        <v>22.098295362903222</v>
      </c>
      <c r="BG12" s="499">
        <v>21.146601993910259</v>
      </c>
      <c r="BI12" s="499">
        <f t="shared" ref="BI12:BJ12" si="48">AS15</f>
        <v>421</v>
      </c>
      <c r="BJ12" s="499">
        <f t="shared" si="48"/>
        <v>1.49</v>
      </c>
      <c r="BK12" s="5">
        <f t="shared" si="15"/>
        <v>0</v>
      </c>
      <c r="BL12" s="499">
        <f t="shared" si="16"/>
        <v>22.4924</v>
      </c>
      <c r="BM12" s="499">
        <f t="shared" si="17"/>
        <v>705.35711000000003</v>
      </c>
      <c r="BO12" s="499">
        <f t="shared" si="18"/>
        <v>421</v>
      </c>
      <c r="BP12" s="499">
        <f t="shared" si="19"/>
        <v>1.49</v>
      </c>
      <c r="BQ12" s="5">
        <f t="shared" si="20"/>
        <v>0</v>
      </c>
      <c r="BR12" s="499">
        <f t="shared" si="21"/>
        <v>22.4924</v>
      </c>
      <c r="BS12" s="499">
        <f t="shared" si="11"/>
        <v>705.35711000000003</v>
      </c>
      <c r="BU12" s="499">
        <f t="shared" si="22"/>
        <v>421</v>
      </c>
      <c r="BV12" s="499">
        <f t="shared" si="23"/>
        <v>1.49</v>
      </c>
      <c r="BW12" s="5">
        <f t="shared" si="12"/>
        <v>0</v>
      </c>
      <c r="BX12" s="499">
        <f t="shared" si="24"/>
        <v>22.4924</v>
      </c>
      <c r="BY12" s="499">
        <f t="shared" si="25"/>
        <v>705.35711000000003</v>
      </c>
      <c r="CA12">
        <v>421</v>
      </c>
      <c r="CB12">
        <v>1.49</v>
      </c>
      <c r="CC12">
        <v>0</v>
      </c>
      <c r="CD12">
        <v>22.4924</v>
      </c>
      <c r="CE12">
        <v>705.35711000000003</v>
      </c>
      <c r="CG12" s="499">
        <f t="shared" si="26"/>
        <v>0</v>
      </c>
      <c r="CH12" s="499">
        <f t="shared" si="27"/>
        <v>0</v>
      </c>
      <c r="CI12" s="499">
        <f t="shared" si="28"/>
        <v>0</v>
      </c>
      <c r="CJ12" s="499">
        <f t="shared" si="29"/>
        <v>0</v>
      </c>
      <c r="CM12" s="28">
        <v>16</v>
      </c>
      <c r="CN12" s="65">
        <f t="shared" si="31"/>
        <v>0.97885993935733628</v>
      </c>
      <c r="CP12" s="499"/>
      <c r="CQ12" s="65">
        <f t="shared" si="32"/>
        <v>0.93619181311363642</v>
      </c>
      <c r="CR12" s="499">
        <f t="shared" si="33"/>
        <v>0.93619181311363642</v>
      </c>
      <c r="CS12" s="499">
        <f t="shared" si="34"/>
        <v>0.93619181311363642</v>
      </c>
      <c r="CT12" s="38">
        <f t="shared" si="35"/>
        <v>1</v>
      </c>
      <c r="CU12" s="498">
        <f t="shared" si="36"/>
        <v>1</v>
      </c>
    </row>
    <row r="13" spans="1:99">
      <c r="A13" s="499">
        <f t="shared" si="9"/>
        <v>1</v>
      </c>
      <c r="B13">
        <v>22</v>
      </c>
      <c r="C13">
        <v>21</v>
      </c>
      <c r="D13" t="s">
        <v>1043</v>
      </c>
      <c r="E13">
        <v>21</v>
      </c>
      <c r="F13">
        <v>0</v>
      </c>
      <c r="G13">
        <v>0.6</v>
      </c>
      <c r="H13">
        <v>589</v>
      </c>
      <c r="I13">
        <v>3</v>
      </c>
      <c r="J13">
        <v>336331.26981700002</v>
      </c>
      <c r="K13">
        <v>4970076.7528069997</v>
      </c>
      <c r="L13">
        <v>336535.23740300001</v>
      </c>
      <c r="M13">
        <v>4970384.8929829998</v>
      </c>
      <c r="N13">
        <v>6742</v>
      </c>
      <c r="O13">
        <v>16.549129000000001</v>
      </c>
      <c r="P13">
        <v>16.549129000000001</v>
      </c>
      <c r="Q13">
        <v>3</v>
      </c>
      <c r="R13">
        <v>-6657.41</v>
      </c>
      <c r="S13">
        <v>-6656.79</v>
      </c>
      <c r="T13">
        <v>-6656.4566670000004</v>
      </c>
      <c r="U13">
        <v>-6655.53</v>
      </c>
      <c r="V13">
        <v>-6657.4033330000002</v>
      </c>
      <c r="W13">
        <v>-6656.5633330000001</v>
      </c>
      <c r="X13">
        <v>-6657.1166670000002</v>
      </c>
      <c r="Y13">
        <v>-6658.0133329999999</v>
      </c>
      <c r="Z13">
        <v>-6657.84</v>
      </c>
      <c r="AA13">
        <v>-5872</v>
      </c>
      <c r="AB13">
        <v>23681175.666666999</v>
      </c>
      <c r="AC13">
        <v>23.81963</v>
      </c>
      <c r="AD13">
        <v>29.392731999999999</v>
      </c>
      <c r="AE13">
        <v>75</v>
      </c>
      <c r="AF13">
        <v>557.33333300000004</v>
      </c>
      <c r="AG13">
        <v>4496.1087950000001</v>
      </c>
      <c r="AH13">
        <v>320333.48396099999</v>
      </c>
      <c r="AI13">
        <v>604.68997200000001</v>
      </c>
      <c r="AJ13">
        <v>11</v>
      </c>
      <c r="AK13" s="499">
        <f t="shared" si="13"/>
        <v>10.16844122</v>
      </c>
      <c r="AL13" s="15">
        <f t="shared" si="3"/>
        <v>37.508441220000002</v>
      </c>
      <c r="AM13" s="15"/>
      <c r="AN13" s="499">
        <f t="shared" si="0"/>
        <v>19.728977620967747</v>
      </c>
      <c r="AO13" s="499">
        <f t="shared" si="1"/>
        <v>26.375551008064512</v>
      </c>
      <c r="AP13" s="499">
        <f t="shared" si="2"/>
        <v>25.225580841117221</v>
      </c>
      <c r="AR13" s="585">
        <v>21.599999999999998</v>
      </c>
      <c r="AS13" s="13">
        <v>18</v>
      </c>
      <c r="AT13" s="13">
        <v>2.2692589999999999</v>
      </c>
      <c r="AU13" s="13">
        <f t="shared" si="47"/>
        <v>0</v>
      </c>
      <c r="AV13" s="13">
        <f t="shared" si="38"/>
        <v>21.599999999999998</v>
      </c>
      <c r="AW13" s="612">
        <f t="shared" si="39"/>
        <v>21.599999999999998</v>
      </c>
      <c r="AX13" s="612">
        <f t="shared" si="40"/>
        <v>21.599999999999998</v>
      </c>
      <c r="AY13" s="13">
        <v>1001.458899</v>
      </c>
      <c r="AZ13" s="13">
        <f t="shared" si="41"/>
        <v>0</v>
      </c>
      <c r="BA13" s="13">
        <f t="shared" si="42"/>
        <v>0</v>
      </c>
      <c r="BB13" s="97">
        <f t="shared" si="43"/>
        <v>0</v>
      </c>
      <c r="BC13" s="499"/>
      <c r="BD13" s="499">
        <v>111.35</v>
      </c>
      <c r="BE13" s="499">
        <v>23.334644354838709</v>
      </c>
      <c r="BF13" s="499">
        <v>22.084263306451611</v>
      </c>
      <c r="BG13" s="499">
        <v>21.428818394473446</v>
      </c>
      <c r="BI13" s="499">
        <f t="shared" ref="BI13:BJ13" si="49">AS16</f>
        <v>394</v>
      </c>
      <c r="BJ13" s="499">
        <f t="shared" si="49"/>
        <v>1.6170850000000001</v>
      </c>
      <c r="BK13" s="5">
        <f t="shared" si="15"/>
        <v>1</v>
      </c>
      <c r="BL13" s="499">
        <f t="shared" si="16"/>
        <v>24.891487999999999</v>
      </c>
      <c r="BM13" s="499">
        <f t="shared" si="17"/>
        <v>1067.8866089999999</v>
      </c>
      <c r="BO13" s="499">
        <f t="shared" si="18"/>
        <v>394</v>
      </c>
      <c r="BP13" s="499">
        <f t="shared" si="19"/>
        <v>1.6170850000000001</v>
      </c>
      <c r="BQ13" s="5">
        <f t="shared" si="20"/>
        <v>1</v>
      </c>
      <c r="BR13" s="499">
        <f t="shared" si="21"/>
        <v>24.891487999999999</v>
      </c>
      <c r="BS13" s="499">
        <f t="shared" si="11"/>
        <v>1067.8866089999999</v>
      </c>
      <c r="BU13" s="499">
        <f t="shared" si="22"/>
        <v>394</v>
      </c>
      <c r="BV13" s="499">
        <f t="shared" si="23"/>
        <v>1.6170850000000001</v>
      </c>
      <c r="BW13" s="5">
        <f t="shared" si="12"/>
        <v>1</v>
      </c>
      <c r="BX13" s="499">
        <f t="shared" si="24"/>
        <v>24.891487999999999</v>
      </c>
      <c r="BY13" s="499">
        <f t="shared" si="25"/>
        <v>1067.8866089999999</v>
      </c>
      <c r="CA13">
        <v>394</v>
      </c>
      <c r="CB13">
        <v>1.6170850000000001</v>
      </c>
      <c r="CC13">
        <v>1</v>
      </c>
      <c r="CD13">
        <v>24.891487999999999</v>
      </c>
      <c r="CE13">
        <v>1067.8866089999999</v>
      </c>
      <c r="CG13" s="499">
        <f t="shared" si="26"/>
        <v>1</v>
      </c>
      <c r="CH13" s="499">
        <f t="shared" si="27"/>
        <v>1</v>
      </c>
      <c r="CI13" s="499">
        <f t="shared" si="28"/>
        <v>1</v>
      </c>
      <c r="CJ13" s="499">
        <f t="shared" si="29"/>
        <v>1</v>
      </c>
      <c r="CM13" s="28">
        <v>17</v>
      </c>
      <c r="CN13" s="65">
        <f t="shared" si="31"/>
        <v>0.97885955774580125</v>
      </c>
      <c r="CP13" s="499"/>
      <c r="CQ13" s="65">
        <f t="shared" si="32"/>
        <v>0.95517928905931782</v>
      </c>
      <c r="CR13" s="499">
        <f t="shared" si="33"/>
        <v>0.95517928905931782</v>
      </c>
      <c r="CS13" s="499">
        <f t="shared" si="34"/>
        <v>0.95517928905931782</v>
      </c>
      <c r="CT13" s="38">
        <f t="shared" si="35"/>
        <v>1</v>
      </c>
      <c r="CU13" s="498">
        <f t="shared" si="36"/>
        <v>1</v>
      </c>
    </row>
    <row r="14" spans="1:99">
      <c r="A14" s="499">
        <f t="shared" si="9"/>
        <v>1</v>
      </c>
      <c r="B14">
        <v>51</v>
      </c>
      <c r="C14">
        <v>50</v>
      </c>
      <c r="D14" t="s">
        <v>1043</v>
      </c>
      <c r="E14">
        <v>50</v>
      </c>
      <c r="F14">
        <v>0</v>
      </c>
      <c r="G14">
        <v>1</v>
      </c>
      <c r="H14">
        <v>590</v>
      </c>
      <c r="I14">
        <v>3</v>
      </c>
      <c r="J14">
        <v>336577.01210300002</v>
      </c>
      <c r="K14">
        <v>4969580.7841229998</v>
      </c>
      <c r="L14">
        <v>336979.74654700002</v>
      </c>
      <c r="M14">
        <v>4969767.1716769999</v>
      </c>
      <c r="N14">
        <v>6739</v>
      </c>
      <c r="O14">
        <v>16.577107000000002</v>
      </c>
      <c r="P14">
        <v>16.577107000000002</v>
      </c>
      <c r="Q14">
        <v>5</v>
      </c>
      <c r="R14">
        <v>-5989.4080000000004</v>
      </c>
      <c r="S14">
        <v>-5988.7039999999997</v>
      </c>
      <c r="T14">
        <v>-5988.268</v>
      </c>
      <c r="U14">
        <v>-5987.2079999999996</v>
      </c>
      <c r="V14">
        <v>-5989.4160000000002</v>
      </c>
      <c r="W14">
        <v>-5988.6679999999997</v>
      </c>
      <c r="X14">
        <v>-5989.2619999999997</v>
      </c>
      <c r="Y14">
        <v>-5990.7439999999997</v>
      </c>
      <c r="Z14">
        <v>-5990.3440000000001</v>
      </c>
      <c r="AA14">
        <v>-5152</v>
      </c>
      <c r="AB14">
        <v>23681294.600000001</v>
      </c>
      <c r="AC14">
        <v>23.686444000000002</v>
      </c>
      <c r="AD14">
        <v>29.333949</v>
      </c>
      <c r="AE14">
        <v>75</v>
      </c>
      <c r="AF14">
        <v>547.20000000000005</v>
      </c>
      <c r="AG14">
        <v>5219.6054770000001</v>
      </c>
      <c r="AH14">
        <v>375161.06873100001</v>
      </c>
      <c r="AI14">
        <v>1000.322087</v>
      </c>
      <c r="AJ14">
        <v>12</v>
      </c>
      <c r="AK14" s="499">
        <f t="shared" si="13"/>
        <v>10.773131191999999</v>
      </c>
      <c r="AL14" s="15">
        <f t="shared" si="3"/>
        <v>38.113131191999997</v>
      </c>
      <c r="AM14" s="15"/>
      <c r="AN14" s="499">
        <f t="shared" si="0"/>
        <v>19.72599899193548</v>
      </c>
      <c r="AO14" s="499">
        <f t="shared" si="1"/>
        <v>26.327117137096781</v>
      </c>
      <c r="AP14" s="499">
        <f t="shared" si="2"/>
        <v>25.031170228127298</v>
      </c>
      <c r="AQ14" s="499"/>
      <c r="AR14" s="228">
        <v>22.798845</v>
      </c>
      <c r="AS14" s="13">
        <v>231</v>
      </c>
      <c r="AT14" s="13">
        <v>1.391818</v>
      </c>
      <c r="AU14" s="13">
        <f>IF(AW14&gt;=24.4,1,0)</f>
        <v>0</v>
      </c>
      <c r="AV14" s="13">
        <f>IF(ISERROR(VLOOKUP(AS14,B$3:AP$102,40,FALSE))=TRUE,AR14,VLOOKUP(AS14,B$3:AP$102,40,FALSE))</f>
        <v>22.798845</v>
      </c>
      <c r="AW14" s="13">
        <f t="shared" si="39"/>
        <v>22.798845</v>
      </c>
      <c r="AX14" s="13">
        <f t="shared" si="40"/>
        <v>22.798845</v>
      </c>
      <c r="AY14" s="13">
        <v>717.29311900000005</v>
      </c>
      <c r="AZ14" s="13">
        <f t="shared" si="41"/>
        <v>0</v>
      </c>
      <c r="BA14" s="13">
        <f t="shared" si="42"/>
        <v>0</v>
      </c>
      <c r="BB14" s="97">
        <f t="shared" si="43"/>
        <v>0</v>
      </c>
      <c r="BC14" s="499"/>
      <c r="BD14" s="499">
        <v>111.15</v>
      </c>
      <c r="BE14" s="499">
        <v>23.461415725806457</v>
      </c>
      <c r="BF14" s="499">
        <v>22.096878225806453</v>
      </c>
      <c r="BG14" s="499">
        <v>21.507244972948726</v>
      </c>
      <c r="BI14" s="499">
        <f t="shared" ref="BI14:BJ14" si="50">AS17</f>
        <v>63</v>
      </c>
      <c r="BJ14" s="499">
        <f t="shared" si="50"/>
        <v>1.635413</v>
      </c>
      <c r="BK14" s="5">
        <f t="shared" si="15"/>
        <v>0</v>
      </c>
      <c r="BL14" s="499">
        <f t="shared" si="16"/>
        <v>16.469284999999999</v>
      </c>
      <c r="BM14" s="499">
        <f t="shared" si="17"/>
        <v>1087.6440319999999</v>
      </c>
      <c r="BO14" s="499">
        <f t="shared" si="18"/>
        <v>63</v>
      </c>
      <c r="BP14" s="499">
        <f t="shared" si="19"/>
        <v>1.635413</v>
      </c>
      <c r="BQ14" s="5">
        <f t="shared" si="20"/>
        <v>0</v>
      </c>
      <c r="BR14" s="499">
        <f t="shared" si="21"/>
        <v>16.469284999999999</v>
      </c>
      <c r="BS14" s="499">
        <f t="shared" si="11"/>
        <v>1087.6440319999999</v>
      </c>
      <c r="BU14" s="499">
        <f t="shared" si="22"/>
        <v>63</v>
      </c>
      <c r="BV14" s="499">
        <f t="shared" si="23"/>
        <v>1.635413</v>
      </c>
      <c r="BW14" s="5">
        <f t="shared" si="12"/>
        <v>0</v>
      </c>
      <c r="BX14" s="499">
        <f t="shared" si="24"/>
        <v>16.469284999999999</v>
      </c>
      <c r="BY14" s="499">
        <f t="shared" si="25"/>
        <v>1087.6440319999999</v>
      </c>
      <c r="CA14">
        <v>63</v>
      </c>
      <c r="CB14">
        <v>1.635413</v>
      </c>
      <c r="CC14">
        <v>0</v>
      </c>
      <c r="CD14">
        <v>16.469284999999999</v>
      </c>
      <c r="CE14">
        <v>1087.6440319999999</v>
      </c>
      <c r="CG14" s="499">
        <f t="shared" si="26"/>
        <v>0</v>
      </c>
      <c r="CH14" s="499">
        <f t="shared" si="27"/>
        <v>0</v>
      </c>
      <c r="CI14" s="499">
        <f t="shared" si="28"/>
        <v>0</v>
      </c>
      <c r="CJ14" s="499">
        <f t="shared" si="29"/>
        <v>0</v>
      </c>
      <c r="CM14" s="28">
        <v>18</v>
      </c>
      <c r="CN14" s="65">
        <f t="shared" si="31"/>
        <v>0.97885677474101029</v>
      </c>
      <c r="CP14" s="499"/>
      <c r="CQ14" s="65">
        <f t="shared" si="32"/>
        <v>0.25010114940451283</v>
      </c>
      <c r="CR14" s="499">
        <f t="shared" si="33"/>
        <v>0.25010114940451283</v>
      </c>
      <c r="CS14" s="499">
        <f t="shared" si="34"/>
        <v>0.25010114940451283</v>
      </c>
      <c r="CT14" s="38">
        <f t="shared" si="35"/>
        <v>1</v>
      </c>
      <c r="CU14" s="498">
        <f t="shared" si="36"/>
        <v>1</v>
      </c>
    </row>
    <row r="15" spans="1:99">
      <c r="A15" s="499">
        <f t="shared" si="9"/>
        <v>1</v>
      </c>
      <c r="B15">
        <v>64</v>
      </c>
      <c r="C15">
        <v>63</v>
      </c>
      <c r="D15" t="s">
        <v>1043</v>
      </c>
      <c r="E15">
        <v>63</v>
      </c>
      <c r="F15">
        <v>0</v>
      </c>
      <c r="G15">
        <v>1</v>
      </c>
      <c r="H15">
        <v>591</v>
      </c>
      <c r="I15">
        <v>4</v>
      </c>
      <c r="J15">
        <v>337065.26776000002</v>
      </c>
      <c r="K15">
        <v>4968811.3170100003</v>
      </c>
      <c r="L15">
        <v>337342.91058999998</v>
      </c>
      <c r="M15">
        <v>4969225.4061700003</v>
      </c>
      <c r="N15">
        <v>6735.5</v>
      </c>
      <c r="O15">
        <v>16.376984</v>
      </c>
      <c r="P15">
        <v>16.376984</v>
      </c>
      <c r="Q15">
        <v>1</v>
      </c>
      <c r="R15">
        <v>-9999</v>
      </c>
      <c r="S15">
        <v>-9999</v>
      </c>
      <c r="T15">
        <v>-9999</v>
      </c>
      <c r="U15">
        <v>-9999</v>
      </c>
      <c r="V15">
        <v>-9999</v>
      </c>
      <c r="W15">
        <v>-9999</v>
      </c>
      <c r="X15">
        <v>-9999</v>
      </c>
      <c r="Y15">
        <v>-9999</v>
      </c>
      <c r="Z15">
        <v>-9999</v>
      </c>
      <c r="AA15">
        <v>-9999</v>
      </c>
      <c r="AB15">
        <v>23681181</v>
      </c>
      <c r="AC15">
        <v>22</v>
      </c>
      <c r="AD15">
        <v>26.261299999999999</v>
      </c>
      <c r="AE15">
        <v>75</v>
      </c>
      <c r="AF15">
        <v>541</v>
      </c>
      <c r="AG15">
        <v>9987.3010730000005</v>
      </c>
      <c r="AH15">
        <v>736534.06019999995</v>
      </c>
      <c r="AI15">
        <v>999.50562500000001</v>
      </c>
      <c r="AJ15">
        <v>13</v>
      </c>
      <c r="AK15" s="499">
        <f t="shared" si="13"/>
        <v>11.773453279</v>
      </c>
      <c r="AL15" s="15">
        <f t="shared" si="3"/>
        <v>39.113453278999998</v>
      </c>
      <c r="AM15" s="15"/>
      <c r="AN15" s="499">
        <f t="shared" si="0"/>
        <v>19.751480645161291</v>
      </c>
      <c r="AO15" s="499">
        <f t="shared" si="1"/>
        <v>26.060341733870967</v>
      </c>
      <c r="AP15" s="499">
        <f t="shared" si="2"/>
        <v>24.733420536268316</v>
      </c>
      <c r="AQ15" s="499"/>
      <c r="AR15" s="228">
        <v>22.4924</v>
      </c>
      <c r="AS15" s="13">
        <v>421</v>
      </c>
      <c r="AT15" s="13">
        <v>1.49</v>
      </c>
      <c r="AU15" s="13">
        <f t="shared" si="47"/>
        <v>0</v>
      </c>
      <c r="AV15" s="13">
        <f t="shared" si="38"/>
        <v>22.4924</v>
      </c>
      <c r="AW15" s="13">
        <f t="shared" si="39"/>
        <v>22.4924</v>
      </c>
      <c r="AX15" s="13">
        <f t="shared" si="40"/>
        <v>22.4924</v>
      </c>
      <c r="AY15" s="13">
        <v>705.35711000000003</v>
      </c>
      <c r="AZ15" s="13">
        <f t="shared" si="41"/>
        <v>0</v>
      </c>
      <c r="BA15" s="13">
        <f t="shared" si="42"/>
        <v>0</v>
      </c>
      <c r="BB15" s="97">
        <f t="shared" si="43"/>
        <v>0</v>
      </c>
      <c r="BC15" s="499"/>
      <c r="BD15" s="499">
        <v>110.95</v>
      </c>
      <c r="BE15" s="499">
        <v>23.595342338709663</v>
      </c>
      <c r="BF15" s="499">
        <v>21.976570362903225</v>
      </c>
      <c r="BG15" s="499">
        <v>21.585829597948713</v>
      </c>
      <c r="BI15" s="499">
        <f t="shared" ref="BI15:BJ15" si="51">AS18</f>
        <v>217</v>
      </c>
      <c r="BJ15" s="499">
        <f t="shared" si="51"/>
        <v>1.652822</v>
      </c>
      <c r="BK15" s="5">
        <f t="shared" si="15"/>
        <v>0</v>
      </c>
      <c r="BL15" s="499">
        <f t="shared" si="16"/>
        <v>21.22373</v>
      </c>
      <c r="BM15" s="499">
        <f t="shared" si="17"/>
        <v>1258.3899200000001</v>
      </c>
      <c r="BO15" s="499">
        <f t="shared" si="18"/>
        <v>217</v>
      </c>
      <c r="BP15" s="499">
        <f t="shared" si="19"/>
        <v>1.652822</v>
      </c>
      <c r="BQ15" s="5">
        <f t="shared" si="20"/>
        <v>0</v>
      </c>
      <c r="BR15" s="499">
        <f t="shared" si="21"/>
        <v>21.22373</v>
      </c>
      <c r="BS15" s="499">
        <f t="shared" si="11"/>
        <v>1258.3899200000001</v>
      </c>
      <c r="BU15" s="499">
        <f t="shared" si="22"/>
        <v>217</v>
      </c>
      <c r="BV15" s="499">
        <f t="shared" si="23"/>
        <v>1.652822</v>
      </c>
      <c r="BW15" s="5">
        <f t="shared" si="12"/>
        <v>0</v>
      </c>
      <c r="BX15" s="499">
        <f t="shared" si="24"/>
        <v>21.22373</v>
      </c>
      <c r="BY15" s="499">
        <f t="shared" si="25"/>
        <v>1258.3899200000001</v>
      </c>
      <c r="CA15">
        <v>217</v>
      </c>
      <c r="CB15">
        <v>1.652822</v>
      </c>
      <c r="CC15">
        <v>0</v>
      </c>
      <c r="CD15">
        <v>21.22373</v>
      </c>
      <c r="CE15">
        <v>1258.3899200000001</v>
      </c>
      <c r="CG15" s="499">
        <f t="shared" si="26"/>
        <v>0</v>
      </c>
      <c r="CH15" s="499">
        <f t="shared" si="27"/>
        <v>0</v>
      </c>
      <c r="CI15" s="499">
        <f t="shared" si="28"/>
        <v>0</v>
      </c>
      <c r="CJ15" s="499">
        <f t="shared" si="29"/>
        <v>0</v>
      </c>
      <c r="CM15" s="28">
        <v>19</v>
      </c>
      <c r="CN15" s="65">
        <f t="shared" si="31"/>
        <v>0.97883647934270968</v>
      </c>
      <c r="CP15" s="499"/>
      <c r="CQ15" s="65">
        <f t="shared" si="32"/>
        <v>0.9788598459288318</v>
      </c>
      <c r="CR15" s="499">
        <f t="shared" si="33"/>
        <v>0.9788598459288318</v>
      </c>
      <c r="CS15" s="499">
        <f t="shared" si="34"/>
        <v>0.9788598459288318</v>
      </c>
      <c r="CT15" s="38">
        <f t="shared" si="35"/>
        <v>1</v>
      </c>
      <c r="CU15" s="498">
        <f t="shared" si="36"/>
        <v>1</v>
      </c>
    </row>
    <row r="16" spans="1:99">
      <c r="A16" s="499">
        <f t="shared" si="9"/>
        <v>1</v>
      </c>
      <c r="B16">
        <v>38</v>
      </c>
      <c r="C16">
        <v>37</v>
      </c>
      <c r="D16" t="s">
        <v>1043</v>
      </c>
      <c r="E16">
        <v>37</v>
      </c>
      <c r="F16">
        <v>0</v>
      </c>
      <c r="G16">
        <v>1</v>
      </c>
      <c r="H16">
        <v>592</v>
      </c>
      <c r="I16">
        <v>4</v>
      </c>
      <c r="J16">
        <v>337867.95152800001</v>
      </c>
      <c r="K16">
        <v>4968408.7331800004</v>
      </c>
      <c r="L16">
        <v>338151.87430000002</v>
      </c>
      <c r="M16">
        <v>4968722.4375550002</v>
      </c>
      <c r="N16">
        <v>6731.5</v>
      </c>
      <c r="O16">
        <v>16.3977</v>
      </c>
      <c r="P16">
        <v>16.3977</v>
      </c>
      <c r="Q16">
        <v>1</v>
      </c>
      <c r="R16">
        <v>-9999</v>
      </c>
      <c r="S16">
        <v>-9999</v>
      </c>
      <c r="T16">
        <v>-9999</v>
      </c>
      <c r="U16">
        <v>-9999</v>
      </c>
      <c r="V16">
        <v>-9999</v>
      </c>
      <c r="W16">
        <v>-9999</v>
      </c>
      <c r="X16">
        <v>-9999</v>
      </c>
      <c r="Y16">
        <v>-9999</v>
      </c>
      <c r="Z16">
        <v>-9999</v>
      </c>
      <c r="AA16">
        <v>-9999</v>
      </c>
      <c r="AB16">
        <v>23681181</v>
      </c>
      <c r="AC16">
        <v>22</v>
      </c>
      <c r="AD16">
        <v>26.261299999999999</v>
      </c>
      <c r="AE16">
        <v>75</v>
      </c>
      <c r="AF16">
        <v>541</v>
      </c>
      <c r="AG16">
        <v>9987.3010730000005</v>
      </c>
      <c r="AH16">
        <v>736534.06019999995</v>
      </c>
      <c r="AI16">
        <v>999.82766500000002</v>
      </c>
      <c r="AJ16">
        <v>14</v>
      </c>
      <c r="AK16" s="499">
        <f t="shared" si="13"/>
        <v>12.772958903999999</v>
      </c>
      <c r="AL16" s="15">
        <f t="shared" si="3"/>
        <v>40.112958903999996</v>
      </c>
      <c r="AM16" s="15"/>
      <c r="AN16" s="499">
        <f t="shared" si="0"/>
        <v>19.78739818548387</v>
      </c>
      <c r="AO16" s="499">
        <f t="shared" si="1"/>
        <v>26.00001028225806</v>
      </c>
      <c r="AP16" s="499">
        <f t="shared" si="2"/>
        <v>24.758964308933148</v>
      </c>
      <c r="AQ16" s="499"/>
      <c r="AR16" s="228">
        <v>24.891487999999999</v>
      </c>
      <c r="AS16" s="13">
        <v>394</v>
      </c>
      <c r="AT16" s="13">
        <v>1.6170850000000001</v>
      </c>
      <c r="AU16" s="13">
        <f t="shared" si="47"/>
        <v>1</v>
      </c>
      <c r="AV16" s="13">
        <f t="shared" si="38"/>
        <v>24.891487999999999</v>
      </c>
      <c r="AW16" s="13">
        <f t="shared" si="39"/>
        <v>24.891487999999999</v>
      </c>
      <c r="AX16" s="13">
        <f t="shared" si="40"/>
        <v>24.891487999999999</v>
      </c>
      <c r="AY16" s="13">
        <v>1067.8866089999999</v>
      </c>
      <c r="AZ16" s="13">
        <f t="shared" si="41"/>
        <v>0</v>
      </c>
      <c r="BA16" s="13">
        <f t="shared" si="42"/>
        <v>0</v>
      </c>
      <c r="BB16" s="97">
        <f t="shared" si="43"/>
        <v>0</v>
      </c>
      <c r="BC16" s="499"/>
      <c r="BD16" s="499">
        <v>110.75</v>
      </c>
      <c r="BE16" s="499">
        <v>23.762861491935478</v>
      </c>
      <c r="BF16" s="499">
        <v>21.855044354838714</v>
      </c>
      <c r="BG16" s="499">
        <v>21.671998491405677</v>
      </c>
      <c r="BI16" s="499">
        <f t="shared" ref="BI16:BJ16" si="52">AS19</f>
        <v>168</v>
      </c>
      <c r="BJ16" s="499">
        <f t="shared" si="52"/>
        <v>1.6932020000000001</v>
      </c>
      <c r="BK16" s="5">
        <f t="shared" si="15"/>
        <v>0</v>
      </c>
      <c r="BL16" s="499">
        <f t="shared" si="16"/>
        <v>20.236090999999998</v>
      </c>
      <c r="BM16" s="499">
        <f t="shared" si="17"/>
        <v>1813.945686</v>
      </c>
      <c r="BO16" s="499">
        <f t="shared" si="18"/>
        <v>168</v>
      </c>
      <c r="BP16" s="499">
        <f t="shared" si="19"/>
        <v>1.6932020000000001</v>
      </c>
      <c r="BQ16" s="5">
        <f t="shared" si="20"/>
        <v>0</v>
      </c>
      <c r="BR16" s="499">
        <f t="shared" si="21"/>
        <v>20.236090999999998</v>
      </c>
      <c r="BS16" s="499">
        <f t="shared" si="11"/>
        <v>1813.945686</v>
      </c>
      <c r="BU16" s="499">
        <f t="shared" si="22"/>
        <v>168</v>
      </c>
      <c r="BV16" s="499">
        <f t="shared" si="23"/>
        <v>1.6932020000000001</v>
      </c>
      <c r="BW16" s="5">
        <f t="shared" si="12"/>
        <v>0</v>
      </c>
      <c r="BX16" s="499">
        <f t="shared" si="24"/>
        <v>20.236090999999998</v>
      </c>
      <c r="BY16" s="499">
        <f t="shared" si="25"/>
        <v>1813.945686</v>
      </c>
      <c r="CA16">
        <v>168</v>
      </c>
      <c r="CB16">
        <v>1.6932020000000001</v>
      </c>
      <c r="CC16">
        <v>0</v>
      </c>
      <c r="CD16">
        <v>20.236090999999998</v>
      </c>
      <c r="CE16">
        <v>1813.945686</v>
      </c>
      <c r="CG16" s="499">
        <f t="shared" si="26"/>
        <v>0</v>
      </c>
      <c r="CH16" s="499">
        <f t="shared" si="27"/>
        <v>0</v>
      </c>
      <c r="CI16" s="499">
        <f t="shared" si="28"/>
        <v>0</v>
      </c>
      <c r="CJ16" s="499">
        <f t="shared" si="29"/>
        <v>0</v>
      </c>
      <c r="CM16" s="28">
        <v>20</v>
      </c>
      <c r="CN16" s="65">
        <f t="shared" si="31"/>
        <v>0.97868849465681251</v>
      </c>
      <c r="CP16" s="499"/>
      <c r="CQ16" s="65">
        <f t="shared" si="32"/>
        <v>0.97691267685439487</v>
      </c>
      <c r="CR16" s="499">
        <f t="shared" si="33"/>
        <v>0.97691267685439487</v>
      </c>
      <c r="CS16" s="499">
        <f t="shared" si="34"/>
        <v>0.97691267685439487</v>
      </c>
      <c r="CT16" s="38">
        <f t="shared" si="35"/>
        <v>1</v>
      </c>
      <c r="CU16" s="498">
        <f t="shared" si="36"/>
        <v>1</v>
      </c>
    </row>
    <row r="17" spans="1:99">
      <c r="A17" s="499">
        <f t="shared" si="9"/>
        <v>1</v>
      </c>
      <c r="B17">
        <v>340</v>
      </c>
      <c r="C17">
        <v>339</v>
      </c>
      <c r="D17" t="s">
        <v>1043</v>
      </c>
      <c r="E17">
        <v>339</v>
      </c>
      <c r="F17">
        <v>0</v>
      </c>
      <c r="G17">
        <v>1</v>
      </c>
      <c r="H17">
        <v>587</v>
      </c>
      <c r="I17">
        <v>4</v>
      </c>
      <c r="J17">
        <v>338262.10923</v>
      </c>
      <c r="K17">
        <v>4967684.8841669997</v>
      </c>
      <c r="L17">
        <v>338565.90283500002</v>
      </c>
      <c r="M17">
        <v>4967945.5859230002</v>
      </c>
      <c r="N17">
        <v>6727.5</v>
      </c>
      <c r="O17">
        <v>16.959654</v>
      </c>
      <c r="P17">
        <v>16.959654</v>
      </c>
      <c r="Q17">
        <v>1</v>
      </c>
      <c r="R17">
        <v>-9999</v>
      </c>
      <c r="S17">
        <v>-9999</v>
      </c>
      <c r="T17">
        <v>-9999</v>
      </c>
      <c r="U17">
        <v>-9999</v>
      </c>
      <c r="V17">
        <v>-9999</v>
      </c>
      <c r="W17">
        <v>-9999</v>
      </c>
      <c r="X17">
        <v>-9999</v>
      </c>
      <c r="Y17">
        <v>-9999</v>
      </c>
      <c r="Z17">
        <v>-9999</v>
      </c>
      <c r="AA17">
        <v>-9999</v>
      </c>
      <c r="AB17">
        <v>23681181</v>
      </c>
      <c r="AC17">
        <v>22</v>
      </c>
      <c r="AD17">
        <v>26.261299999999999</v>
      </c>
      <c r="AE17">
        <v>75</v>
      </c>
      <c r="AF17">
        <v>541</v>
      </c>
      <c r="AG17">
        <v>9987.3010730000005</v>
      </c>
      <c r="AH17">
        <v>736534.06019999995</v>
      </c>
      <c r="AI17">
        <v>1000.555668</v>
      </c>
      <c r="AJ17">
        <v>15</v>
      </c>
      <c r="AK17" s="499">
        <f t="shared" si="13"/>
        <v>13.772786568999999</v>
      </c>
      <c r="AL17" s="15">
        <f t="shared" si="3"/>
        <v>41.112786569000001</v>
      </c>
      <c r="AM17" s="15"/>
      <c r="AN17" s="499">
        <f t="shared" si="0"/>
        <v>19.926028024193545</v>
      </c>
      <c r="AO17" s="499">
        <f t="shared" si="1"/>
        <v>26.206397379032254</v>
      </c>
      <c r="AP17" s="499">
        <f t="shared" si="2"/>
        <v>24.969655861465206</v>
      </c>
      <c r="AQ17" s="499"/>
      <c r="AR17" s="228">
        <v>16.469284999999999</v>
      </c>
      <c r="AS17" s="13">
        <v>63</v>
      </c>
      <c r="AT17" s="13">
        <v>1.635413</v>
      </c>
      <c r="AU17" s="13">
        <f t="shared" si="47"/>
        <v>0</v>
      </c>
      <c r="AV17" s="13">
        <f t="shared" si="38"/>
        <v>16.469284999999999</v>
      </c>
      <c r="AW17" s="13">
        <f t="shared" si="39"/>
        <v>16.469284999999999</v>
      </c>
      <c r="AX17" s="13">
        <f t="shared" si="40"/>
        <v>16.469284999999999</v>
      </c>
      <c r="AY17" s="13">
        <v>1087.6440319999999</v>
      </c>
      <c r="AZ17" s="13">
        <f t="shared" si="41"/>
        <v>0</v>
      </c>
      <c r="BA17" s="13">
        <f t="shared" si="42"/>
        <v>0</v>
      </c>
      <c r="BB17" s="97">
        <f t="shared" si="43"/>
        <v>0</v>
      </c>
      <c r="BC17" s="499"/>
      <c r="BD17" s="499">
        <v>110.55</v>
      </c>
      <c r="BE17" s="499">
        <v>23.778280846774202</v>
      </c>
      <c r="BF17" s="499">
        <v>21.909980645161291</v>
      </c>
      <c r="BG17" s="499">
        <v>21.284177861217948</v>
      </c>
      <c r="BI17" s="499">
        <f t="shared" ref="BI17:BJ17" si="53">AS20</f>
        <v>147</v>
      </c>
      <c r="BJ17" s="499">
        <f t="shared" si="53"/>
        <v>1.715714</v>
      </c>
      <c r="BK17" s="5">
        <f t="shared" si="15"/>
        <v>0</v>
      </c>
      <c r="BL17" s="499">
        <f t="shared" si="16"/>
        <v>21.106905999999999</v>
      </c>
      <c r="BM17" s="499">
        <f t="shared" si="17"/>
        <v>906.65360599999997</v>
      </c>
      <c r="BO17" s="499">
        <f t="shared" si="18"/>
        <v>147</v>
      </c>
      <c r="BP17" s="499">
        <f t="shared" si="19"/>
        <v>1.715714</v>
      </c>
      <c r="BQ17" s="5">
        <f t="shared" si="20"/>
        <v>0</v>
      </c>
      <c r="BR17" s="499">
        <f t="shared" si="21"/>
        <v>21.106905999999999</v>
      </c>
      <c r="BS17" s="499">
        <f t="shared" si="11"/>
        <v>906.65360599999997</v>
      </c>
      <c r="BU17" s="499">
        <f t="shared" si="22"/>
        <v>147</v>
      </c>
      <c r="BV17" s="499">
        <f t="shared" si="23"/>
        <v>1.715714</v>
      </c>
      <c r="BW17" s="5">
        <f t="shared" si="12"/>
        <v>0</v>
      </c>
      <c r="BX17" s="499">
        <f t="shared" si="24"/>
        <v>21.106905999999999</v>
      </c>
      <c r="BY17" s="499">
        <f t="shared" si="25"/>
        <v>906.65360599999997</v>
      </c>
      <c r="CA17">
        <v>147</v>
      </c>
      <c r="CB17">
        <v>1.715714</v>
      </c>
      <c r="CC17">
        <v>0</v>
      </c>
      <c r="CD17">
        <v>21.106905999999999</v>
      </c>
      <c r="CE17">
        <v>906.65360599999997</v>
      </c>
      <c r="CG17" s="499">
        <f t="shared" si="26"/>
        <v>0</v>
      </c>
      <c r="CH17" s="499">
        <f t="shared" si="27"/>
        <v>0</v>
      </c>
      <c r="CI17" s="499">
        <f t="shared" si="28"/>
        <v>0</v>
      </c>
      <c r="CJ17" s="499">
        <f t="shared" si="29"/>
        <v>0</v>
      </c>
      <c r="CM17" s="28">
        <v>21</v>
      </c>
      <c r="CN17" s="65">
        <f t="shared" si="31"/>
        <v>0.97761062460389747</v>
      </c>
      <c r="CP17" s="499"/>
      <c r="CQ17" s="65">
        <f t="shared" si="32"/>
        <v>0.97858587187927826</v>
      </c>
      <c r="CR17" s="499">
        <f t="shared" si="33"/>
        <v>0.97858587187927826</v>
      </c>
      <c r="CS17" s="499">
        <f t="shared" si="34"/>
        <v>0.97858587187927826</v>
      </c>
      <c r="CT17" s="38">
        <f t="shared" si="35"/>
        <v>1</v>
      </c>
      <c r="CU17" s="498">
        <f t="shared" si="36"/>
        <v>1</v>
      </c>
    </row>
    <row r="18" spans="1:99">
      <c r="A18" s="499">
        <f t="shared" si="9"/>
        <v>1</v>
      </c>
      <c r="B18">
        <v>434</v>
      </c>
      <c r="C18">
        <v>433</v>
      </c>
      <c r="D18" t="s">
        <v>1043</v>
      </c>
      <c r="E18">
        <v>433</v>
      </c>
      <c r="F18">
        <v>0</v>
      </c>
      <c r="G18">
        <v>1</v>
      </c>
      <c r="H18">
        <v>588</v>
      </c>
      <c r="I18">
        <v>3</v>
      </c>
      <c r="J18">
        <v>338959.625657</v>
      </c>
      <c r="K18">
        <v>4967541.0443770001</v>
      </c>
      <c r="L18">
        <v>338834.405593</v>
      </c>
      <c r="M18">
        <v>4967829.2351299999</v>
      </c>
      <c r="N18">
        <v>6724</v>
      </c>
      <c r="O18">
        <v>16.606290999999999</v>
      </c>
      <c r="P18">
        <v>16.606290999999999</v>
      </c>
      <c r="Q18">
        <v>1</v>
      </c>
      <c r="R18">
        <v>-9999</v>
      </c>
      <c r="S18">
        <v>-9999</v>
      </c>
      <c r="T18">
        <v>-9999</v>
      </c>
      <c r="U18">
        <v>-9999</v>
      </c>
      <c r="V18">
        <v>-9999</v>
      </c>
      <c r="W18">
        <v>-9999</v>
      </c>
      <c r="X18">
        <v>-9999</v>
      </c>
      <c r="Y18">
        <v>-9999</v>
      </c>
      <c r="Z18">
        <v>-9999</v>
      </c>
      <c r="AA18">
        <v>-9999</v>
      </c>
      <c r="AB18">
        <v>23681181</v>
      </c>
      <c r="AC18">
        <v>22</v>
      </c>
      <c r="AD18">
        <v>26.261299999999999</v>
      </c>
      <c r="AE18">
        <v>75</v>
      </c>
      <c r="AF18">
        <v>541</v>
      </c>
      <c r="AG18">
        <v>9987.3010730000005</v>
      </c>
      <c r="AH18">
        <v>736534.06019999995</v>
      </c>
      <c r="AI18">
        <v>1000.421721</v>
      </c>
      <c r="AJ18">
        <v>16</v>
      </c>
      <c r="AK18" s="499">
        <f t="shared" si="13"/>
        <v>14.773342237</v>
      </c>
      <c r="AL18" s="15">
        <f t="shared" si="3"/>
        <v>42.113342236999998</v>
      </c>
      <c r="AM18" s="15"/>
      <c r="AN18" s="499">
        <f t="shared" si="0"/>
        <v>20.06805221774195</v>
      </c>
      <c r="AO18" s="499">
        <f t="shared" si="1"/>
        <v>26.525042741935483</v>
      </c>
      <c r="AP18" s="499">
        <f t="shared" si="2"/>
        <v>25.511355595902014</v>
      </c>
      <c r="AQ18" s="499"/>
      <c r="AR18" s="228">
        <v>21.22373</v>
      </c>
      <c r="AS18" s="13">
        <v>217</v>
      </c>
      <c r="AT18" s="13">
        <v>1.652822</v>
      </c>
      <c r="AU18" s="13">
        <f t="shared" si="47"/>
        <v>0</v>
      </c>
      <c r="AV18" s="13">
        <f t="shared" si="38"/>
        <v>21.22373</v>
      </c>
      <c r="AW18" s="13">
        <f t="shared" si="39"/>
        <v>21.22373</v>
      </c>
      <c r="AX18" s="13">
        <f t="shared" si="40"/>
        <v>21.22373</v>
      </c>
      <c r="AY18" s="13">
        <v>1258.3899200000001</v>
      </c>
      <c r="AZ18" s="13">
        <f t="shared" si="41"/>
        <v>0</v>
      </c>
      <c r="BA18" s="13">
        <f t="shared" si="42"/>
        <v>0</v>
      </c>
      <c r="BB18" s="97">
        <f t="shared" si="43"/>
        <v>0</v>
      </c>
      <c r="BC18" s="499"/>
      <c r="BD18" s="499">
        <v>110.35</v>
      </c>
      <c r="BE18" s="499">
        <v>23.583422983870967</v>
      </c>
      <c r="BF18" s="499">
        <v>21.75607923387097</v>
      </c>
      <c r="BG18" s="499">
        <v>20.895648420467033</v>
      </c>
      <c r="BI18" s="499">
        <f t="shared" ref="BI18:BJ18" si="54">AS21</f>
        <v>325</v>
      </c>
      <c r="BJ18" s="499">
        <f t="shared" si="54"/>
        <v>1.719071</v>
      </c>
      <c r="BK18" s="5">
        <f t="shared" si="15"/>
        <v>0</v>
      </c>
      <c r="BL18" s="499">
        <f t="shared" si="16"/>
        <v>20.236090999999998</v>
      </c>
      <c r="BM18" s="499">
        <f t="shared" si="17"/>
        <v>1001.82937</v>
      </c>
      <c r="BO18" s="499">
        <f t="shared" si="18"/>
        <v>325</v>
      </c>
      <c r="BP18" s="499">
        <f t="shared" si="19"/>
        <v>1.719071</v>
      </c>
      <c r="BQ18" s="5">
        <f t="shared" si="20"/>
        <v>0</v>
      </c>
      <c r="BR18" s="499">
        <f t="shared" si="21"/>
        <v>20.236090999999998</v>
      </c>
      <c r="BS18" s="499">
        <f t="shared" si="11"/>
        <v>1001.82937</v>
      </c>
      <c r="BU18" s="499">
        <f t="shared" si="22"/>
        <v>325</v>
      </c>
      <c r="BV18" s="499">
        <f t="shared" si="23"/>
        <v>1.719071</v>
      </c>
      <c r="BW18" s="5">
        <f t="shared" si="12"/>
        <v>0</v>
      </c>
      <c r="BX18" s="499">
        <f t="shared" si="24"/>
        <v>20.236090999999998</v>
      </c>
      <c r="BY18" s="499">
        <f t="shared" si="25"/>
        <v>1001.82937</v>
      </c>
      <c r="CA18">
        <v>325</v>
      </c>
      <c r="CB18">
        <v>1.719071</v>
      </c>
      <c r="CC18">
        <v>0</v>
      </c>
      <c r="CD18">
        <v>20.236090999999998</v>
      </c>
      <c r="CE18">
        <v>1001.82937</v>
      </c>
      <c r="CG18" s="499">
        <f t="shared" si="26"/>
        <v>0</v>
      </c>
      <c r="CH18" s="499">
        <f t="shared" si="27"/>
        <v>0</v>
      </c>
      <c r="CI18" s="499">
        <f t="shared" si="28"/>
        <v>0</v>
      </c>
      <c r="CJ18" s="499">
        <f t="shared" si="29"/>
        <v>0</v>
      </c>
      <c r="CM18" s="28">
        <v>22</v>
      </c>
      <c r="CN18" s="65">
        <f t="shared" si="31"/>
        <v>0.9698211629421718</v>
      </c>
      <c r="CP18" s="499"/>
      <c r="CQ18" s="65">
        <f t="shared" si="32"/>
        <v>0.97731542031314478</v>
      </c>
      <c r="CR18" s="499">
        <f t="shared" si="33"/>
        <v>0.97731542031314478</v>
      </c>
      <c r="CS18" s="499">
        <f t="shared" si="34"/>
        <v>0.97731542031314478</v>
      </c>
      <c r="CT18" s="38">
        <f t="shared" si="35"/>
        <v>1</v>
      </c>
      <c r="CU18" s="498">
        <f t="shared" si="36"/>
        <v>1</v>
      </c>
    </row>
    <row r="19" spans="1:99">
      <c r="A19" s="499">
        <f t="shared" si="9"/>
        <v>1</v>
      </c>
      <c r="B19">
        <v>80</v>
      </c>
      <c r="C19">
        <v>79</v>
      </c>
      <c r="D19" t="s">
        <v>1043</v>
      </c>
      <c r="E19">
        <v>79</v>
      </c>
      <c r="F19">
        <v>0</v>
      </c>
      <c r="G19">
        <v>1.1000000000000001</v>
      </c>
      <c r="H19">
        <v>586</v>
      </c>
      <c r="I19">
        <v>4</v>
      </c>
      <c r="J19">
        <v>338814.47168199997</v>
      </c>
      <c r="K19">
        <v>4966811.7883080002</v>
      </c>
      <c r="L19">
        <v>339156.20967499999</v>
      </c>
      <c r="M19">
        <v>4967140.9196579996</v>
      </c>
      <c r="N19">
        <v>6719.5</v>
      </c>
      <c r="O19">
        <v>16.430109999999999</v>
      </c>
      <c r="P19">
        <v>16.430109999999999</v>
      </c>
      <c r="Q19">
        <v>5</v>
      </c>
      <c r="R19">
        <v>-5989.3819999999996</v>
      </c>
      <c r="S19">
        <v>-5989.0619999999999</v>
      </c>
      <c r="T19">
        <v>-5988.0780000000004</v>
      </c>
      <c r="U19">
        <v>-5987.2219999999998</v>
      </c>
      <c r="V19">
        <v>-5989.6319999999996</v>
      </c>
      <c r="W19">
        <v>-5988.402</v>
      </c>
      <c r="X19">
        <v>-5988.9539999999997</v>
      </c>
      <c r="Y19">
        <v>-5990.7939999999999</v>
      </c>
      <c r="Z19">
        <v>-5990.68</v>
      </c>
      <c r="AA19">
        <v>-5101.3999999999996</v>
      </c>
      <c r="AB19">
        <v>23681305.800000001</v>
      </c>
      <c r="AC19">
        <v>23.446000000000002</v>
      </c>
      <c r="AD19">
        <v>29.110348999999999</v>
      </c>
      <c r="AE19">
        <v>75</v>
      </c>
      <c r="AF19">
        <v>517.6</v>
      </c>
      <c r="AG19">
        <v>3856.7199000000001</v>
      </c>
      <c r="AH19">
        <v>272687.812508</v>
      </c>
      <c r="AI19">
        <v>1120.2209439999999</v>
      </c>
      <c r="AJ19">
        <v>17</v>
      </c>
      <c r="AK19" s="499">
        <f t="shared" si="13"/>
        <v>15.773763958</v>
      </c>
      <c r="AL19" s="15">
        <f t="shared" si="3"/>
        <v>43.113763958</v>
      </c>
      <c r="AM19" s="15"/>
      <c r="AN19" s="499">
        <f t="shared" si="0"/>
        <v>20.21753649193548</v>
      </c>
      <c r="AO19" s="499">
        <f t="shared" si="1"/>
        <v>26.870594153225809</v>
      </c>
      <c r="AP19" s="499">
        <f t="shared" si="2"/>
        <v>25.940471512138281</v>
      </c>
      <c r="AQ19" s="499"/>
      <c r="AR19" s="228">
        <v>20.236090999999998</v>
      </c>
      <c r="AS19" s="13">
        <v>168</v>
      </c>
      <c r="AT19" s="13">
        <v>1.6932020000000001</v>
      </c>
      <c r="AU19" s="13">
        <f t="shared" si="47"/>
        <v>0</v>
      </c>
      <c r="AV19" s="13">
        <f t="shared" si="38"/>
        <v>20.236090999999998</v>
      </c>
      <c r="AW19" s="13">
        <f t="shared" si="39"/>
        <v>20.236090999999998</v>
      </c>
      <c r="AX19" s="13">
        <f t="shared" si="40"/>
        <v>20.236090999999998</v>
      </c>
      <c r="AY19" s="13">
        <v>1813.945686</v>
      </c>
      <c r="AZ19" s="13">
        <f t="shared" si="41"/>
        <v>0</v>
      </c>
      <c r="BA19" s="13">
        <f t="shared" si="42"/>
        <v>0</v>
      </c>
      <c r="BB19" s="97">
        <f t="shared" si="43"/>
        <v>0</v>
      </c>
      <c r="BC19" s="499"/>
      <c r="BD19" s="499">
        <v>110.15</v>
      </c>
      <c r="BE19" s="499">
        <v>23.540800000000001</v>
      </c>
      <c r="BF19" s="499">
        <v>21.607088104838706</v>
      </c>
      <c r="BG19" s="499">
        <v>20.510705616909345</v>
      </c>
      <c r="BI19" s="499">
        <f t="shared" ref="BI19:BJ19" si="55">AS22</f>
        <v>10</v>
      </c>
      <c r="BJ19" s="499">
        <f t="shared" si="55"/>
        <v>1.751352</v>
      </c>
      <c r="BK19" s="5">
        <f t="shared" si="15"/>
        <v>0</v>
      </c>
      <c r="BL19" s="499">
        <f t="shared" si="16"/>
        <v>16.839841</v>
      </c>
      <c r="BM19" s="499">
        <f t="shared" si="17"/>
        <v>1397.113085</v>
      </c>
      <c r="BO19" s="499">
        <f t="shared" si="18"/>
        <v>10</v>
      </c>
      <c r="BP19" s="499">
        <f t="shared" si="19"/>
        <v>1.751352</v>
      </c>
      <c r="BQ19" s="5">
        <f t="shared" si="20"/>
        <v>0</v>
      </c>
      <c r="BR19" s="499">
        <f t="shared" si="21"/>
        <v>16.839841</v>
      </c>
      <c r="BS19" s="499">
        <f t="shared" si="11"/>
        <v>1397.113085</v>
      </c>
      <c r="BU19" s="499">
        <f t="shared" si="22"/>
        <v>10</v>
      </c>
      <c r="BV19" s="499">
        <f t="shared" si="23"/>
        <v>1.751352</v>
      </c>
      <c r="BW19" s="5">
        <f t="shared" si="12"/>
        <v>0</v>
      </c>
      <c r="BX19" s="499">
        <f t="shared" si="24"/>
        <v>16.839841</v>
      </c>
      <c r="BY19" s="499">
        <f t="shared" si="25"/>
        <v>1397.113085</v>
      </c>
      <c r="CA19">
        <v>10</v>
      </c>
      <c r="CB19">
        <v>1.751352</v>
      </c>
      <c r="CC19">
        <v>0</v>
      </c>
      <c r="CD19">
        <v>16.839841</v>
      </c>
      <c r="CE19">
        <v>1397.113085</v>
      </c>
      <c r="CG19" s="499">
        <f t="shared" si="26"/>
        <v>0</v>
      </c>
      <c r="CH19" s="499">
        <f t="shared" si="27"/>
        <v>0</v>
      </c>
      <c r="CI19" s="499">
        <f t="shared" si="28"/>
        <v>0</v>
      </c>
      <c r="CJ19" s="499">
        <f t="shared" si="29"/>
        <v>0</v>
      </c>
      <c r="CM19" s="28">
        <v>23</v>
      </c>
      <c r="CN19" s="65">
        <f t="shared" si="31"/>
        <v>0.91656166309210685</v>
      </c>
      <c r="CP19" s="499"/>
      <c r="CQ19" s="65">
        <f t="shared" si="32"/>
        <v>0.97858587187927826</v>
      </c>
      <c r="CR19" s="499">
        <f t="shared" si="33"/>
        <v>0.97858587187927826</v>
      </c>
      <c r="CS19" s="499">
        <f t="shared" si="34"/>
        <v>0.97858587187927826</v>
      </c>
      <c r="CT19" s="38">
        <f t="shared" si="35"/>
        <v>1</v>
      </c>
      <c r="CU19" s="498">
        <f t="shared" si="36"/>
        <v>1</v>
      </c>
    </row>
    <row r="20" spans="1:99">
      <c r="A20" s="499">
        <f t="shared" si="9"/>
        <v>1</v>
      </c>
      <c r="B20">
        <v>180</v>
      </c>
      <c r="C20">
        <v>179</v>
      </c>
      <c r="D20" t="s">
        <v>1043</v>
      </c>
      <c r="E20">
        <v>179</v>
      </c>
      <c r="F20">
        <v>0</v>
      </c>
      <c r="G20">
        <v>0.9</v>
      </c>
      <c r="H20">
        <v>583</v>
      </c>
      <c r="I20">
        <v>4</v>
      </c>
      <c r="J20">
        <v>339742.68361800001</v>
      </c>
      <c r="K20">
        <v>4966492.4179199999</v>
      </c>
      <c r="L20">
        <v>339747.96236300003</v>
      </c>
      <c r="M20">
        <v>4966931.4718779996</v>
      </c>
      <c r="N20">
        <v>6590.5</v>
      </c>
      <c r="O20">
        <v>16.399332999999999</v>
      </c>
      <c r="P20">
        <v>16.399332999999999</v>
      </c>
      <c r="Q20">
        <v>3</v>
      </c>
      <c r="R20">
        <v>-6657.6566670000002</v>
      </c>
      <c r="S20">
        <v>-6657.4066670000002</v>
      </c>
      <c r="T20">
        <v>-6656.6266670000005</v>
      </c>
      <c r="U20">
        <v>-6655.89</v>
      </c>
      <c r="V20">
        <v>-6657.87</v>
      </c>
      <c r="W20">
        <v>-6656.853333</v>
      </c>
      <c r="X20">
        <v>-6657.3766670000005</v>
      </c>
      <c r="Y20">
        <v>-6658.8633330000002</v>
      </c>
      <c r="Z20">
        <v>-6659.0566669999998</v>
      </c>
      <c r="AA20">
        <v>-5880.3333329999996</v>
      </c>
      <c r="AB20">
        <v>23681183</v>
      </c>
      <c r="AC20">
        <v>23.122222000000001</v>
      </c>
      <c r="AD20">
        <v>28.529593999999999</v>
      </c>
      <c r="AE20">
        <v>75</v>
      </c>
      <c r="AF20">
        <v>512.33333300000004</v>
      </c>
      <c r="AG20">
        <v>2380.2741000000001</v>
      </c>
      <c r="AH20">
        <v>160951.973447</v>
      </c>
      <c r="AI20">
        <v>919.67985899999996</v>
      </c>
      <c r="AJ20">
        <v>18</v>
      </c>
      <c r="AK20" s="499">
        <f t="shared" si="13"/>
        <v>16.893984902</v>
      </c>
      <c r="AL20" s="15">
        <f t="shared" si="3"/>
        <v>44.233984902000003</v>
      </c>
      <c r="AM20" s="15"/>
      <c r="AN20" s="499">
        <f t="shared" si="0"/>
        <v>20.347273588709683</v>
      </c>
      <c r="AO20" s="499">
        <f t="shared" si="1"/>
        <v>26.667888104838706</v>
      </c>
      <c r="AP20" s="499">
        <f t="shared" si="2"/>
        <v>26.013562889542129</v>
      </c>
      <c r="AQ20" s="499"/>
      <c r="AR20" s="228">
        <v>21.106905999999999</v>
      </c>
      <c r="AS20" s="13">
        <v>147</v>
      </c>
      <c r="AT20" s="13">
        <v>1.715714</v>
      </c>
      <c r="AU20" s="13">
        <f t="shared" si="47"/>
        <v>0</v>
      </c>
      <c r="AV20" s="13">
        <f t="shared" si="38"/>
        <v>21.106905999999999</v>
      </c>
      <c r="AW20" s="13">
        <f t="shared" si="39"/>
        <v>21.106905999999999</v>
      </c>
      <c r="AX20" s="13">
        <f t="shared" si="40"/>
        <v>21.106905999999999</v>
      </c>
      <c r="AY20" s="13">
        <v>906.65360599999997</v>
      </c>
      <c r="AZ20" s="13">
        <f t="shared" si="41"/>
        <v>0</v>
      </c>
      <c r="BA20" s="13">
        <f t="shared" si="42"/>
        <v>0</v>
      </c>
      <c r="BB20" s="97">
        <f t="shared" si="43"/>
        <v>0</v>
      </c>
      <c r="BC20" s="499"/>
      <c r="BD20" s="499">
        <v>109.95</v>
      </c>
      <c r="BE20" s="499">
        <v>23.49810403225807</v>
      </c>
      <c r="BF20" s="499">
        <v>21.487143548387092</v>
      </c>
      <c r="BG20" s="499">
        <v>20.223990853118124</v>
      </c>
      <c r="BI20" s="499">
        <f t="shared" ref="BI20:BJ20" si="56">AS23</f>
        <v>320</v>
      </c>
      <c r="BJ20" s="499">
        <f t="shared" si="56"/>
        <v>1.788834</v>
      </c>
      <c r="BK20" s="5">
        <f t="shared" si="15"/>
        <v>0</v>
      </c>
      <c r="BL20" s="499">
        <f t="shared" si="16"/>
        <v>18.737535000000001</v>
      </c>
      <c r="BM20" s="499">
        <f t="shared" si="17"/>
        <v>1320.2878639999999</v>
      </c>
      <c r="BO20" s="499">
        <f t="shared" si="18"/>
        <v>320</v>
      </c>
      <c r="BP20" s="499">
        <f t="shared" si="19"/>
        <v>1.788834</v>
      </c>
      <c r="BQ20" s="5">
        <f t="shared" si="20"/>
        <v>0</v>
      </c>
      <c r="BR20" s="499">
        <f t="shared" si="21"/>
        <v>18.737535000000001</v>
      </c>
      <c r="BS20" s="499">
        <f t="shared" si="11"/>
        <v>1320.2878639999999</v>
      </c>
      <c r="BU20" s="499">
        <f t="shared" si="22"/>
        <v>320</v>
      </c>
      <c r="BV20" s="499">
        <f t="shared" si="23"/>
        <v>1.788834</v>
      </c>
      <c r="BW20" s="5">
        <f t="shared" si="12"/>
        <v>0</v>
      </c>
      <c r="BX20" s="499">
        <f t="shared" si="24"/>
        <v>18.737535000000001</v>
      </c>
      <c r="BY20" s="499">
        <f t="shared" si="25"/>
        <v>1320.2878639999999</v>
      </c>
      <c r="CA20">
        <v>320</v>
      </c>
      <c r="CB20">
        <v>1.788834</v>
      </c>
      <c r="CC20">
        <v>0</v>
      </c>
      <c r="CD20">
        <v>18.737535000000001</v>
      </c>
      <c r="CE20">
        <v>1320.2878639999999</v>
      </c>
      <c r="CG20" s="499">
        <f t="shared" si="26"/>
        <v>0</v>
      </c>
      <c r="CH20" s="499">
        <f t="shared" si="27"/>
        <v>0</v>
      </c>
      <c r="CI20" s="499">
        <f t="shared" si="28"/>
        <v>0</v>
      </c>
      <c r="CJ20" s="499">
        <f t="shared" si="29"/>
        <v>0</v>
      </c>
      <c r="CM20" s="28">
        <v>24</v>
      </c>
      <c r="CN20" s="65">
        <f t="shared" si="31"/>
        <v>0.65445456051713291</v>
      </c>
      <c r="CP20" s="499"/>
      <c r="CQ20" s="65">
        <f t="shared" si="32"/>
        <v>0.97885967828463738</v>
      </c>
      <c r="CR20" s="499">
        <f t="shared" si="33"/>
        <v>0.97885967828463738</v>
      </c>
      <c r="CS20" s="499">
        <f t="shared" si="34"/>
        <v>0.97885967828463738</v>
      </c>
      <c r="CT20" s="38">
        <f t="shared" si="35"/>
        <v>1</v>
      </c>
      <c r="CU20" s="498">
        <f t="shared" si="36"/>
        <v>1</v>
      </c>
    </row>
    <row r="21" spans="1:99">
      <c r="A21" s="499">
        <f t="shared" si="9"/>
        <v>1</v>
      </c>
      <c r="B21">
        <v>474</v>
      </c>
      <c r="C21">
        <v>473</v>
      </c>
      <c r="D21" t="s">
        <v>1043</v>
      </c>
      <c r="E21">
        <v>473</v>
      </c>
      <c r="F21">
        <v>0</v>
      </c>
      <c r="G21">
        <v>1</v>
      </c>
      <c r="H21">
        <v>584</v>
      </c>
      <c r="I21">
        <v>4</v>
      </c>
      <c r="J21">
        <v>340311.312508</v>
      </c>
      <c r="K21">
        <v>4966237.5243699998</v>
      </c>
      <c r="L21">
        <v>340139.63387999998</v>
      </c>
      <c r="M21">
        <v>4966504.2359349998</v>
      </c>
      <c r="N21">
        <v>6586.5</v>
      </c>
      <c r="O21">
        <v>16.297456</v>
      </c>
      <c r="P21">
        <v>16.297456</v>
      </c>
      <c r="Q21">
        <v>3</v>
      </c>
      <c r="R21">
        <v>-6657.7766670000001</v>
      </c>
      <c r="S21">
        <v>-6657.47</v>
      </c>
      <c r="T21">
        <v>-6656.61</v>
      </c>
      <c r="U21">
        <v>-6655.8333329999996</v>
      </c>
      <c r="V21">
        <v>-6657.6533330000002</v>
      </c>
      <c r="W21">
        <v>-6656.7</v>
      </c>
      <c r="X21">
        <v>-6657.1566670000002</v>
      </c>
      <c r="Y21">
        <v>-6658.4566670000004</v>
      </c>
      <c r="Z21">
        <v>-6658.6966670000002</v>
      </c>
      <c r="AA21">
        <v>-5954.3333329999996</v>
      </c>
      <c r="AB21">
        <v>23681186.333333001</v>
      </c>
      <c r="AC21">
        <v>23.194074000000001</v>
      </c>
      <c r="AD21">
        <v>28.661266999999999</v>
      </c>
      <c r="AE21">
        <v>75</v>
      </c>
      <c r="AF21">
        <v>515.33333300000004</v>
      </c>
      <c r="AG21">
        <v>5826.0173500000001</v>
      </c>
      <c r="AH21">
        <v>419437.37988899997</v>
      </c>
      <c r="AI21">
        <v>1000.300881</v>
      </c>
      <c r="AJ21">
        <v>18</v>
      </c>
      <c r="AK21" s="499">
        <f t="shared" si="13"/>
        <v>17.813664760999998</v>
      </c>
      <c r="AL21" s="15">
        <f t="shared" si="3"/>
        <v>45.153664761000002</v>
      </c>
      <c r="AM21" s="15"/>
      <c r="AN21" s="499">
        <f t="shared" si="0"/>
        <v>20.301248588709672</v>
      </c>
      <c r="AO21" s="499">
        <f t="shared" si="1"/>
        <v>26.689679233870965</v>
      </c>
      <c r="AP21" s="499">
        <f t="shared" si="2"/>
        <v>26.41230166059982</v>
      </c>
      <c r="AQ21" s="499"/>
      <c r="AR21" s="228">
        <v>20.236090999999998</v>
      </c>
      <c r="AS21" s="13">
        <v>325</v>
      </c>
      <c r="AT21" s="13">
        <v>1.719071</v>
      </c>
      <c r="AU21" s="13">
        <f t="shared" si="47"/>
        <v>0</v>
      </c>
      <c r="AV21" s="13">
        <f t="shared" si="38"/>
        <v>20.236090999999998</v>
      </c>
      <c r="AW21" s="13">
        <f t="shared" si="39"/>
        <v>20.236090999999998</v>
      </c>
      <c r="AX21" s="13">
        <f t="shared" si="40"/>
        <v>20.236090999999998</v>
      </c>
      <c r="AY21" s="13">
        <v>1001.82937</v>
      </c>
      <c r="AZ21" s="13">
        <f t="shared" si="41"/>
        <v>0</v>
      </c>
      <c r="BA21" s="13">
        <f t="shared" si="42"/>
        <v>0</v>
      </c>
      <c r="BB21" s="97">
        <f t="shared" si="43"/>
        <v>0</v>
      </c>
      <c r="BC21" s="499"/>
      <c r="BD21" s="499">
        <v>109.75</v>
      </c>
      <c r="BE21" s="499">
        <v>23.468765120967742</v>
      </c>
      <c r="BF21" s="499">
        <v>21.341047580645164</v>
      </c>
      <c r="BG21" s="499">
        <v>19.860803868759163</v>
      </c>
      <c r="BI21" s="499">
        <f t="shared" ref="BI21:BJ21" si="57">AS24</f>
        <v>91</v>
      </c>
      <c r="BJ21" s="499">
        <f t="shared" si="57"/>
        <v>1.8439190000000001</v>
      </c>
      <c r="BK21" s="5">
        <f t="shared" si="15"/>
        <v>0</v>
      </c>
      <c r="BL21" s="499">
        <f t="shared" si="16"/>
        <v>17.139959999999999</v>
      </c>
      <c r="BM21" s="499">
        <f t="shared" si="17"/>
        <v>1028.8641250000001</v>
      </c>
      <c r="BO21" s="499">
        <f t="shared" si="18"/>
        <v>91</v>
      </c>
      <c r="BP21" s="499">
        <f t="shared" si="19"/>
        <v>1.8439190000000001</v>
      </c>
      <c r="BQ21" s="5">
        <f t="shared" si="20"/>
        <v>0</v>
      </c>
      <c r="BR21" s="499">
        <f t="shared" si="21"/>
        <v>17.139959999999999</v>
      </c>
      <c r="BS21" s="499">
        <f t="shared" si="11"/>
        <v>1028.8641250000001</v>
      </c>
      <c r="BU21" s="499">
        <f t="shared" si="22"/>
        <v>91</v>
      </c>
      <c r="BV21" s="499">
        <f t="shared" si="23"/>
        <v>1.8439190000000001</v>
      </c>
      <c r="BW21" s="5">
        <f t="shared" si="12"/>
        <v>0</v>
      </c>
      <c r="BX21" s="499">
        <f t="shared" si="24"/>
        <v>17.139959999999999</v>
      </c>
      <c r="BY21" s="499">
        <f t="shared" si="25"/>
        <v>1028.8641250000001</v>
      </c>
      <c r="CA21">
        <v>91</v>
      </c>
      <c r="CB21">
        <v>1.8439190000000001</v>
      </c>
      <c r="CC21">
        <v>0</v>
      </c>
      <c r="CD21">
        <v>17.139959999999999</v>
      </c>
      <c r="CE21">
        <v>1028.8641250000001</v>
      </c>
      <c r="CG21" s="499">
        <f t="shared" si="26"/>
        <v>0</v>
      </c>
      <c r="CH21" s="499">
        <f t="shared" si="27"/>
        <v>0</v>
      </c>
      <c r="CI21" s="499">
        <f t="shared" si="28"/>
        <v>0</v>
      </c>
      <c r="CJ21" s="499">
        <f t="shared" si="29"/>
        <v>0</v>
      </c>
      <c r="CM21" s="28">
        <v>25</v>
      </c>
      <c r="CN21" s="65">
        <f t="shared" si="31"/>
        <v>0.2121062306220334</v>
      </c>
      <c r="CP21" s="499"/>
      <c r="CQ21" s="65">
        <f t="shared" si="32"/>
        <v>0.97884603714408225</v>
      </c>
      <c r="CR21" s="499">
        <f t="shared" si="33"/>
        <v>0.97884603714408225</v>
      </c>
      <c r="CS21" s="499">
        <f t="shared" si="34"/>
        <v>0.97884603714408225</v>
      </c>
      <c r="CT21" s="38">
        <f t="shared" si="35"/>
        <v>1</v>
      </c>
      <c r="CU21" s="498">
        <f t="shared" si="36"/>
        <v>1</v>
      </c>
    </row>
    <row r="22" spans="1:99">
      <c r="A22" s="499">
        <f t="shared" si="9"/>
        <v>1</v>
      </c>
      <c r="B22">
        <v>240</v>
      </c>
      <c r="C22">
        <v>239</v>
      </c>
      <c r="D22" t="s">
        <v>1043</v>
      </c>
      <c r="E22">
        <v>239</v>
      </c>
      <c r="F22">
        <v>0</v>
      </c>
      <c r="G22">
        <v>0.7</v>
      </c>
      <c r="H22">
        <v>582</v>
      </c>
      <c r="I22">
        <v>3</v>
      </c>
      <c r="J22">
        <v>340755.53162000002</v>
      </c>
      <c r="K22">
        <v>4965945.1852200003</v>
      </c>
      <c r="L22">
        <v>340995.13279300003</v>
      </c>
      <c r="M22">
        <v>4966267.4161069999</v>
      </c>
      <c r="N22">
        <v>6583</v>
      </c>
      <c r="O22">
        <v>16.440778999999999</v>
      </c>
      <c r="P22">
        <v>16.440778999999999</v>
      </c>
      <c r="Q22">
        <v>3</v>
      </c>
      <c r="R22">
        <v>-6657.6933330000002</v>
      </c>
      <c r="S22">
        <v>-6657.3766670000005</v>
      </c>
      <c r="T22">
        <v>-6656.67</v>
      </c>
      <c r="U22">
        <v>-6655.9</v>
      </c>
      <c r="V22">
        <v>-6657.9133330000004</v>
      </c>
      <c r="W22">
        <v>-6656.91</v>
      </c>
      <c r="X22">
        <v>-6657.4366669999999</v>
      </c>
      <c r="Y22">
        <v>-6658.9233329999997</v>
      </c>
      <c r="Z22">
        <v>-6659.1733329999997</v>
      </c>
      <c r="AA22">
        <v>-5878</v>
      </c>
      <c r="AB22">
        <v>23681325.666666999</v>
      </c>
      <c r="AC22">
        <v>22.978148000000001</v>
      </c>
      <c r="AD22">
        <v>28.380026000000001</v>
      </c>
      <c r="AE22">
        <v>75</v>
      </c>
      <c r="AF22">
        <v>496</v>
      </c>
      <c r="AG22">
        <v>2004.401312</v>
      </c>
      <c r="AH22">
        <v>132794.37422500001</v>
      </c>
      <c r="AI22">
        <v>722.94109800000001</v>
      </c>
      <c r="AJ22">
        <v>19</v>
      </c>
      <c r="AK22" s="499">
        <f t="shared" si="13"/>
        <v>18.813965641999999</v>
      </c>
      <c r="AL22" s="15">
        <f t="shared" si="3"/>
        <v>46.153965642000003</v>
      </c>
      <c r="AM22" s="15"/>
      <c r="AN22" s="499">
        <f t="shared" si="0"/>
        <v>20.411310483870963</v>
      </c>
      <c r="AO22" s="499">
        <f t="shared" si="1"/>
        <v>26.511909274193552</v>
      </c>
      <c r="AP22" s="499">
        <f t="shared" si="2"/>
        <v>26.252168958301279</v>
      </c>
      <c r="AQ22" s="499"/>
      <c r="AR22" s="228">
        <v>16.839841</v>
      </c>
      <c r="AS22" s="13">
        <v>10</v>
      </c>
      <c r="AT22" s="13">
        <v>1.751352</v>
      </c>
      <c r="AU22" s="13">
        <f t="shared" si="47"/>
        <v>0</v>
      </c>
      <c r="AV22" s="13">
        <f t="shared" si="38"/>
        <v>16.839841</v>
      </c>
      <c r="AW22" s="13">
        <f t="shared" si="39"/>
        <v>16.839841</v>
      </c>
      <c r="AX22" s="13">
        <f t="shared" si="40"/>
        <v>16.839841</v>
      </c>
      <c r="AY22" s="13">
        <v>1397.113085</v>
      </c>
      <c r="AZ22" s="13">
        <f t="shared" si="41"/>
        <v>0</v>
      </c>
      <c r="BA22" s="13">
        <f t="shared" si="42"/>
        <v>0</v>
      </c>
      <c r="BB22" s="97">
        <f t="shared" si="43"/>
        <v>0</v>
      </c>
      <c r="BC22" s="499"/>
      <c r="BD22" s="499">
        <v>109.55</v>
      </c>
      <c r="BE22" s="499">
        <v>23.418275403225802</v>
      </c>
      <c r="BF22" s="499">
        <v>21.206979233870964</v>
      </c>
      <c r="BG22" s="499">
        <v>19.571604863988092</v>
      </c>
      <c r="BI22" s="499">
        <f t="shared" ref="BI22:BJ22" si="58">AS25</f>
        <v>401</v>
      </c>
      <c r="BJ22" s="499">
        <f t="shared" si="58"/>
        <v>1.8564000000000001</v>
      </c>
      <c r="BK22" s="5">
        <f t="shared" si="15"/>
        <v>0</v>
      </c>
      <c r="BL22" s="499">
        <f t="shared" si="16"/>
        <v>18.737535000000001</v>
      </c>
      <c r="BM22" s="499">
        <f t="shared" si="17"/>
        <v>1806.805196</v>
      </c>
      <c r="BO22" s="499">
        <f t="shared" si="18"/>
        <v>401</v>
      </c>
      <c r="BP22" s="499">
        <f t="shared" si="19"/>
        <v>1.8564000000000001</v>
      </c>
      <c r="BQ22" s="5">
        <f t="shared" si="20"/>
        <v>0</v>
      </c>
      <c r="BR22" s="499">
        <f t="shared" si="21"/>
        <v>18.737535000000001</v>
      </c>
      <c r="BS22" s="499">
        <f t="shared" si="11"/>
        <v>1806.805196</v>
      </c>
      <c r="BU22" s="499">
        <f t="shared" si="22"/>
        <v>401</v>
      </c>
      <c r="BV22" s="499">
        <f t="shared" si="23"/>
        <v>1.8564000000000001</v>
      </c>
      <c r="BW22" s="5">
        <f t="shared" si="12"/>
        <v>0</v>
      </c>
      <c r="BX22" s="499">
        <f t="shared" si="24"/>
        <v>18.737535000000001</v>
      </c>
      <c r="BY22" s="499">
        <f t="shared" si="25"/>
        <v>1806.805196</v>
      </c>
      <c r="CA22">
        <v>401</v>
      </c>
      <c r="CB22">
        <v>1.8564000000000001</v>
      </c>
      <c r="CC22">
        <v>0</v>
      </c>
      <c r="CD22">
        <v>18.737535000000001</v>
      </c>
      <c r="CE22">
        <v>1806.805196</v>
      </c>
      <c r="CG22" s="499">
        <f t="shared" si="26"/>
        <v>0</v>
      </c>
      <c r="CH22" s="499">
        <f t="shared" si="27"/>
        <v>0</v>
      </c>
      <c r="CI22" s="499">
        <f t="shared" si="28"/>
        <v>0</v>
      </c>
      <c r="CJ22" s="499">
        <f t="shared" si="29"/>
        <v>0</v>
      </c>
      <c r="CM22" s="28">
        <v>26</v>
      </c>
      <c r="CN22" s="65">
        <f t="shared" si="31"/>
        <v>3.5773003012698382E-2</v>
      </c>
      <c r="CP22" s="499"/>
      <c r="CQ22" s="65">
        <f t="shared" si="32"/>
        <v>0.97885941596008763</v>
      </c>
      <c r="CR22" s="499">
        <f t="shared" si="33"/>
        <v>0.97885941596008763</v>
      </c>
      <c r="CS22" s="499">
        <f t="shared" si="34"/>
        <v>0.97885941596008763</v>
      </c>
      <c r="CT22" s="38">
        <f t="shared" si="35"/>
        <v>1</v>
      </c>
      <c r="CU22" s="498">
        <f t="shared" si="36"/>
        <v>1</v>
      </c>
    </row>
    <row r="23" spans="1:99">
      <c r="A23" s="499">
        <f t="shared" si="9"/>
        <v>1</v>
      </c>
      <c r="B23">
        <v>144</v>
      </c>
      <c r="C23">
        <v>143</v>
      </c>
      <c r="D23" t="s">
        <v>1043</v>
      </c>
      <c r="E23">
        <v>143</v>
      </c>
      <c r="F23">
        <v>0</v>
      </c>
      <c r="G23">
        <v>1.2</v>
      </c>
      <c r="H23">
        <v>535</v>
      </c>
      <c r="I23">
        <v>5</v>
      </c>
      <c r="J23">
        <v>341123.45610000001</v>
      </c>
      <c r="K23">
        <v>4965224.2610360002</v>
      </c>
      <c r="L23">
        <v>341285.89072800003</v>
      </c>
      <c r="M23">
        <v>4965540.9033880001</v>
      </c>
      <c r="N23">
        <v>6579</v>
      </c>
      <c r="O23">
        <v>16.081106999999999</v>
      </c>
      <c r="P23">
        <v>16.081106999999999</v>
      </c>
      <c r="Q23">
        <v>5</v>
      </c>
      <c r="R23">
        <v>-5989.3639999999996</v>
      </c>
      <c r="S23">
        <v>-5988.9179999999997</v>
      </c>
      <c r="T23">
        <v>-5988.05</v>
      </c>
      <c r="U23">
        <v>-5987.1559999999999</v>
      </c>
      <c r="V23">
        <v>-5989.5460000000003</v>
      </c>
      <c r="W23">
        <v>-5988.3180000000002</v>
      </c>
      <c r="X23">
        <v>-5988.9920000000002</v>
      </c>
      <c r="Y23">
        <v>-5990.5159999999996</v>
      </c>
      <c r="Z23">
        <v>-5991.0820000000003</v>
      </c>
      <c r="AA23">
        <v>-5097.6000000000004</v>
      </c>
      <c r="AB23">
        <v>23681398.199999999</v>
      </c>
      <c r="AC23">
        <v>23.355333000000002</v>
      </c>
      <c r="AD23">
        <v>29.044177000000001</v>
      </c>
      <c r="AE23">
        <v>75</v>
      </c>
      <c r="AF23">
        <v>491.8</v>
      </c>
      <c r="AG23">
        <v>2415.6727470000001</v>
      </c>
      <c r="AH23">
        <v>163666.81713000001</v>
      </c>
      <c r="AI23">
        <v>1240.999159</v>
      </c>
      <c r="AJ23">
        <v>20</v>
      </c>
      <c r="AK23" s="499">
        <f t="shared" si="13"/>
        <v>19.536906739999999</v>
      </c>
      <c r="AL23" s="15">
        <f t="shared" si="3"/>
        <v>46.876906739999995</v>
      </c>
      <c r="AM23" s="15"/>
      <c r="AN23" s="499">
        <f t="shared" si="0"/>
        <v>20.434216532258066</v>
      </c>
      <c r="AO23" s="499">
        <f t="shared" si="1"/>
        <v>26.727543346774187</v>
      </c>
      <c r="AP23" s="499">
        <f t="shared" si="2"/>
        <v>26.305961434033883</v>
      </c>
      <c r="AQ23" s="499"/>
      <c r="AR23" s="228">
        <v>18.737535000000001</v>
      </c>
      <c r="AS23" s="13">
        <v>320</v>
      </c>
      <c r="AT23" s="13">
        <v>1.788834</v>
      </c>
      <c r="AU23" s="13">
        <f t="shared" si="47"/>
        <v>0</v>
      </c>
      <c r="AV23" s="13">
        <f t="shared" si="38"/>
        <v>18.737535000000001</v>
      </c>
      <c r="AW23" s="13">
        <f t="shared" si="39"/>
        <v>18.737535000000001</v>
      </c>
      <c r="AX23" s="13">
        <f t="shared" si="40"/>
        <v>18.737535000000001</v>
      </c>
      <c r="AY23" s="13">
        <v>1320.2878639999999</v>
      </c>
      <c r="AZ23" s="13">
        <f t="shared" si="41"/>
        <v>0</v>
      </c>
      <c r="BA23" s="13">
        <f t="shared" si="42"/>
        <v>0</v>
      </c>
      <c r="BB23" s="97">
        <f t="shared" si="43"/>
        <v>0</v>
      </c>
      <c r="BC23" s="499"/>
      <c r="BD23" s="499">
        <v>109.35</v>
      </c>
      <c r="BE23" s="499">
        <v>23.519459879032262</v>
      </c>
      <c r="BF23" s="499">
        <v>21.363374193548385</v>
      </c>
      <c r="BG23" s="499">
        <v>19.505283214597075</v>
      </c>
      <c r="BI23" s="499">
        <f t="shared" ref="BI23:BJ23" si="59">AS26</f>
        <v>450</v>
      </c>
      <c r="BJ23" s="499">
        <f t="shared" si="59"/>
        <v>1.8603080000000001</v>
      </c>
      <c r="BK23" s="5">
        <f t="shared" si="15"/>
        <v>1</v>
      </c>
      <c r="BL23" s="499">
        <f t="shared" si="16"/>
        <v>24.609262000000001</v>
      </c>
      <c r="BM23" s="499">
        <f t="shared" si="17"/>
        <v>1072.5076240000001</v>
      </c>
      <c r="BO23" s="499">
        <f t="shared" si="18"/>
        <v>450</v>
      </c>
      <c r="BP23" s="499">
        <f t="shared" si="19"/>
        <v>1.8603080000000001</v>
      </c>
      <c r="BQ23" s="5">
        <f t="shared" si="20"/>
        <v>1</v>
      </c>
      <c r="BR23" s="499">
        <f t="shared" si="21"/>
        <v>24.609262000000001</v>
      </c>
      <c r="BS23" s="499">
        <f t="shared" si="11"/>
        <v>1072.5076240000001</v>
      </c>
      <c r="BU23" s="499">
        <f t="shared" si="22"/>
        <v>450</v>
      </c>
      <c r="BV23" s="499">
        <f t="shared" si="23"/>
        <v>1.8603080000000001</v>
      </c>
      <c r="BW23" s="5">
        <f t="shared" si="12"/>
        <v>1</v>
      </c>
      <c r="BX23" s="499">
        <f t="shared" si="24"/>
        <v>24.609262000000001</v>
      </c>
      <c r="BY23" s="499">
        <f t="shared" si="25"/>
        <v>1072.5076240000001</v>
      </c>
      <c r="CA23">
        <v>450</v>
      </c>
      <c r="CB23">
        <v>1.8603080000000001</v>
      </c>
      <c r="CC23">
        <v>1</v>
      </c>
      <c r="CD23">
        <v>24.609262000000001</v>
      </c>
      <c r="CE23">
        <v>1072.5076240000001</v>
      </c>
      <c r="CG23" s="499">
        <f t="shared" si="26"/>
        <v>1</v>
      </c>
      <c r="CH23" s="499">
        <f t="shared" si="27"/>
        <v>1</v>
      </c>
      <c r="CI23" s="499">
        <f t="shared" si="28"/>
        <v>1</v>
      </c>
      <c r="CJ23" s="499">
        <f t="shared" si="29"/>
        <v>1</v>
      </c>
      <c r="CM23" s="28">
        <v>27</v>
      </c>
      <c r="CN23" s="65">
        <f t="shared" si="31"/>
        <v>5.0649752693448513E-3</v>
      </c>
      <c r="CP23" s="499"/>
      <c r="CQ23" s="65">
        <f t="shared" si="32"/>
        <v>0.97884603714408225</v>
      </c>
      <c r="CR23" s="499">
        <f t="shared" si="33"/>
        <v>0.97884603714408225</v>
      </c>
      <c r="CS23" s="499">
        <f t="shared" si="34"/>
        <v>0.97884603714408225</v>
      </c>
      <c r="CT23" s="38">
        <f t="shared" si="35"/>
        <v>1</v>
      </c>
      <c r="CU23" s="498">
        <f t="shared" si="36"/>
        <v>1</v>
      </c>
    </row>
    <row r="24" spans="1:99">
      <c r="A24" s="499">
        <f t="shared" si="9"/>
        <v>1</v>
      </c>
      <c r="B24">
        <v>425</v>
      </c>
      <c r="C24">
        <v>424</v>
      </c>
      <c r="D24" t="s">
        <v>1043</v>
      </c>
      <c r="E24">
        <v>424</v>
      </c>
      <c r="F24">
        <v>0</v>
      </c>
      <c r="G24">
        <v>1</v>
      </c>
      <c r="H24">
        <v>529</v>
      </c>
      <c r="I24">
        <v>4</v>
      </c>
      <c r="J24">
        <v>341654.73841699999</v>
      </c>
      <c r="K24">
        <v>4964539.4448499996</v>
      </c>
      <c r="L24">
        <v>341592.22158200003</v>
      </c>
      <c r="M24">
        <v>4964832.148755</v>
      </c>
      <c r="N24">
        <v>6574.5</v>
      </c>
      <c r="O24">
        <v>16.477353000000001</v>
      </c>
      <c r="P24">
        <v>16.477353000000001</v>
      </c>
      <c r="Q24">
        <v>3</v>
      </c>
      <c r="R24">
        <v>-6658.0633330000001</v>
      </c>
      <c r="S24">
        <v>-6657.5333330000003</v>
      </c>
      <c r="T24">
        <v>-6656.9466670000002</v>
      </c>
      <c r="U24">
        <v>-6656.0466669999996</v>
      </c>
      <c r="V24">
        <v>-6657.8633330000002</v>
      </c>
      <c r="W24">
        <v>-6657.0366670000003</v>
      </c>
      <c r="X24">
        <v>-6657.37</v>
      </c>
      <c r="Y24">
        <v>-6658.4866670000001</v>
      </c>
      <c r="Z24">
        <v>-6658.94</v>
      </c>
      <c r="AA24">
        <v>-5945</v>
      </c>
      <c r="AB24">
        <v>23681192.333333001</v>
      </c>
      <c r="AC24">
        <v>22.879259000000001</v>
      </c>
      <c r="AD24">
        <v>28.276401</v>
      </c>
      <c r="AE24">
        <v>75</v>
      </c>
      <c r="AF24">
        <v>477.33333299999998</v>
      </c>
      <c r="AG24">
        <v>3843.3169379999999</v>
      </c>
      <c r="AH24">
        <v>270805.70493499999</v>
      </c>
      <c r="AI24">
        <v>999.92338600000005</v>
      </c>
      <c r="AJ24">
        <v>21</v>
      </c>
      <c r="AK24" s="499">
        <f t="shared" si="13"/>
        <v>20.777905899</v>
      </c>
      <c r="AL24" s="15">
        <f t="shared" si="3"/>
        <v>48.117905899</v>
      </c>
      <c r="AM24" s="15"/>
      <c r="AN24" s="499">
        <f t="shared" si="0"/>
        <v>20.539883870967746</v>
      </c>
      <c r="AO24" s="499">
        <f t="shared" si="1"/>
        <v>26.875644153225807</v>
      </c>
      <c r="AP24" s="499">
        <f t="shared" si="2"/>
        <v>26.520871444326929</v>
      </c>
      <c r="AQ24" s="499"/>
      <c r="AR24" s="228">
        <v>17.139959999999999</v>
      </c>
      <c r="AS24" s="13">
        <v>91</v>
      </c>
      <c r="AT24" s="13">
        <v>1.8439190000000001</v>
      </c>
      <c r="AU24" s="13">
        <f t="shared" si="47"/>
        <v>0</v>
      </c>
      <c r="AV24" s="13">
        <f t="shared" si="38"/>
        <v>17.139959999999999</v>
      </c>
      <c r="AW24" s="13">
        <f t="shared" si="39"/>
        <v>17.139959999999999</v>
      </c>
      <c r="AX24" s="13">
        <f t="shared" si="40"/>
        <v>17.139959999999999</v>
      </c>
      <c r="AY24" s="13">
        <v>1028.8641250000001</v>
      </c>
      <c r="AZ24" s="13">
        <f t="shared" si="41"/>
        <v>0</v>
      </c>
      <c r="BA24" s="13">
        <f t="shared" si="42"/>
        <v>0</v>
      </c>
      <c r="BB24" s="97">
        <f t="shared" si="43"/>
        <v>0</v>
      </c>
      <c r="BC24" s="499"/>
      <c r="BD24" s="499">
        <v>109.15</v>
      </c>
      <c r="BE24" s="499">
        <v>23.493676612903215</v>
      </c>
      <c r="BF24" s="499">
        <v>21.238550604838707</v>
      </c>
      <c r="BG24" s="499">
        <v>19.248559823562275</v>
      </c>
      <c r="BI24" s="499">
        <f t="shared" ref="BI24:BJ24" si="60">AS27</f>
        <v>35</v>
      </c>
      <c r="BJ24" s="499">
        <f t="shared" si="60"/>
        <v>1.8639969999999999</v>
      </c>
      <c r="BK24" s="5">
        <f t="shared" si="15"/>
        <v>1</v>
      </c>
      <c r="BL24" s="499">
        <f t="shared" si="16"/>
        <v>24.609262000000001</v>
      </c>
      <c r="BM24" s="499">
        <f t="shared" si="17"/>
        <v>1001.829871</v>
      </c>
      <c r="BO24" s="499">
        <f t="shared" si="18"/>
        <v>35</v>
      </c>
      <c r="BP24" s="499">
        <f t="shared" si="19"/>
        <v>1.8639969999999999</v>
      </c>
      <c r="BQ24" s="5">
        <f t="shared" si="20"/>
        <v>1</v>
      </c>
      <c r="BR24" s="499">
        <f t="shared" si="21"/>
        <v>24.609262000000001</v>
      </c>
      <c r="BS24" s="499">
        <f t="shared" si="11"/>
        <v>1001.829871</v>
      </c>
      <c r="BU24" s="499">
        <f t="shared" si="22"/>
        <v>35</v>
      </c>
      <c r="BV24" s="499">
        <f t="shared" si="23"/>
        <v>1.8639969999999999</v>
      </c>
      <c r="BW24" s="5">
        <f t="shared" si="12"/>
        <v>1</v>
      </c>
      <c r="BX24" s="499">
        <f t="shared" si="24"/>
        <v>24.609262000000001</v>
      </c>
      <c r="BY24" s="499">
        <f t="shared" si="25"/>
        <v>1001.829871</v>
      </c>
      <c r="CA24">
        <v>35</v>
      </c>
      <c r="CB24">
        <v>1.8639969999999999</v>
      </c>
      <c r="CC24">
        <v>1</v>
      </c>
      <c r="CD24">
        <v>24.609262000000001</v>
      </c>
      <c r="CE24">
        <v>1001.829871</v>
      </c>
      <c r="CG24" s="499">
        <f t="shared" si="26"/>
        <v>1</v>
      </c>
      <c r="CH24" s="499">
        <f t="shared" si="27"/>
        <v>1</v>
      </c>
      <c r="CI24" s="499">
        <f t="shared" si="28"/>
        <v>1</v>
      </c>
      <c r="CJ24" s="499">
        <f t="shared" si="29"/>
        <v>1</v>
      </c>
      <c r="CM24" s="28">
        <v>28</v>
      </c>
      <c r="CN24" s="65">
        <f t="shared" si="31"/>
        <v>6.9763275585611045E-4</v>
      </c>
      <c r="CP24" s="499"/>
      <c r="CQ24" s="65">
        <f t="shared" si="32"/>
        <v>0.36755422948960492</v>
      </c>
      <c r="CR24" s="499">
        <f t="shared" si="33"/>
        <v>0.36755422948960492</v>
      </c>
      <c r="CS24" s="499">
        <f t="shared" si="34"/>
        <v>0.36755422948960492</v>
      </c>
      <c r="CT24" s="38">
        <f t="shared" si="35"/>
        <v>1</v>
      </c>
      <c r="CU24" s="498">
        <f t="shared" si="36"/>
        <v>1</v>
      </c>
    </row>
    <row r="25" spans="1:99">
      <c r="A25" s="499">
        <f t="shared" si="9"/>
        <v>1</v>
      </c>
      <c r="B25">
        <v>337</v>
      </c>
      <c r="C25">
        <v>336</v>
      </c>
      <c r="D25" t="s">
        <v>1043</v>
      </c>
      <c r="E25">
        <v>336</v>
      </c>
      <c r="F25">
        <v>0</v>
      </c>
      <c r="G25">
        <v>1</v>
      </c>
      <c r="H25">
        <v>530</v>
      </c>
      <c r="I25">
        <v>4</v>
      </c>
      <c r="J25">
        <v>342042.61755199998</v>
      </c>
      <c r="K25">
        <v>4964033.1683200002</v>
      </c>
      <c r="L25">
        <v>342249.58888300002</v>
      </c>
      <c r="M25">
        <v>4964416.8720100001</v>
      </c>
      <c r="N25">
        <v>6452.75</v>
      </c>
      <c r="O25">
        <v>16.360858</v>
      </c>
      <c r="P25">
        <v>16.360858</v>
      </c>
      <c r="Q25">
        <v>3</v>
      </c>
      <c r="R25">
        <v>-6658.1666670000004</v>
      </c>
      <c r="S25">
        <v>-6657.7</v>
      </c>
      <c r="T25">
        <v>-6657.1166670000002</v>
      </c>
      <c r="U25">
        <v>-6656.2233329999999</v>
      </c>
      <c r="V25">
        <v>-6658.01</v>
      </c>
      <c r="W25">
        <v>-6657.1366669999998</v>
      </c>
      <c r="X25">
        <v>-6657.53</v>
      </c>
      <c r="Y25">
        <v>-6658.5966669999998</v>
      </c>
      <c r="Z25">
        <v>-6658.896667</v>
      </c>
      <c r="AA25">
        <v>-5944</v>
      </c>
      <c r="AB25">
        <v>23681413.666666999</v>
      </c>
      <c r="AC25">
        <v>22.724815</v>
      </c>
      <c r="AD25">
        <v>28.079886999999999</v>
      </c>
      <c r="AE25">
        <v>75</v>
      </c>
      <c r="AF25">
        <v>471.33333299999998</v>
      </c>
      <c r="AG25">
        <v>4858.3704429999998</v>
      </c>
      <c r="AH25">
        <v>347097.38875300001</v>
      </c>
      <c r="AI25">
        <v>999.65326100000004</v>
      </c>
      <c r="AJ25">
        <v>22</v>
      </c>
      <c r="AK25" s="499">
        <f t="shared" si="13"/>
        <v>21.777829284999999</v>
      </c>
      <c r="AL25" s="15">
        <f t="shared" si="3"/>
        <v>49.117829284999999</v>
      </c>
      <c r="AM25" s="15"/>
      <c r="AN25" s="499">
        <f t="shared" si="0"/>
        <v>20.612335483870968</v>
      </c>
      <c r="AO25" s="499">
        <f t="shared" si="1"/>
        <v>27.055326008064515</v>
      </c>
      <c r="AP25" s="499">
        <f t="shared" si="2"/>
        <v>26.476116908685906</v>
      </c>
      <c r="AQ25" s="499"/>
      <c r="AR25" s="228">
        <v>18.737535000000001</v>
      </c>
      <c r="AS25" s="13">
        <v>401</v>
      </c>
      <c r="AT25" s="13">
        <v>1.8564000000000001</v>
      </c>
      <c r="AU25" s="13">
        <f t="shared" si="47"/>
        <v>0</v>
      </c>
      <c r="AV25" s="13">
        <f t="shared" si="38"/>
        <v>18.737535000000001</v>
      </c>
      <c r="AW25" s="13">
        <f t="shared" si="39"/>
        <v>18.737535000000001</v>
      </c>
      <c r="AX25" s="13">
        <f t="shared" si="40"/>
        <v>18.737535000000001</v>
      </c>
      <c r="AY25" s="13">
        <v>1806.805196</v>
      </c>
      <c r="AZ25" s="13">
        <f t="shared" si="41"/>
        <v>0</v>
      </c>
      <c r="BA25" s="13">
        <f t="shared" si="42"/>
        <v>0</v>
      </c>
      <c r="BB25" s="97">
        <f t="shared" si="43"/>
        <v>0</v>
      </c>
      <c r="BC25" s="499"/>
      <c r="BD25" s="499">
        <v>108.95</v>
      </c>
      <c r="BE25" s="499">
        <v>23.496039112903219</v>
      </c>
      <c r="BF25" s="499">
        <v>21.130357862903228</v>
      </c>
      <c r="BG25" s="499">
        <v>19.027370719423082</v>
      </c>
      <c r="BI25" s="499">
        <f t="shared" ref="BI25:BJ25" si="61">AS28</f>
        <v>355</v>
      </c>
      <c r="BJ25" s="499">
        <f t="shared" si="61"/>
        <v>1.8733580000000001</v>
      </c>
      <c r="BK25" s="5">
        <f t="shared" si="15"/>
        <v>0</v>
      </c>
      <c r="BL25" s="499">
        <f t="shared" si="16"/>
        <v>21.148700000000002</v>
      </c>
      <c r="BM25" s="499">
        <f t="shared" si="17"/>
        <v>987.27402400000005</v>
      </c>
      <c r="BO25" s="499">
        <f t="shared" si="18"/>
        <v>355</v>
      </c>
      <c r="BP25" s="499">
        <f t="shared" si="19"/>
        <v>1.8733580000000001</v>
      </c>
      <c r="BQ25" s="5">
        <f t="shared" si="20"/>
        <v>0</v>
      </c>
      <c r="BR25" s="499">
        <f t="shared" si="21"/>
        <v>21.148700000000002</v>
      </c>
      <c r="BS25" s="499">
        <f t="shared" si="11"/>
        <v>987.27402400000005</v>
      </c>
      <c r="BU25" s="499">
        <f t="shared" si="22"/>
        <v>355</v>
      </c>
      <c r="BV25" s="499">
        <f t="shared" si="23"/>
        <v>1.8733580000000001</v>
      </c>
      <c r="BW25" s="5">
        <f t="shared" si="12"/>
        <v>0</v>
      </c>
      <c r="BX25" s="499">
        <f t="shared" si="24"/>
        <v>21.148700000000002</v>
      </c>
      <c r="BY25" s="499">
        <f t="shared" si="25"/>
        <v>987.27402400000005</v>
      </c>
      <c r="CA25">
        <v>355</v>
      </c>
      <c r="CB25">
        <v>1.8733580000000001</v>
      </c>
      <c r="CC25">
        <v>0</v>
      </c>
      <c r="CD25">
        <v>21.148700000000002</v>
      </c>
      <c r="CE25">
        <v>987.27402400000005</v>
      </c>
      <c r="CG25" s="499">
        <f t="shared" si="26"/>
        <v>0</v>
      </c>
      <c r="CH25" s="499">
        <f t="shared" si="27"/>
        <v>0</v>
      </c>
      <c r="CI25" s="499">
        <f t="shared" si="28"/>
        <v>0</v>
      </c>
      <c r="CJ25" s="499">
        <f t="shared" si="29"/>
        <v>0</v>
      </c>
      <c r="CM25" s="28">
        <v>29</v>
      </c>
      <c r="CN25" s="65">
        <f t="shared" si="31"/>
        <v>9.571944258744328E-5</v>
      </c>
      <c r="CP25" s="499"/>
      <c r="CQ25" s="65">
        <f t="shared" si="32"/>
        <v>0.36755422948960492</v>
      </c>
      <c r="CR25" s="499">
        <f t="shared" si="33"/>
        <v>0.36755422948960492</v>
      </c>
      <c r="CS25" s="499">
        <f t="shared" si="34"/>
        <v>0.36755422948960492</v>
      </c>
      <c r="CT25" s="38">
        <f t="shared" si="35"/>
        <v>1</v>
      </c>
      <c r="CU25" s="498">
        <f t="shared" si="36"/>
        <v>1</v>
      </c>
    </row>
    <row r="26" spans="1:99">
      <c r="A26" s="499">
        <f t="shared" si="9"/>
        <v>1</v>
      </c>
      <c r="B26">
        <v>88</v>
      </c>
      <c r="C26">
        <v>87</v>
      </c>
      <c r="D26" t="s">
        <v>1043</v>
      </c>
      <c r="E26">
        <v>87</v>
      </c>
      <c r="F26">
        <v>0</v>
      </c>
      <c r="G26">
        <v>1</v>
      </c>
      <c r="H26">
        <v>531</v>
      </c>
      <c r="I26">
        <v>4</v>
      </c>
      <c r="J26">
        <v>342639.11105499999</v>
      </c>
      <c r="K26">
        <v>4963579.791925</v>
      </c>
      <c r="L26">
        <v>342743.82627800002</v>
      </c>
      <c r="M26">
        <v>4963865.0992949996</v>
      </c>
      <c r="N26">
        <v>6409.5</v>
      </c>
      <c r="O26">
        <v>16.370573</v>
      </c>
      <c r="P26">
        <v>16.370573</v>
      </c>
      <c r="Q26">
        <v>1</v>
      </c>
      <c r="R26">
        <v>-9999</v>
      </c>
      <c r="S26">
        <v>-9999</v>
      </c>
      <c r="T26">
        <v>-9999</v>
      </c>
      <c r="U26">
        <v>-9999</v>
      </c>
      <c r="V26">
        <v>-9999</v>
      </c>
      <c r="W26">
        <v>-9999</v>
      </c>
      <c r="X26">
        <v>-9999</v>
      </c>
      <c r="Y26">
        <v>-9999</v>
      </c>
      <c r="Z26">
        <v>-9999</v>
      </c>
      <c r="AA26">
        <v>-9999</v>
      </c>
      <c r="AB26">
        <v>23681195</v>
      </c>
      <c r="AC26">
        <v>21.6</v>
      </c>
      <c r="AD26">
        <v>25.90598</v>
      </c>
      <c r="AE26">
        <v>75</v>
      </c>
      <c r="AF26">
        <v>470</v>
      </c>
      <c r="AG26">
        <v>6430.4510110000001</v>
      </c>
      <c r="AH26">
        <v>465468.01367900003</v>
      </c>
      <c r="AI26">
        <v>1000.236705</v>
      </c>
      <c r="AJ26">
        <v>23</v>
      </c>
      <c r="AK26" s="499">
        <f t="shared" si="13"/>
        <v>22.777482545999998</v>
      </c>
      <c r="AL26" s="15">
        <f t="shared" si="3"/>
        <v>50.117482545999998</v>
      </c>
      <c r="AM26" s="15"/>
      <c r="AN26" s="499">
        <f t="shared" si="0"/>
        <v>20.530116129032244</v>
      </c>
      <c r="AO26" s="499">
        <f t="shared" si="1"/>
        <v>26.781083669354835</v>
      </c>
      <c r="AP26" s="499">
        <f t="shared" si="2"/>
        <v>26.434479439803116</v>
      </c>
      <c r="AQ26" s="499"/>
      <c r="AR26" s="228">
        <v>24.609262000000001</v>
      </c>
      <c r="AS26" s="13">
        <v>450</v>
      </c>
      <c r="AT26" s="13">
        <v>1.8603080000000001</v>
      </c>
      <c r="AU26" s="13">
        <f>IF(AW26&gt;=24.4,1,0)</f>
        <v>1</v>
      </c>
      <c r="AV26" s="13">
        <f t="shared" si="38"/>
        <v>24.609262000000001</v>
      </c>
      <c r="AW26" s="13">
        <f t="shared" si="39"/>
        <v>24.609262000000001</v>
      </c>
      <c r="AX26" s="13">
        <f t="shared" si="40"/>
        <v>24.609262000000001</v>
      </c>
      <c r="AY26" s="13">
        <v>1072.5076240000001</v>
      </c>
      <c r="AZ26" s="13">
        <f t="shared" si="41"/>
        <v>0</v>
      </c>
      <c r="BA26" s="13">
        <f t="shared" si="42"/>
        <v>0</v>
      </c>
      <c r="BB26" s="97">
        <f t="shared" si="43"/>
        <v>0</v>
      </c>
      <c r="BC26" s="499"/>
      <c r="BD26" s="499">
        <v>108.75</v>
      </c>
      <c r="BE26" s="499">
        <v>23.518348588709685</v>
      </c>
      <c r="BF26" s="499">
        <v>21.006853427419351</v>
      </c>
      <c r="BG26" s="499">
        <v>18.847465158644688</v>
      </c>
      <c r="BI26" s="499">
        <f t="shared" ref="BI26:BJ26" si="62">AS29</f>
        <v>103</v>
      </c>
      <c r="BJ26" s="499">
        <f t="shared" si="62"/>
        <v>1.8795660000000001</v>
      </c>
      <c r="BK26" s="5">
        <f t="shared" si="15"/>
        <v>0</v>
      </c>
      <c r="BL26" s="499">
        <f t="shared" si="16"/>
        <v>21.148700000000002</v>
      </c>
      <c r="BM26" s="499">
        <f t="shared" si="17"/>
        <v>1001.2438540000001</v>
      </c>
      <c r="BO26" s="499">
        <f t="shared" si="18"/>
        <v>103</v>
      </c>
      <c r="BP26" s="499">
        <f t="shared" si="19"/>
        <v>1.8795660000000001</v>
      </c>
      <c r="BQ26" s="5">
        <f t="shared" si="20"/>
        <v>0</v>
      </c>
      <c r="BR26" s="499">
        <f t="shared" si="21"/>
        <v>21.148700000000002</v>
      </c>
      <c r="BS26" s="499">
        <f t="shared" si="11"/>
        <v>1001.2438540000001</v>
      </c>
      <c r="BU26" s="499">
        <f t="shared" si="22"/>
        <v>103</v>
      </c>
      <c r="BV26" s="499">
        <f t="shared" si="23"/>
        <v>1.8795660000000001</v>
      </c>
      <c r="BW26" s="5">
        <f t="shared" si="12"/>
        <v>0</v>
      </c>
      <c r="BX26" s="499">
        <f t="shared" si="24"/>
        <v>21.148700000000002</v>
      </c>
      <c r="BY26" s="499">
        <f t="shared" si="25"/>
        <v>1001.2438540000001</v>
      </c>
      <c r="CA26">
        <v>103</v>
      </c>
      <c r="CB26">
        <v>1.8795660000000001</v>
      </c>
      <c r="CC26">
        <v>0</v>
      </c>
      <c r="CD26">
        <v>21.148700000000002</v>
      </c>
      <c r="CE26">
        <v>1001.2438540000001</v>
      </c>
      <c r="CG26" s="499">
        <f t="shared" si="26"/>
        <v>0</v>
      </c>
      <c r="CH26" s="499">
        <f t="shared" si="27"/>
        <v>0</v>
      </c>
      <c r="CI26" s="499">
        <f t="shared" si="28"/>
        <v>0</v>
      </c>
      <c r="CJ26" s="499">
        <f t="shared" si="29"/>
        <v>0</v>
      </c>
      <c r="CM26" s="28">
        <v>30</v>
      </c>
      <c r="CN26" s="65">
        <f t="shared" si="31"/>
        <v>1.3126318655501448E-5</v>
      </c>
      <c r="CP26" s="499"/>
      <c r="CQ26" s="65">
        <f t="shared" si="32"/>
        <v>0.97718191183945025</v>
      </c>
      <c r="CR26" s="499">
        <f t="shared" si="33"/>
        <v>0.97718191183945025</v>
      </c>
      <c r="CS26" s="499">
        <f t="shared" si="34"/>
        <v>0.97718191183945025</v>
      </c>
      <c r="CT26" s="38">
        <f t="shared" si="35"/>
        <v>1</v>
      </c>
      <c r="CU26" s="498">
        <f t="shared" si="36"/>
        <v>1</v>
      </c>
    </row>
    <row r="27" spans="1:99">
      <c r="A27" s="499">
        <f t="shared" si="9"/>
        <v>1</v>
      </c>
      <c r="B27">
        <v>200</v>
      </c>
      <c r="C27">
        <v>199</v>
      </c>
      <c r="D27" t="s">
        <v>1043</v>
      </c>
      <c r="E27">
        <v>199</v>
      </c>
      <c r="F27">
        <v>0</v>
      </c>
      <c r="G27">
        <v>1</v>
      </c>
      <c r="H27">
        <v>532</v>
      </c>
      <c r="I27">
        <v>4</v>
      </c>
      <c r="J27">
        <v>343171.97209300002</v>
      </c>
      <c r="K27">
        <v>4962973.33103</v>
      </c>
      <c r="L27">
        <v>343326.74133699998</v>
      </c>
      <c r="M27">
        <v>4963341.7830600003</v>
      </c>
      <c r="N27">
        <v>6405.5</v>
      </c>
      <c r="O27">
        <v>16.361146999999999</v>
      </c>
      <c r="P27">
        <v>16.361146999999999</v>
      </c>
      <c r="Q27">
        <v>1</v>
      </c>
      <c r="R27">
        <v>-9999</v>
      </c>
      <c r="S27">
        <v>-9999</v>
      </c>
      <c r="T27">
        <v>-9999</v>
      </c>
      <c r="U27">
        <v>-9999</v>
      </c>
      <c r="V27">
        <v>-9999</v>
      </c>
      <c r="W27">
        <v>-9999</v>
      </c>
      <c r="X27">
        <v>-9999</v>
      </c>
      <c r="Y27">
        <v>-9999</v>
      </c>
      <c r="Z27">
        <v>-9999</v>
      </c>
      <c r="AA27">
        <v>-9999</v>
      </c>
      <c r="AB27">
        <v>23681195</v>
      </c>
      <c r="AC27">
        <v>21.6</v>
      </c>
      <c r="AD27">
        <v>25.90598</v>
      </c>
      <c r="AE27">
        <v>75</v>
      </c>
      <c r="AF27">
        <v>470</v>
      </c>
      <c r="AG27">
        <v>6430.4510110000001</v>
      </c>
      <c r="AH27">
        <v>465468.01367900003</v>
      </c>
      <c r="AI27">
        <v>999.36442399999999</v>
      </c>
      <c r="AJ27">
        <v>24</v>
      </c>
      <c r="AK27" s="499">
        <f t="shared" si="13"/>
        <v>23.777719250999997</v>
      </c>
      <c r="AL27" s="15">
        <f t="shared" si="3"/>
        <v>51.117719250999997</v>
      </c>
      <c r="AM27" s="15"/>
      <c r="AN27" s="499">
        <f t="shared" si="0"/>
        <v>20.688596169354842</v>
      </c>
      <c r="AO27" s="499">
        <f t="shared" si="1"/>
        <v>26.905194758064518</v>
      </c>
      <c r="AP27" s="499">
        <f t="shared" si="2"/>
        <v>26.610339027825088</v>
      </c>
      <c r="AQ27" s="499"/>
      <c r="AR27" s="228">
        <v>24.609262000000001</v>
      </c>
      <c r="AS27" s="13">
        <v>35</v>
      </c>
      <c r="AT27" s="13">
        <v>1.8639969999999999</v>
      </c>
      <c r="AU27" s="13">
        <f t="shared" si="47"/>
        <v>1</v>
      </c>
      <c r="AV27" s="13">
        <f t="shared" si="38"/>
        <v>24.609262000000001</v>
      </c>
      <c r="AW27" s="13">
        <f t="shared" si="39"/>
        <v>24.609262000000001</v>
      </c>
      <c r="AX27" s="13">
        <f t="shared" si="40"/>
        <v>24.609262000000001</v>
      </c>
      <c r="AY27" s="13">
        <v>1001.829871</v>
      </c>
      <c r="AZ27" s="13">
        <f t="shared" si="41"/>
        <v>0</v>
      </c>
      <c r="BA27" s="13">
        <f t="shared" si="42"/>
        <v>0</v>
      </c>
      <c r="BB27" s="97">
        <f t="shared" si="43"/>
        <v>0</v>
      </c>
      <c r="BC27" s="499"/>
      <c r="BD27" s="499">
        <v>108.55</v>
      </c>
      <c r="BE27" s="499">
        <v>23.832222782258068</v>
      </c>
      <c r="BF27" s="499">
        <v>21.614382258064509</v>
      </c>
      <c r="BG27" s="499">
        <v>19.073624983621794</v>
      </c>
      <c r="BI27" s="499">
        <f t="shared" ref="BI27:BJ27" si="63">AS30</f>
        <v>118</v>
      </c>
      <c r="BJ27" s="499">
        <f t="shared" si="63"/>
        <v>1.8952530000000001</v>
      </c>
      <c r="BK27" s="5">
        <f t="shared" si="15"/>
        <v>0</v>
      </c>
      <c r="BL27" s="499">
        <f t="shared" si="16"/>
        <v>22.592642000000001</v>
      </c>
      <c r="BM27" s="499">
        <f t="shared" si="17"/>
        <v>1252.9608720000001</v>
      </c>
      <c r="BO27" s="499">
        <f t="shared" si="18"/>
        <v>118</v>
      </c>
      <c r="BP27" s="499">
        <f t="shared" si="19"/>
        <v>1.8952530000000001</v>
      </c>
      <c r="BQ27" s="5">
        <f t="shared" si="20"/>
        <v>0</v>
      </c>
      <c r="BR27" s="499">
        <f t="shared" si="21"/>
        <v>22.592642000000001</v>
      </c>
      <c r="BS27" s="499">
        <f t="shared" si="11"/>
        <v>1252.9608720000001</v>
      </c>
      <c r="BU27" s="499">
        <f t="shared" si="22"/>
        <v>118</v>
      </c>
      <c r="BV27" s="499">
        <f t="shared" si="23"/>
        <v>1.8952530000000001</v>
      </c>
      <c r="BW27" s="5">
        <f t="shared" si="12"/>
        <v>0</v>
      </c>
      <c r="BX27" s="499">
        <f t="shared" si="24"/>
        <v>22.592642000000001</v>
      </c>
      <c r="BY27" s="499">
        <f t="shared" si="25"/>
        <v>1252.9608720000001</v>
      </c>
      <c r="CA27">
        <v>118</v>
      </c>
      <c r="CB27">
        <v>1.8952530000000001</v>
      </c>
      <c r="CC27">
        <v>0</v>
      </c>
      <c r="CD27">
        <v>22.592642000000001</v>
      </c>
      <c r="CE27">
        <v>1252.9608720000001</v>
      </c>
      <c r="CG27" s="499">
        <f t="shared" si="26"/>
        <v>0</v>
      </c>
      <c r="CH27" s="499">
        <f t="shared" si="27"/>
        <v>0</v>
      </c>
      <c r="CI27" s="499">
        <f t="shared" si="28"/>
        <v>0</v>
      </c>
      <c r="CJ27" s="499">
        <f t="shared" si="29"/>
        <v>0</v>
      </c>
      <c r="CP27" s="499"/>
      <c r="CQ27" s="65">
        <f t="shared" si="32"/>
        <v>0.97718191183945025</v>
      </c>
      <c r="CR27" s="499">
        <f t="shared" si="33"/>
        <v>0.97718191183945025</v>
      </c>
      <c r="CS27" s="499">
        <f t="shared" si="34"/>
        <v>0.97718191183945025</v>
      </c>
      <c r="CT27" s="38">
        <f t="shared" si="35"/>
        <v>1</v>
      </c>
      <c r="CU27" s="498">
        <f t="shared" si="36"/>
        <v>1</v>
      </c>
    </row>
    <row r="28" spans="1:99">
      <c r="A28" s="499">
        <f t="shared" si="9"/>
        <v>1</v>
      </c>
      <c r="B28">
        <v>1</v>
      </c>
      <c r="C28">
        <v>0</v>
      </c>
      <c r="D28" t="s">
        <v>1043</v>
      </c>
      <c r="E28">
        <v>0</v>
      </c>
      <c r="F28">
        <v>0</v>
      </c>
      <c r="G28">
        <v>1</v>
      </c>
      <c r="H28">
        <v>533</v>
      </c>
      <c r="I28">
        <v>4</v>
      </c>
      <c r="J28">
        <v>343981.26599500002</v>
      </c>
      <c r="K28">
        <v>4962859.6045880001</v>
      </c>
      <c r="L28">
        <v>343873.03706</v>
      </c>
      <c r="M28">
        <v>4963266.7029050002</v>
      </c>
      <c r="N28">
        <v>6401.5</v>
      </c>
      <c r="O28">
        <v>15.806675</v>
      </c>
      <c r="P28">
        <v>15.806675</v>
      </c>
      <c r="Q28">
        <v>3</v>
      </c>
      <c r="R28">
        <v>-6657.99</v>
      </c>
      <c r="S28">
        <v>-6657.66</v>
      </c>
      <c r="T28">
        <v>-6656.9066670000002</v>
      </c>
      <c r="U28">
        <v>-6656.2933329999996</v>
      </c>
      <c r="V28">
        <v>-6658.03</v>
      </c>
      <c r="W28">
        <v>-6657.0066669999997</v>
      </c>
      <c r="X28">
        <v>-6657.35</v>
      </c>
      <c r="Y28">
        <v>-6658.7133329999997</v>
      </c>
      <c r="Z28">
        <v>-6658.76</v>
      </c>
      <c r="AA28">
        <v>-5946.6666670000004</v>
      </c>
      <c r="AB28">
        <v>23681413.666666999</v>
      </c>
      <c r="AC28">
        <v>22.698889000000001</v>
      </c>
      <c r="AD28">
        <v>28.093139000000001</v>
      </c>
      <c r="AE28">
        <v>75</v>
      </c>
      <c r="AF28">
        <v>464.66666700000002</v>
      </c>
      <c r="AG28">
        <v>5799.5269669999998</v>
      </c>
      <c r="AH28">
        <v>417850.88991999999</v>
      </c>
      <c r="AI28">
        <v>999.61317699999995</v>
      </c>
      <c r="AJ28">
        <v>25</v>
      </c>
      <c r="AK28" s="499">
        <f t="shared" si="13"/>
        <v>24.777083674999997</v>
      </c>
      <c r="AL28" s="15">
        <f t="shared" si="3"/>
        <v>52.117083674999996</v>
      </c>
      <c r="AM28" s="15"/>
      <c r="AN28" s="499">
        <f t="shared" si="0"/>
        <v>20.567894556451613</v>
      </c>
      <c r="AO28" s="499">
        <f t="shared" si="1"/>
        <v>26.871639717741935</v>
      </c>
      <c r="AP28" s="499">
        <f t="shared" si="2"/>
        <v>26.534819061556778</v>
      </c>
      <c r="AQ28" s="499"/>
      <c r="AR28" s="228">
        <v>21.148700000000002</v>
      </c>
      <c r="AS28" s="13">
        <v>355</v>
      </c>
      <c r="AT28" s="13">
        <v>1.8733580000000001</v>
      </c>
      <c r="AU28" s="13">
        <f t="shared" si="47"/>
        <v>0</v>
      </c>
      <c r="AV28" s="13">
        <f t="shared" si="38"/>
        <v>21.148700000000002</v>
      </c>
      <c r="AW28" s="13">
        <f t="shared" si="39"/>
        <v>21.148700000000002</v>
      </c>
      <c r="AX28" s="13">
        <f t="shared" si="40"/>
        <v>21.148700000000002</v>
      </c>
      <c r="AY28" s="13">
        <v>987.27402400000005</v>
      </c>
      <c r="AZ28" s="13">
        <f t="shared" si="41"/>
        <v>0</v>
      </c>
      <c r="BA28" s="13">
        <f t="shared" si="42"/>
        <v>0</v>
      </c>
      <c r="BB28" s="97">
        <f t="shared" si="43"/>
        <v>0</v>
      </c>
      <c r="BC28" s="499"/>
      <c r="BD28" s="499">
        <v>108.35</v>
      </c>
      <c r="BE28" s="499">
        <v>23.825985080645157</v>
      </c>
      <c r="BF28" s="499">
        <v>21.493882459677415</v>
      </c>
      <c r="BG28" s="499">
        <v>18.85104804914377</v>
      </c>
      <c r="BI28" s="499">
        <f t="shared" ref="BI28:BJ28" si="64">AS31</f>
        <v>480</v>
      </c>
      <c r="BJ28" s="499">
        <f t="shared" si="64"/>
        <v>1.9163019999999999</v>
      </c>
      <c r="BK28" s="5">
        <f t="shared" si="15"/>
        <v>0</v>
      </c>
      <c r="BL28" s="499">
        <f t="shared" si="16"/>
        <v>24.300045000000001</v>
      </c>
      <c r="BM28" s="499">
        <f t="shared" si="17"/>
        <v>1466.443127</v>
      </c>
      <c r="BO28" s="499">
        <f t="shared" si="18"/>
        <v>480</v>
      </c>
      <c r="BP28" s="499">
        <f t="shared" si="19"/>
        <v>1.9163019999999999</v>
      </c>
      <c r="BQ28" s="5">
        <f t="shared" si="20"/>
        <v>0</v>
      </c>
      <c r="BR28" s="499">
        <f t="shared" si="21"/>
        <v>24.300045000000001</v>
      </c>
      <c r="BS28" s="499">
        <f t="shared" si="11"/>
        <v>1466.443127</v>
      </c>
      <c r="BU28" s="499">
        <f t="shared" si="22"/>
        <v>480</v>
      </c>
      <c r="BV28" s="499">
        <f t="shared" si="23"/>
        <v>1.9163019999999999</v>
      </c>
      <c r="BW28" s="5">
        <f t="shared" si="12"/>
        <v>0</v>
      </c>
      <c r="BX28" s="499">
        <f t="shared" si="24"/>
        <v>24.300045000000001</v>
      </c>
      <c r="BY28" s="499">
        <f t="shared" si="25"/>
        <v>1466.443127</v>
      </c>
      <c r="CA28">
        <v>480</v>
      </c>
      <c r="CB28">
        <v>1.9163019999999999</v>
      </c>
      <c r="CC28">
        <v>0</v>
      </c>
      <c r="CD28">
        <v>24.300045000000001</v>
      </c>
      <c r="CE28">
        <v>1466.443127</v>
      </c>
      <c r="CG28" s="499">
        <f t="shared" si="26"/>
        <v>0</v>
      </c>
      <c r="CH28" s="499">
        <f t="shared" si="27"/>
        <v>0</v>
      </c>
      <c r="CI28" s="499">
        <f t="shared" si="28"/>
        <v>0</v>
      </c>
      <c r="CJ28" s="499">
        <f t="shared" si="29"/>
        <v>0</v>
      </c>
      <c r="CP28" s="499"/>
      <c r="CQ28" s="65">
        <f t="shared" si="32"/>
        <v>0.95011359251923333</v>
      </c>
      <c r="CR28" s="499">
        <f t="shared" si="33"/>
        <v>0.95011359251923333</v>
      </c>
      <c r="CS28" s="499">
        <f t="shared" si="34"/>
        <v>0.95011359251923333</v>
      </c>
      <c r="CT28" s="38">
        <f t="shared" si="35"/>
        <v>1</v>
      </c>
      <c r="CU28" s="498">
        <f t="shared" si="36"/>
        <v>1</v>
      </c>
    </row>
    <row r="29" spans="1:99">
      <c r="A29" s="499">
        <f t="shared" si="9"/>
        <v>1</v>
      </c>
      <c r="B29">
        <v>262</v>
      </c>
      <c r="C29">
        <v>261</v>
      </c>
      <c r="D29" t="s">
        <v>1043</v>
      </c>
      <c r="E29">
        <v>261</v>
      </c>
      <c r="F29">
        <v>0</v>
      </c>
      <c r="G29">
        <v>1</v>
      </c>
      <c r="H29">
        <v>534</v>
      </c>
      <c r="I29">
        <v>4</v>
      </c>
      <c r="J29">
        <v>343955.33909999998</v>
      </c>
      <c r="K29">
        <v>4962402.1449619997</v>
      </c>
      <c r="L29">
        <v>343882.94325000001</v>
      </c>
      <c r="M29">
        <v>4962814.7214930002</v>
      </c>
      <c r="N29">
        <v>6397.5</v>
      </c>
      <c r="O29">
        <v>16.276966000000002</v>
      </c>
      <c r="P29">
        <v>16.276966000000002</v>
      </c>
      <c r="Q29">
        <v>1</v>
      </c>
      <c r="R29">
        <v>-9999</v>
      </c>
      <c r="S29">
        <v>-9999</v>
      </c>
      <c r="T29">
        <v>-9999</v>
      </c>
      <c r="U29">
        <v>-9999</v>
      </c>
      <c r="V29">
        <v>-9999</v>
      </c>
      <c r="W29">
        <v>-9999</v>
      </c>
      <c r="X29">
        <v>-9999</v>
      </c>
      <c r="Y29">
        <v>-9999</v>
      </c>
      <c r="Z29">
        <v>-9999</v>
      </c>
      <c r="AA29">
        <v>-9999</v>
      </c>
      <c r="AB29">
        <v>23681197</v>
      </c>
      <c r="AC29">
        <v>21.4</v>
      </c>
      <c r="AD29">
        <v>25.72832</v>
      </c>
      <c r="AE29">
        <v>75</v>
      </c>
      <c r="AF29">
        <v>456</v>
      </c>
      <c r="AG29">
        <v>5801.1900070000002</v>
      </c>
      <c r="AH29">
        <v>418154.002844</v>
      </c>
      <c r="AI29">
        <v>999.10749599999997</v>
      </c>
      <c r="AJ29">
        <v>26</v>
      </c>
      <c r="AK29" s="499">
        <f t="shared" si="13"/>
        <v>25.776696851999997</v>
      </c>
      <c r="AL29" s="15">
        <f t="shared" si="3"/>
        <v>53.116696851999997</v>
      </c>
      <c r="AM29" s="15"/>
      <c r="AN29" s="499">
        <f t="shared" si="0"/>
        <v>20.341155040322587</v>
      </c>
      <c r="AO29" s="499">
        <f t="shared" si="1"/>
        <v>26.49628548387096</v>
      </c>
      <c r="AP29" s="499">
        <f t="shared" si="2"/>
        <v>26.118617862944141</v>
      </c>
      <c r="AQ29" s="499"/>
      <c r="AR29" s="228">
        <v>21.148700000000002</v>
      </c>
      <c r="AS29" s="13">
        <v>103</v>
      </c>
      <c r="AT29" s="13">
        <v>1.8795660000000001</v>
      </c>
      <c r="AU29" s="13">
        <f t="shared" si="47"/>
        <v>0</v>
      </c>
      <c r="AV29" s="13">
        <f t="shared" si="38"/>
        <v>21.148700000000002</v>
      </c>
      <c r="AW29" s="13">
        <f t="shared" si="39"/>
        <v>21.148700000000002</v>
      </c>
      <c r="AX29" s="13">
        <f t="shared" si="40"/>
        <v>21.148700000000002</v>
      </c>
      <c r="AY29" s="13">
        <v>1001.2438540000001</v>
      </c>
      <c r="AZ29" s="13">
        <f t="shared" si="41"/>
        <v>0</v>
      </c>
      <c r="BA29" s="13">
        <f t="shared" si="42"/>
        <v>0</v>
      </c>
      <c r="BB29" s="97">
        <f t="shared" si="43"/>
        <v>0</v>
      </c>
      <c r="BC29" s="499"/>
      <c r="BD29" s="499">
        <v>108.15</v>
      </c>
      <c r="BE29" s="499">
        <v>23.843995161290312</v>
      </c>
      <c r="BF29" s="499">
        <v>21.369130645161285</v>
      </c>
      <c r="BG29" s="499">
        <v>18.60991163679029</v>
      </c>
      <c r="BI29" s="499">
        <f t="shared" ref="BI29:BJ29" si="65">AS32</f>
        <v>29</v>
      </c>
      <c r="BJ29" s="499">
        <f t="shared" si="65"/>
        <v>1.9215120000000001</v>
      </c>
      <c r="BK29" s="5">
        <f t="shared" si="15"/>
        <v>0</v>
      </c>
      <c r="BL29" s="499">
        <f t="shared" si="16"/>
        <v>19.297452</v>
      </c>
      <c r="BM29" s="499">
        <f t="shared" si="17"/>
        <v>1430.906508</v>
      </c>
      <c r="BO29" s="499">
        <f t="shared" si="18"/>
        <v>29</v>
      </c>
      <c r="BP29" s="499">
        <f t="shared" si="19"/>
        <v>1.9215120000000001</v>
      </c>
      <c r="BQ29" s="5">
        <f t="shared" si="20"/>
        <v>0</v>
      </c>
      <c r="BR29" s="499">
        <f t="shared" si="21"/>
        <v>19.297452</v>
      </c>
      <c r="BS29" s="499">
        <f t="shared" si="11"/>
        <v>1430.906508</v>
      </c>
      <c r="BU29" s="499">
        <f t="shared" si="22"/>
        <v>29</v>
      </c>
      <c r="BV29" s="499">
        <f t="shared" si="23"/>
        <v>1.9215120000000001</v>
      </c>
      <c r="BW29" s="5">
        <f t="shared" si="12"/>
        <v>0</v>
      </c>
      <c r="BX29" s="499">
        <f t="shared" si="24"/>
        <v>19.297452</v>
      </c>
      <c r="BY29" s="499">
        <f t="shared" si="25"/>
        <v>1430.906508</v>
      </c>
      <c r="CA29">
        <v>29</v>
      </c>
      <c r="CB29">
        <v>1.9215120000000001</v>
      </c>
      <c r="CC29">
        <v>0</v>
      </c>
      <c r="CD29">
        <v>19.297452</v>
      </c>
      <c r="CE29">
        <v>1430.906508</v>
      </c>
      <c r="CG29" s="499">
        <f t="shared" si="26"/>
        <v>0</v>
      </c>
      <c r="CH29" s="499">
        <f t="shared" si="27"/>
        <v>0</v>
      </c>
      <c r="CI29" s="499">
        <f t="shared" si="28"/>
        <v>0</v>
      </c>
      <c r="CJ29" s="499">
        <f t="shared" si="29"/>
        <v>0</v>
      </c>
      <c r="CP29" s="499"/>
      <c r="CQ29" s="65">
        <f t="shared" si="32"/>
        <v>0.51526077506473345</v>
      </c>
      <c r="CR29" s="499">
        <f t="shared" si="33"/>
        <v>0.51526077506473345</v>
      </c>
      <c r="CS29" s="499">
        <f t="shared" si="34"/>
        <v>0.51526077506473345</v>
      </c>
      <c r="CT29" s="38">
        <f t="shared" si="35"/>
        <v>1</v>
      </c>
      <c r="CU29" s="498">
        <f t="shared" si="36"/>
        <v>1</v>
      </c>
    </row>
    <row r="30" spans="1:99">
      <c r="A30" s="499">
        <f t="shared" si="9"/>
        <v>1</v>
      </c>
      <c r="B30">
        <v>235</v>
      </c>
      <c r="C30">
        <v>234</v>
      </c>
      <c r="D30" t="s">
        <v>1043</v>
      </c>
      <c r="E30">
        <v>234</v>
      </c>
      <c r="F30">
        <v>0</v>
      </c>
      <c r="G30">
        <v>1</v>
      </c>
      <c r="H30">
        <v>528</v>
      </c>
      <c r="I30">
        <v>4</v>
      </c>
      <c r="J30">
        <v>344677.44391700003</v>
      </c>
      <c r="K30">
        <v>4962135.3896599999</v>
      </c>
      <c r="L30">
        <v>344836.87134200003</v>
      </c>
      <c r="M30">
        <v>4962563.8501350004</v>
      </c>
      <c r="N30">
        <v>6393.5</v>
      </c>
      <c r="O30">
        <v>15.938903</v>
      </c>
      <c r="P30">
        <v>15.938903</v>
      </c>
      <c r="Q30">
        <v>1</v>
      </c>
      <c r="R30">
        <v>-9999</v>
      </c>
      <c r="S30">
        <v>-9999</v>
      </c>
      <c r="T30">
        <v>-9999</v>
      </c>
      <c r="U30">
        <v>-9999</v>
      </c>
      <c r="V30">
        <v>-9999</v>
      </c>
      <c r="W30">
        <v>-9999</v>
      </c>
      <c r="X30">
        <v>-9999</v>
      </c>
      <c r="Y30">
        <v>-9999</v>
      </c>
      <c r="Z30">
        <v>-9999</v>
      </c>
      <c r="AA30">
        <v>-9999</v>
      </c>
      <c r="AB30">
        <v>23681197</v>
      </c>
      <c r="AC30">
        <v>21.4</v>
      </c>
      <c r="AD30">
        <v>25.72832</v>
      </c>
      <c r="AE30">
        <v>75</v>
      </c>
      <c r="AF30">
        <v>456</v>
      </c>
      <c r="AG30">
        <v>5801.1900070000002</v>
      </c>
      <c r="AH30">
        <v>418154.002844</v>
      </c>
      <c r="AI30">
        <v>999.56978900000001</v>
      </c>
      <c r="AJ30">
        <v>27</v>
      </c>
      <c r="AK30" s="499">
        <f t="shared" si="13"/>
        <v>26.775804347999998</v>
      </c>
      <c r="AL30" s="15">
        <f t="shared" si="3"/>
        <v>54.115804347999998</v>
      </c>
      <c r="AM30" s="15"/>
      <c r="AN30" s="499">
        <f t="shared" si="0"/>
        <v>19.930211290322578</v>
      </c>
      <c r="AO30" s="499">
        <f t="shared" si="1"/>
        <v>25.643019959677424</v>
      </c>
      <c r="AP30" s="499">
        <f t="shared" si="2"/>
        <v>25.193045188891947</v>
      </c>
      <c r="AQ30" s="499"/>
      <c r="AR30" s="228">
        <v>22.592642000000001</v>
      </c>
      <c r="AS30" s="13">
        <v>118</v>
      </c>
      <c r="AT30" s="13">
        <v>1.8952530000000001</v>
      </c>
      <c r="AU30" s="13">
        <f t="shared" si="47"/>
        <v>0</v>
      </c>
      <c r="AV30" s="13">
        <f t="shared" si="38"/>
        <v>22.592642000000001</v>
      </c>
      <c r="AW30" s="13">
        <f t="shared" si="39"/>
        <v>22.592642000000001</v>
      </c>
      <c r="AX30" s="13">
        <f t="shared" si="40"/>
        <v>22.592642000000001</v>
      </c>
      <c r="AY30" s="13">
        <v>1252.9608720000001</v>
      </c>
      <c r="AZ30" s="13">
        <f t="shared" si="41"/>
        <v>0</v>
      </c>
      <c r="BA30" s="13">
        <f t="shared" si="42"/>
        <v>0</v>
      </c>
      <c r="BB30" s="97">
        <f t="shared" si="43"/>
        <v>0</v>
      </c>
      <c r="BC30" s="499"/>
      <c r="BD30" s="499">
        <v>107.95</v>
      </c>
      <c r="BE30" s="499">
        <v>23.866158870967741</v>
      </c>
      <c r="BF30" s="499">
        <v>21.23765282258065</v>
      </c>
      <c r="BG30" s="499">
        <v>18.386571975906595</v>
      </c>
      <c r="BI30" s="499">
        <f t="shared" ref="BI30:BJ30" si="66">AS33</f>
        <v>479</v>
      </c>
      <c r="BJ30" s="499">
        <f t="shared" si="66"/>
        <v>1.9225190000000001</v>
      </c>
      <c r="BK30" s="5">
        <f t="shared" si="15"/>
        <v>0</v>
      </c>
      <c r="BL30" s="499">
        <f t="shared" si="16"/>
        <v>22.592642000000001</v>
      </c>
      <c r="BM30" s="499">
        <f t="shared" si="17"/>
        <v>999.16552899999999</v>
      </c>
      <c r="BO30" s="499">
        <f t="shared" si="18"/>
        <v>479</v>
      </c>
      <c r="BP30" s="499">
        <f t="shared" si="19"/>
        <v>1.9225190000000001</v>
      </c>
      <c r="BQ30" s="5">
        <f t="shared" si="20"/>
        <v>0</v>
      </c>
      <c r="BR30" s="499">
        <f t="shared" si="21"/>
        <v>22.592642000000001</v>
      </c>
      <c r="BS30" s="499">
        <f t="shared" si="11"/>
        <v>999.16552899999999</v>
      </c>
      <c r="BU30" s="499">
        <f t="shared" si="22"/>
        <v>479</v>
      </c>
      <c r="BV30" s="499">
        <f t="shared" si="23"/>
        <v>1.9225190000000001</v>
      </c>
      <c r="BW30" s="5">
        <f t="shared" si="12"/>
        <v>0</v>
      </c>
      <c r="BX30" s="499">
        <f t="shared" si="24"/>
        <v>22.592642000000001</v>
      </c>
      <c r="BY30" s="499">
        <f t="shared" si="25"/>
        <v>999.16552899999999</v>
      </c>
      <c r="CA30">
        <v>479</v>
      </c>
      <c r="CB30">
        <v>1.9225190000000001</v>
      </c>
      <c r="CC30">
        <v>0</v>
      </c>
      <c r="CD30">
        <v>22.592642000000001</v>
      </c>
      <c r="CE30">
        <v>999.16552899999999</v>
      </c>
      <c r="CG30" s="499">
        <f t="shared" si="26"/>
        <v>0</v>
      </c>
      <c r="CH30" s="499">
        <f t="shared" si="27"/>
        <v>0</v>
      </c>
      <c r="CI30" s="499">
        <f t="shared" si="28"/>
        <v>0</v>
      </c>
      <c r="CJ30" s="499">
        <f t="shared" si="29"/>
        <v>0</v>
      </c>
      <c r="CP30" s="499"/>
      <c r="CQ30" s="65">
        <f t="shared" si="32"/>
        <v>0.97881752723341475</v>
      </c>
      <c r="CR30" s="499">
        <f t="shared" si="33"/>
        <v>0.97881752723341475</v>
      </c>
      <c r="CS30" s="499">
        <f t="shared" si="34"/>
        <v>0.97881752723341475</v>
      </c>
      <c r="CT30" s="38">
        <f t="shared" si="35"/>
        <v>1</v>
      </c>
      <c r="CU30" s="498">
        <f t="shared" si="36"/>
        <v>1</v>
      </c>
    </row>
    <row r="31" spans="1:99">
      <c r="A31" s="499">
        <f t="shared" si="9"/>
        <v>1</v>
      </c>
      <c r="B31">
        <v>374</v>
      </c>
      <c r="C31">
        <v>373</v>
      </c>
      <c r="D31" t="s">
        <v>1043</v>
      </c>
      <c r="E31">
        <v>373</v>
      </c>
      <c r="F31">
        <v>0</v>
      </c>
      <c r="G31">
        <v>0.7</v>
      </c>
      <c r="H31">
        <v>527</v>
      </c>
      <c r="I31">
        <v>3</v>
      </c>
      <c r="J31">
        <v>345185.06809700001</v>
      </c>
      <c r="K31">
        <v>4961846.1945700003</v>
      </c>
      <c r="L31">
        <v>345411.595263</v>
      </c>
      <c r="M31">
        <v>4962173.2067830004</v>
      </c>
      <c r="N31">
        <v>6390</v>
      </c>
      <c r="O31">
        <v>16.415299000000001</v>
      </c>
      <c r="P31">
        <v>16.415299000000001</v>
      </c>
      <c r="Q31">
        <v>7</v>
      </c>
      <c r="R31">
        <v>-5704.9342859999997</v>
      </c>
      <c r="S31">
        <v>-5704.95</v>
      </c>
      <c r="T31">
        <v>-5704.2628569999997</v>
      </c>
      <c r="U31">
        <v>-5703.1871430000001</v>
      </c>
      <c r="V31">
        <v>-5705.324286</v>
      </c>
      <c r="W31">
        <v>-5704.17</v>
      </c>
      <c r="X31">
        <v>-5704.5314289999997</v>
      </c>
      <c r="Y31">
        <v>-5705.64</v>
      </c>
      <c r="Z31">
        <v>-5706.2271430000001</v>
      </c>
      <c r="AA31">
        <v>-4825.5714289999996</v>
      </c>
      <c r="AB31">
        <v>23681301</v>
      </c>
      <c r="AC31">
        <v>21.125556</v>
      </c>
      <c r="AD31">
        <v>26.138141999999998</v>
      </c>
      <c r="AE31">
        <v>75</v>
      </c>
      <c r="AF31">
        <v>444.42857099999998</v>
      </c>
      <c r="AG31">
        <v>4424.108448</v>
      </c>
      <c r="AH31">
        <v>314681.26402900001</v>
      </c>
      <c r="AI31">
        <v>725.90938900000003</v>
      </c>
      <c r="AJ31">
        <v>28</v>
      </c>
      <c r="AK31" s="499">
        <f t="shared" si="13"/>
        <v>27.775374136999996</v>
      </c>
      <c r="AL31" s="15">
        <f t="shared" si="3"/>
        <v>55.115374136999996</v>
      </c>
      <c r="AM31" s="15"/>
      <c r="AN31" s="499">
        <f t="shared" si="0"/>
        <v>19.685229637096775</v>
      </c>
      <c r="AO31" s="499">
        <f t="shared" si="1"/>
        <v>24.895776612903227</v>
      </c>
      <c r="AP31" s="499">
        <f t="shared" si="2"/>
        <v>24.507254497261908</v>
      </c>
      <c r="AQ31" s="499"/>
      <c r="AR31" s="228">
        <v>24.300045000000001</v>
      </c>
      <c r="AS31" s="13">
        <v>480</v>
      </c>
      <c r="AT31" s="13">
        <v>1.9163019999999999</v>
      </c>
      <c r="AU31" s="13">
        <f t="shared" si="47"/>
        <v>0</v>
      </c>
      <c r="AV31" s="13">
        <f t="shared" si="38"/>
        <v>24.300045000000001</v>
      </c>
      <c r="AW31" s="13">
        <f t="shared" si="39"/>
        <v>24.300045000000001</v>
      </c>
      <c r="AX31" s="13">
        <f t="shared" si="40"/>
        <v>24.300045000000001</v>
      </c>
      <c r="AY31" s="13">
        <v>1466.443127</v>
      </c>
      <c r="AZ31" s="13">
        <f t="shared" si="41"/>
        <v>0</v>
      </c>
      <c r="BA31" s="13">
        <f t="shared" si="42"/>
        <v>0</v>
      </c>
      <c r="BB31" s="97">
        <f t="shared" si="43"/>
        <v>0</v>
      </c>
      <c r="BC31" s="499"/>
      <c r="BD31" s="499">
        <v>107.75</v>
      </c>
      <c r="BE31" s="499">
        <v>23.85074818548388</v>
      </c>
      <c r="BF31" s="499">
        <v>21.149605241935479</v>
      </c>
      <c r="BG31" s="499">
        <v>18.310651981501831</v>
      </c>
      <c r="BI31" s="499">
        <f t="shared" ref="BI31:BJ31" si="67">AS34</f>
        <v>189</v>
      </c>
      <c r="BJ31" s="499">
        <f t="shared" si="67"/>
        <v>1.9472959999999999</v>
      </c>
      <c r="BK31" s="5">
        <f t="shared" si="15"/>
        <v>0</v>
      </c>
      <c r="BL31" s="499">
        <f t="shared" si="16"/>
        <v>19.404637999999998</v>
      </c>
      <c r="BM31" s="499">
        <f t="shared" si="17"/>
        <v>567.449207</v>
      </c>
      <c r="BO31" s="499">
        <f t="shared" si="18"/>
        <v>189</v>
      </c>
      <c r="BP31" s="499">
        <f t="shared" si="19"/>
        <v>1.9472959999999999</v>
      </c>
      <c r="BQ31" s="5">
        <f t="shared" si="20"/>
        <v>0</v>
      </c>
      <c r="BR31" s="499">
        <f t="shared" si="21"/>
        <v>19.404637999999998</v>
      </c>
      <c r="BS31" s="499">
        <f t="shared" si="11"/>
        <v>567.449207</v>
      </c>
      <c r="BU31" s="499">
        <f t="shared" si="22"/>
        <v>189</v>
      </c>
      <c r="BV31" s="499">
        <f t="shared" si="23"/>
        <v>1.9472959999999999</v>
      </c>
      <c r="BW31" s="5">
        <f t="shared" si="12"/>
        <v>0</v>
      </c>
      <c r="BX31" s="499">
        <f t="shared" si="24"/>
        <v>19.404637999999998</v>
      </c>
      <c r="BY31" s="499">
        <f t="shared" si="25"/>
        <v>567.449207</v>
      </c>
      <c r="CA31">
        <v>189</v>
      </c>
      <c r="CB31">
        <v>1.9472959999999999</v>
      </c>
      <c r="CC31">
        <v>0</v>
      </c>
      <c r="CD31">
        <v>19.404637999999998</v>
      </c>
      <c r="CE31">
        <v>567.449207</v>
      </c>
      <c r="CG31" s="499">
        <f t="shared" si="26"/>
        <v>0</v>
      </c>
      <c r="CH31" s="499">
        <f t="shared" si="27"/>
        <v>0</v>
      </c>
      <c r="CI31" s="499">
        <f t="shared" si="28"/>
        <v>0</v>
      </c>
      <c r="CJ31" s="499">
        <f t="shared" si="29"/>
        <v>0</v>
      </c>
      <c r="CP31" s="499"/>
      <c r="CQ31" s="65">
        <f t="shared" si="32"/>
        <v>0.95011359251923333</v>
      </c>
      <c r="CR31" s="499">
        <f t="shared" si="33"/>
        <v>0.95011359251923333</v>
      </c>
      <c r="CS31" s="499">
        <f t="shared" si="34"/>
        <v>0.95011359251923333</v>
      </c>
      <c r="CT31" s="38">
        <f t="shared" si="35"/>
        <v>1</v>
      </c>
      <c r="CU31" s="498">
        <f t="shared" si="36"/>
        <v>1</v>
      </c>
    </row>
    <row r="32" spans="1:99">
      <c r="A32" s="499">
        <f t="shared" si="9"/>
        <v>1</v>
      </c>
      <c r="B32">
        <v>476</v>
      </c>
      <c r="C32">
        <v>475</v>
      </c>
      <c r="D32" t="s">
        <v>1043</v>
      </c>
      <c r="E32">
        <v>475</v>
      </c>
      <c r="F32">
        <v>0</v>
      </c>
      <c r="G32">
        <v>1.3</v>
      </c>
      <c r="H32">
        <v>524</v>
      </c>
      <c r="I32">
        <v>5</v>
      </c>
      <c r="J32">
        <v>346292.027046</v>
      </c>
      <c r="K32">
        <v>4962018.6334079998</v>
      </c>
      <c r="L32">
        <v>346107.52948199998</v>
      </c>
      <c r="M32">
        <v>4962427.1432440002</v>
      </c>
      <c r="N32">
        <v>6460</v>
      </c>
      <c r="O32">
        <v>15.884487</v>
      </c>
      <c r="P32">
        <v>15.884487</v>
      </c>
      <c r="Q32">
        <v>5</v>
      </c>
      <c r="R32">
        <v>-5990.47</v>
      </c>
      <c r="S32">
        <v>-5990.0659999999998</v>
      </c>
      <c r="T32">
        <v>-5989.5</v>
      </c>
      <c r="U32">
        <v>-5988.4979999999996</v>
      </c>
      <c r="V32">
        <v>-5990.5219999999999</v>
      </c>
      <c r="W32">
        <v>-5989.4840000000004</v>
      </c>
      <c r="X32">
        <v>-5989.7139999999999</v>
      </c>
      <c r="Y32">
        <v>-5991.0439999999999</v>
      </c>
      <c r="Z32">
        <v>-5991.68</v>
      </c>
      <c r="AA32">
        <v>-5192.2</v>
      </c>
      <c r="AB32">
        <v>23681344.199999999</v>
      </c>
      <c r="AC32">
        <v>22.071332999999999</v>
      </c>
      <c r="AD32">
        <v>27.411840000000002</v>
      </c>
      <c r="AE32">
        <v>75</v>
      </c>
      <c r="AF32">
        <v>452.4</v>
      </c>
      <c r="AG32">
        <v>4491.6788980000001</v>
      </c>
      <c r="AH32">
        <v>319671.29050900001</v>
      </c>
      <c r="AI32">
        <v>1273.230961</v>
      </c>
      <c r="AJ32">
        <v>29</v>
      </c>
      <c r="AK32" s="499">
        <f t="shared" si="13"/>
        <v>28.501283525999998</v>
      </c>
      <c r="AL32" s="15">
        <f t="shared" si="3"/>
        <v>55.841283525999998</v>
      </c>
      <c r="AM32" s="15"/>
      <c r="AN32" s="499">
        <f t="shared" si="0"/>
        <v>19.571483266129029</v>
      </c>
      <c r="AO32" s="499">
        <f t="shared" si="1"/>
        <v>24.453314919354845</v>
      </c>
      <c r="AP32" s="499">
        <f t="shared" si="2"/>
        <v>24.20145242863553</v>
      </c>
      <c r="AQ32" s="499"/>
      <c r="AR32" s="228">
        <v>19.297452</v>
      </c>
      <c r="AS32" s="13">
        <v>29</v>
      </c>
      <c r="AT32" s="13">
        <v>1.9215120000000001</v>
      </c>
      <c r="AU32" s="13">
        <f t="shared" si="47"/>
        <v>0</v>
      </c>
      <c r="AV32" s="13">
        <f t="shared" si="38"/>
        <v>19.297452</v>
      </c>
      <c r="AW32" s="13">
        <f t="shared" si="39"/>
        <v>19.297452</v>
      </c>
      <c r="AX32" s="13">
        <f t="shared" si="40"/>
        <v>19.297452</v>
      </c>
      <c r="AY32" s="13">
        <v>1430.906508</v>
      </c>
      <c r="AZ32" s="13">
        <f t="shared" si="41"/>
        <v>0</v>
      </c>
      <c r="BA32" s="13">
        <f t="shared" si="42"/>
        <v>0</v>
      </c>
      <c r="BB32" s="97">
        <f t="shared" si="43"/>
        <v>0</v>
      </c>
      <c r="BC32" s="499"/>
      <c r="BD32" s="499">
        <v>107.55</v>
      </c>
      <c r="BE32" s="499">
        <v>23.839534677419344</v>
      </c>
      <c r="BF32" s="499">
        <v>21.180624999999999</v>
      </c>
      <c r="BG32" s="499">
        <v>18.480975966007332</v>
      </c>
      <c r="BI32" s="499">
        <f t="shared" ref="BI32:BJ32" si="68">AS35</f>
        <v>74</v>
      </c>
      <c r="BJ32" s="499">
        <f t="shared" si="68"/>
        <v>1.9494929999999999</v>
      </c>
      <c r="BK32" s="5">
        <f t="shared" si="15"/>
        <v>0</v>
      </c>
      <c r="BL32" s="499">
        <f t="shared" si="16"/>
        <v>22.592642000000001</v>
      </c>
      <c r="BM32" s="499">
        <f t="shared" si="17"/>
        <v>998.47869400000002</v>
      </c>
      <c r="BO32" s="499">
        <f t="shared" si="18"/>
        <v>74</v>
      </c>
      <c r="BP32" s="499">
        <f t="shared" si="19"/>
        <v>1.9494929999999999</v>
      </c>
      <c r="BQ32" s="5">
        <f t="shared" si="20"/>
        <v>0</v>
      </c>
      <c r="BR32" s="499">
        <f t="shared" si="21"/>
        <v>22.592642000000001</v>
      </c>
      <c r="BS32" s="499">
        <f t="shared" si="11"/>
        <v>998.47869400000002</v>
      </c>
      <c r="BU32" s="499">
        <f t="shared" si="22"/>
        <v>74</v>
      </c>
      <c r="BV32" s="499">
        <f t="shared" si="23"/>
        <v>1.9494929999999999</v>
      </c>
      <c r="BW32" s="5">
        <f t="shared" si="12"/>
        <v>0</v>
      </c>
      <c r="BX32" s="499">
        <f t="shared" si="24"/>
        <v>22.592642000000001</v>
      </c>
      <c r="BY32" s="499">
        <f t="shared" si="25"/>
        <v>998.47869400000002</v>
      </c>
      <c r="CA32">
        <v>74</v>
      </c>
      <c r="CB32">
        <v>1.9494929999999999</v>
      </c>
      <c r="CC32">
        <v>0</v>
      </c>
      <c r="CD32">
        <v>22.592642000000001</v>
      </c>
      <c r="CE32">
        <v>998.47869400000002</v>
      </c>
      <c r="CG32" s="499">
        <f t="shared" si="26"/>
        <v>0</v>
      </c>
      <c r="CH32" s="499">
        <f t="shared" si="27"/>
        <v>0</v>
      </c>
      <c r="CI32" s="499">
        <f t="shared" si="28"/>
        <v>0</v>
      </c>
      <c r="CJ32" s="499">
        <f t="shared" si="29"/>
        <v>0</v>
      </c>
      <c r="CP32" s="499"/>
      <c r="CQ32" s="65">
        <f t="shared" si="32"/>
        <v>0.9788074471564252</v>
      </c>
      <c r="CR32" s="499">
        <f t="shared" si="33"/>
        <v>0.9788074471564252</v>
      </c>
      <c r="CS32" s="499">
        <f t="shared" si="34"/>
        <v>0.9788074471564252</v>
      </c>
      <c r="CT32" s="38">
        <f t="shared" si="35"/>
        <v>1</v>
      </c>
      <c r="CU32" s="498">
        <f t="shared" si="36"/>
        <v>1</v>
      </c>
    </row>
    <row r="33" spans="1:99">
      <c r="A33" s="499">
        <f t="shared" si="9"/>
        <v>1</v>
      </c>
      <c r="B33">
        <v>142</v>
      </c>
      <c r="C33">
        <v>141</v>
      </c>
      <c r="D33" t="s">
        <v>1043</v>
      </c>
      <c r="E33">
        <v>141</v>
      </c>
      <c r="F33">
        <v>0</v>
      </c>
      <c r="G33">
        <v>1</v>
      </c>
      <c r="H33">
        <v>525</v>
      </c>
      <c r="I33">
        <v>4</v>
      </c>
      <c r="J33">
        <v>346974.16933300003</v>
      </c>
      <c r="K33">
        <v>4962043.8020719998</v>
      </c>
      <c r="L33">
        <v>347036.28922699997</v>
      </c>
      <c r="M33">
        <v>4962354.6214749999</v>
      </c>
      <c r="N33">
        <v>6455.5</v>
      </c>
      <c r="O33">
        <v>15.575673</v>
      </c>
      <c r="P33">
        <v>15.575673</v>
      </c>
      <c r="Q33">
        <v>1</v>
      </c>
      <c r="R33">
        <v>-9999</v>
      </c>
      <c r="S33">
        <v>-9999</v>
      </c>
      <c r="T33">
        <v>-9999</v>
      </c>
      <c r="U33">
        <v>-9999</v>
      </c>
      <c r="V33">
        <v>-9999</v>
      </c>
      <c r="W33">
        <v>-9999</v>
      </c>
      <c r="X33">
        <v>-9999</v>
      </c>
      <c r="Y33">
        <v>-9999</v>
      </c>
      <c r="Z33">
        <v>-9999</v>
      </c>
      <c r="AA33">
        <v>-9999</v>
      </c>
      <c r="AB33">
        <v>23681229</v>
      </c>
      <c r="AC33">
        <v>21.2</v>
      </c>
      <c r="AD33">
        <v>25.550660000000001</v>
      </c>
      <c r="AE33">
        <v>75</v>
      </c>
      <c r="AF33">
        <v>453</v>
      </c>
      <c r="AG33">
        <v>7235.64563</v>
      </c>
      <c r="AH33">
        <v>525509.45541599998</v>
      </c>
      <c r="AI33">
        <v>1000.107618</v>
      </c>
      <c r="AJ33" s="499">
        <v>30</v>
      </c>
      <c r="AK33" s="499">
        <f t="shared" si="13"/>
        <v>29.774514486999998</v>
      </c>
      <c r="AL33" s="15">
        <f t="shared" si="3"/>
        <v>57.114514486999994</v>
      </c>
      <c r="AM33" s="15"/>
      <c r="AN33" s="499">
        <f t="shared" si="0"/>
        <v>19.562358669354836</v>
      </c>
      <c r="AO33" s="499">
        <f t="shared" si="1"/>
        <v>24.507220564516132</v>
      </c>
      <c r="AP33" s="499">
        <f t="shared" si="2"/>
        <v>24.329909116556781</v>
      </c>
      <c r="AQ33" s="499"/>
      <c r="AR33" s="228">
        <v>22.592642000000001</v>
      </c>
      <c r="AS33" s="13">
        <v>479</v>
      </c>
      <c r="AT33" s="13">
        <v>1.9225190000000001</v>
      </c>
      <c r="AU33" s="13">
        <f t="shared" si="47"/>
        <v>0</v>
      </c>
      <c r="AV33" s="13">
        <f t="shared" si="38"/>
        <v>22.592642000000001</v>
      </c>
      <c r="AW33" s="13">
        <f t="shared" si="39"/>
        <v>22.592642000000001</v>
      </c>
      <c r="AX33" s="13">
        <f t="shared" si="40"/>
        <v>22.592642000000001</v>
      </c>
      <c r="AY33" s="13">
        <v>999.16552899999999</v>
      </c>
      <c r="AZ33" s="13">
        <f t="shared" si="41"/>
        <v>0</v>
      </c>
      <c r="BA33" s="13">
        <f t="shared" si="42"/>
        <v>0</v>
      </c>
      <c r="BB33" s="97">
        <f t="shared" si="43"/>
        <v>0</v>
      </c>
      <c r="BC33" s="499"/>
      <c r="BD33" s="499">
        <v>107.35</v>
      </c>
      <c r="BE33" s="499">
        <v>23.757714516129028</v>
      </c>
      <c r="BF33" s="499">
        <v>21.04948427419356</v>
      </c>
      <c r="BG33" s="499">
        <v>18.515520760119049</v>
      </c>
      <c r="BI33" s="499">
        <f t="shared" ref="BI33:BJ33" si="69">AS36</f>
        <v>322</v>
      </c>
      <c r="BJ33" s="499">
        <f t="shared" si="69"/>
        <v>1.9494929999999999</v>
      </c>
      <c r="BK33" s="5">
        <f t="shared" si="15"/>
        <v>0</v>
      </c>
      <c r="BL33" s="499">
        <f t="shared" si="16"/>
        <v>23.610721999999999</v>
      </c>
      <c r="BM33" s="499">
        <f t="shared" si="17"/>
        <v>878.943623</v>
      </c>
      <c r="BO33" s="499">
        <f t="shared" si="18"/>
        <v>322</v>
      </c>
      <c r="BP33" s="499">
        <f t="shared" si="19"/>
        <v>1.9494929999999999</v>
      </c>
      <c r="BQ33" s="5">
        <f t="shared" si="20"/>
        <v>0</v>
      </c>
      <c r="BR33" s="499">
        <f t="shared" si="21"/>
        <v>23.610721999999999</v>
      </c>
      <c r="BS33" s="499">
        <f t="shared" si="11"/>
        <v>878.943623</v>
      </c>
      <c r="BU33" s="499">
        <f t="shared" si="22"/>
        <v>322</v>
      </c>
      <c r="BV33" s="499">
        <f t="shared" si="23"/>
        <v>1.9494929999999999</v>
      </c>
      <c r="BW33" s="5">
        <f t="shared" si="12"/>
        <v>0</v>
      </c>
      <c r="BX33" s="499">
        <f t="shared" si="24"/>
        <v>23.610721999999999</v>
      </c>
      <c r="BY33" s="499">
        <f t="shared" si="25"/>
        <v>878.943623</v>
      </c>
      <c r="CA33">
        <v>322</v>
      </c>
      <c r="CB33">
        <v>1.9494929999999999</v>
      </c>
      <c r="CC33">
        <v>0</v>
      </c>
      <c r="CD33">
        <v>23.610721999999999</v>
      </c>
      <c r="CE33">
        <v>878.943623</v>
      </c>
      <c r="CG33" s="499">
        <f t="shared" si="26"/>
        <v>0</v>
      </c>
      <c r="CH33" s="499">
        <f t="shared" si="27"/>
        <v>0</v>
      </c>
      <c r="CI33" s="499">
        <f t="shared" si="28"/>
        <v>0</v>
      </c>
      <c r="CJ33" s="499">
        <f t="shared" si="29"/>
        <v>0</v>
      </c>
      <c r="CP33" s="499"/>
      <c r="CQ33" s="65">
        <f t="shared" si="32"/>
        <v>0.95011359251923333</v>
      </c>
      <c r="CR33" s="499">
        <f t="shared" si="33"/>
        <v>0.95011359251923333</v>
      </c>
      <c r="CS33" s="499">
        <f t="shared" si="34"/>
        <v>0.95011359251923333</v>
      </c>
      <c r="CT33" s="38">
        <f t="shared" si="35"/>
        <v>1</v>
      </c>
      <c r="CU33" s="498">
        <f t="shared" si="36"/>
        <v>1</v>
      </c>
    </row>
    <row r="34" spans="1:99">
      <c r="A34" s="499">
        <f t="shared" si="9"/>
        <v>1</v>
      </c>
      <c r="B34">
        <v>331</v>
      </c>
      <c r="C34">
        <v>330</v>
      </c>
      <c r="D34" t="s">
        <v>1043</v>
      </c>
      <c r="E34">
        <v>330</v>
      </c>
      <c r="F34">
        <v>0</v>
      </c>
      <c r="G34">
        <v>1</v>
      </c>
      <c r="H34">
        <v>526</v>
      </c>
      <c r="I34">
        <v>4</v>
      </c>
      <c r="J34">
        <v>347368.54267300002</v>
      </c>
      <c r="K34">
        <v>4962481.0683080005</v>
      </c>
      <c r="L34">
        <v>347520.447293</v>
      </c>
      <c r="M34">
        <v>4962774.4967719996</v>
      </c>
      <c r="N34">
        <v>6451.5</v>
      </c>
      <c r="O34">
        <v>15.506703</v>
      </c>
      <c r="P34">
        <v>15.394978</v>
      </c>
      <c r="Q34">
        <v>1</v>
      </c>
      <c r="R34">
        <v>-9999</v>
      </c>
      <c r="S34">
        <v>-9999</v>
      </c>
      <c r="T34">
        <v>-9999</v>
      </c>
      <c r="U34">
        <v>-9999</v>
      </c>
      <c r="V34">
        <v>-9999</v>
      </c>
      <c r="W34">
        <v>-9999</v>
      </c>
      <c r="X34">
        <v>-9999</v>
      </c>
      <c r="Y34">
        <v>-9999</v>
      </c>
      <c r="Z34">
        <v>-9999</v>
      </c>
      <c r="AA34">
        <v>-9999</v>
      </c>
      <c r="AB34">
        <v>23681229</v>
      </c>
      <c r="AC34">
        <v>21.2</v>
      </c>
      <c r="AD34">
        <v>25.550660000000001</v>
      </c>
      <c r="AE34">
        <v>75</v>
      </c>
      <c r="AF34">
        <v>453</v>
      </c>
      <c r="AG34">
        <v>7235.64563</v>
      </c>
      <c r="AH34">
        <v>525509.45541599998</v>
      </c>
      <c r="AI34">
        <v>1000.281403</v>
      </c>
      <c r="AJ34" s="499">
        <v>30</v>
      </c>
      <c r="AK34" s="499">
        <f t="shared" si="13"/>
        <v>30.774622104999999</v>
      </c>
      <c r="AL34" s="15">
        <f t="shared" si="3"/>
        <v>58.114622104999995</v>
      </c>
      <c r="AM34" s="15"/>
      <c r="AN34" s="499">
        <f t="shared" si="0"/>
        <v>19.566025806451609</v>
      </c>
      <c r="AO34" s="499">
        <f t="shared" si="1"/>
        <v>24.986444153225815</v>
      </c>
      <c r="AP34" s="499">
        <f t="shared" si="2"/>
        <v>24.732769251167582</v>
      </c>
      <c r="AQ34" s="499"/>
      <c r="AR34" s="228">
        <v>19.404637999999998</v>
      </c>
      <c r="AS34" s="13">
        <v>189</v>
      </c>
      <c r="AT34" s="13">
        <v>1.9472959999999999</v>
      </c>
      <c r="AU34" s="13">
        <f t="shared" si="47"/>
        <v>0</v>
      </c>
      <c r="AV34" s="13">
        <f t="shared" si="38"/>
        <v>19.404637999999998</v>
      </c>
      <c r="AW34" s="13">
        <f t="shared" si="39"/>
        <v>19.404637999999998</v>
      </c>
      <c r="AX34" s="13">
        <f t="shared" si="40"/>
        <v>19.404637999999998</v>
      </c>
      <c r="AY34" s="13">
        <v>567.449207</v>
      </c>
      <c r="AZ34" s="13">
        <f t="shared" si="41"/>
        <v>0</v>
      </c>
      <c r="BA34" s="13">
        <f t="shared" si="42"/>
        <v>0</v>
      </c>
      <c r="BB34" s="97">
        <f t="shared" si="43"/>
        <v>0</v>
      </c>
      <c r="BC34" s="499"/>
      <c r="BD34" s="499">
        <v>107.15</v>
      </c>
      <c r="BE34" s="499">
        <v>23.719034072580644</v>
      </c>
      <c r="BF34" s="499">
        <v>20.994214516129045</v>
      </c>
      <c r="BG34" s="499">
        <v>18.564506866950545</v>
      </c>
      <c r="BI34" s="499">
        <f t="shared" ref="BI34:BJ34" si="70">AS37</f>
        <v>174</v>
      </c>
      <c r="BJ34" s="499">
        <f t="shared" si="70"/>
        <v>1.9793810000000001</v>
      </c>
      <c r="BK34" s="5">
        <f t="shared" si="15"/>
        <v>0</v>
      </c>
      <c r="BL34" s="499">
        <f t="shared" si="16"/>
        <v>19.295921</v>
      </c>
      <c r="BM34" s="499">
        <f t="shared" si="17"/>
        <v>870.36807699999997</v>
      </c>
      <c r="BO34" s="499">
        <f t="shared" si="18"/>
        <v>174</v>
      </c>
      <c r="BP34" s="499">
        <f t="shared" si="19"/>
        <v>1.9793810000000001</v>
      </c>
      <c r="BQ34" s="5">
        <f t="shared" si="20"/>
        <v>0</v>
      </c>
      <c r="BR34" s="499">
        <f t="shared" si="21"/>
        <v>19.295921</v>
      </c>
      <c r="BS34" s="499">
        <f t="shared" si="11"/>
        <v>870.36807699999997</v>
      </c>
      <c r="BU34" s="499">
        <f t="shared" si="22"/>
        <v>174</v>
      </c>
      <c r="BV34" s="499">
        <f t="shared" si="23"/>
        <v>1.9793810000000001</v>
      </c>
      <c r="BW34" s="5">
        <f t="shared" si="12"/>
        <v>0</v>
      </c>
      <c r="BX34" s="499">
        <f t="shared" si="24"/>
        <v>19.295921</v>
      </c>
      <c r="BY34" s="499">
        <f t="shared" si="25"/>
        <v>870.36807699999997</v>
      </c>
      <c r="CA34">
        <v>174</v>
      </c>
      <c r="CB34">
        <v>1.9793810000000001</v>
      </c>
      <c r="CC34">
        <v>0</v>
      </c>
      <c r="CD34">
        <v>19.295921</v>
      </c>
      <c r="CE34">
        <v>870.36807699999997</v>
      </c>
      <c r="CG34" s="499">
        <f t="shared" si="26"/>
        <v>0</v>
      </c>
      <c r="CH34" s="499">
        <f t="shared" si="27"/>
        <v>0</v>
      </c>
      <c r="CI34" s="499">
        <f t="shared" si="28"/>
        <v>0</v>
      </c>
      <c r="CJ34" s="499">
        <f t="shared" si="29"/>
        <v>0</v>
      </c>
      <c r="CP34" s="499"/>
      <c r="CQ34" s="65">
        <f t="shared" si="32"/>
        <v>0.79665055182835542</v>
      </c>
      <c r="CR34" s="499">
        <f t="shared" si="33"/>
        <v>0.79665055182835542</v>
      </c>
      <c r="CS34" s="499">
        <f t="shared" si="34"/>
        <v>0.79665055182835542</v>
      </c>
      <c r="CT34" s="38">
        <f t="shared" si="35"/>
        <v>1</v>
      </c>
      <c r="CU34" s="498">
        <f t="shared" si="36"/>
        <v>1</v>
      </c>
    </row>
    <row r="35" spans="1:99">
      <c r="A35" s="499">
        <f t="shared" si="9"/>
        <v>1</v>
      </c>
      <c r="B35">
        <v>60</v>
      </c>
      <c r="C35">
        <v>59</v>
      </c>
      <c r="D35" t="s">
        <v>1043</v>
      </c>
      <c r="E35">
        <v>59</v>
      </c>
      <c r="F35">
        <v>0</v>
      </c>
      <c r="G35">
        <v>1.3</v>
      </c>
      <c r="H35">
        <v>523</v>
      </c>
      <c r="I35">
        <v>5</v>
      </c>
      <c r="J35">
        <v>348218.01260800002</v>
      </c>
      <c r="K35">
        <v>4962002.9932359997</v>
      </c>
      <c r="L35">
        <v>348343.00396</v>
      </c>
      <c r="M35">
        <v>4962403.0463500004</v>
      </c>
      <c r="N35">
        <v>6447</v>
      </c>
      <c r="O35">
        <v>15.420795999999999</v>
      </c>
      <c r="P35">
        <v>15.420795999999999</v>
      </c>
      <c r="Q35">
        <v>3</v>
      </c>
      <c r="R35">
        <v>-6657.7166669999997</v>
      </c>
      <c r="S35">
        <v>-6657.0533329999998</v>
      </c>
      <c r="T35">
        <v>-6656.67</v>
      </c>
      <c r="U35">
        <v>-6655.7366670000001</v>
      </c>
      <c r="V35">
        <v>-6657.49</v>
      </c>
      <c r="W35">
        <v>-6656.6566670000002</v>
      </c>
      <c r="X35">
        <v>-6656.7966669999996</v>
      </c>
      <c r="Y35">
        <v>-6658.0166669999999</v>
      </c>
      <c r="Z35">
        <v>-6658.7066670000004</v>
      </c>
      <c r="AA35">
        <v>-5902.6666670000004</v>
      </c>
      <c r="AB35">
        <v>23681304.333333001</v>
      </c>
      <c r="AC35">
        <v>22.895185000000001</v>
      </c>
      <c r="AD35">
        <v>28.477941000000001</v>
      </c>
      <c r="AE35">
        <v>75</v>
      </c>
      <c r="AF35">
        <v>453.66666700000002</v>
      </c>
      <c r="AG35">
        <v>4851.6963960000003</v>
      </c>
      <c r="AH35">
        <v>346518.87289300002</v>
      </c>
      <c r="AI35">
        <v>1280.4011620000001</v>
      </c>
      <c r="AJ35" s="499">
        <v>31</v>
      </c>
      <c r="AK35" s="499">
        <f t="shared" si="13"/>
        <v>31.774903507999998</v>
      </c>
      <c r="AL35" s="15">
        <f t="shared" si="3"/>
        <v>59.114903507999998</v>
      </c>
      <c r="AM35" s="15"/>
      <c r="AN35" s="499">
        <f t="shared" ref="AN35:AN56" si="71">INDEX($BF$5:$BF$570,MATCH($AL35,$BD$5:$BD$570,-1))</f>
        <v>19.563892741935479</v>
      </c>
      <c r="AO35" s="499">
        <f t="shared" ref="AO35:AO56" si="72">INDEX($BE$5:$BE$570,MATCH($AL35,$BD$5:$BD$570,-1))</f>
        <v>24.254439919354837</v>
      </c>
      <c r="AP35" s="499">
        <f t="shared" ref="AP35:AP56" si="73">INDEX($BG$5:$BG$570,MATCH($AL35,$BD$5:$BD$570,-1))</f>
        <v>24.102634147467946</v>
      </c>
      <c r="AQ35" s="499"/>
      <c r="AR35" s="228">
        <v>22.592642000000001</v>
      </c>
      <c r="AS35" s="13">
        <v>74</v>
      </c>
      <c r="AT35" s="13">
        <v>1.9494929999999999</v>
      </c>
      <c r="AU35" s="13">
        <f t="shared" si="47"/>
        <v>0</v>
      </c>
      <c r="AV35" s="13">
        <f t="shared" si="38"/>
        <v>22.592642000000001</v>
      </c>
      <c r="AW35" s="13">
        <f t="shared" si="39"/>
        <v>22.592642000000001</v>
      </c>
      <c r="AX35" s="13">
        <f t="shared" si="40"/>
        <v>22.592642000000001</v>
      </c>
      <c r="AY35" s="13">
        <v>998.47869400000002</v>
      </c>
      <c r="AZ35" s="13">
        <f t="shared" si="41"/>
        <v>0</v>
      </c>
      <c r="BA35" s="13">
        <f t="shared" si="42"/>
        <v>0</v>
      </c>
      <c r="BB35" s="97">
        <f t="shared" si="43"/>
        <v>0</v>
      </c>
      <c r="BC35" s="499"/>
      <c r="BD35" s="499">
        <v>106.95</v>
      </c>
      <c r="BE35" s="499">
        <v>23.684913709677428</v>
      </c>
      <c r="BF35" s="499">
        <v>20.945976814516133</v>
      </c>
      <c r="BG35" s="499">
        <v>18.643363081584251</v>
      </c>
      <c r="BI35" s="499">
        <f t="shared" ref="BI35:BJ35" si="74">AS38</f>
        <v>452</v>
      </c>
      <c r="BJ35" s="499">
        <f t="shared" si="74"/>
        <v>2.0018189999999998</v>
      </c>
      <c r="BK35" s="5">
        <f t="shared" si="15"/>
        <v>0</v>
      </c>
      <c r="BL35" s="499">
        <f t="shared" si="16"/>
        <v>20.233028999999998</v>
      </c>
      <c r="BM35" s="499">
        <f t="shared" si="17"/>
        <v>666.07231100000001</v>
      </c>
      <c r="BO35" s="499">
        <f t="shared" si="18"/>
        <v>452</v>
      </c>
      <c r="BP35" s="499">
        <f t="shared" si="19"/>
        <v>2.0018189999999998</v>
      </c>
      <c r="BQ35" s="5">
        <f t="shared" si="20"/>
        <v>0</v>
      </c>
      <c r="BR35" s="499">
        <f t="shared" si="21"/>
        <v>20.233028999999998</v>
      </c>
      <c r="BS35" s="499">
        <f t="shared" si="11"/>
        <v>666.07231100000001</v>
      </c>
      <c r="BU35" s="499">
        <f t="shared" si="22"/>
        <v>452</v>
      </c>
      <c r="BV35" s="499">
        <f t="shared" si="23"/>
        <v>2.0018189999999998</v>
      </c>
      <c r="BW35" s="5">
        <f t="shared" si="12"/>
        <v>0</v>
      </c>
      <c r="BX35" s="499">
        <f t="shared" si="24"/>
        <v>20.233028999999998</v>
      </c>
      <c r="BY35" s="499">
        <f t="shared" si="25"/>
        <v>666.07231100000001</v>
      </c>
      <c r="CA35">
        <v>452</v>
      </c>
      <c r="CB35">
        <v>2.0018189999999998</v>
      </c>
      <c r="CC35">
        <v>0</v>
      </c>
      <c r="CD35">
        <v>20.233028999999998</v>
      </c>
      <c r="CE35">
        <v>666.07231100000001</v>
      </c>
      <c r="CG35" s="499">
        <f t="shared" si="26"/>
        <v>0</v>
      </c>
      <c r="CH35" s="499">
        <f t="shared" si="27"/>
        <v>0</v>
      </c>
      <c r="CI35" s="499">
        <f t="shared" si="28"/>
        <v>0</v>
      </c>
      <c r="CJ35" s="499">
        <f t="shared" si="29"/>
        <v>0</v>
      </c>
      <c r="CP35" s="499"/>
      <c r="CQ35" s="65">
        <f t="shared" si="32"/>
        <v>0.97881765623042549</v>
      </c>
      <c r="CR35" s="499">
        <f t="shared" si="33"/>
        <v>0.97881765623042549</v>
      </c>
      <c r="CS35" s="499">
        <f t="shared" si="34"/>
        <v>0.97881765623042549</v>
      </c>
      <c r="CT35" s="38">
        <f t="shared" si="35"/>
        <v>1</v>
      </c>
      <c r="CU35" s="498">
        <f t="shared" si="36"/>
        <v>1</v>
      </c>
    </row>
    <row r="36" spans="1:99">
      <c r="A36" s="499">
        <f t="shared" si="9"/>
        <v>1</v>
      </c>
      <c r="B36">
        <v>146</v>
      </c>
      <c r="C36">
        <v>145</v>
      </c>
      <c r="D36" t="s">
        <v>1043</v>
      </c>
      <c r="E36">
        <v>145</v>
      </c>
      <c r="F36">
        <v>0</v>
      </c>
      <c r="G36">
        <v>1</v>
      </c>
      <c r="H36">
        <v>483</v>
      </c>
      <c r="I36">
        <v>4</v>
      </c>
      <c r="J36">
        <v>349162.45109699998</v>
      </c>
      <c r="K36">
        <v>4960944.6334330002</v>
      </c>
      <c r="L36">
        <v>349579.02266000002</v>
      </c>
      <c r="M36">
        <v>4961178.2217819998</v>
      </c>
      <c r="N36">
        <v>6208.5</v>
      </c>
      <c r="O36">
        <v>14.867652</v>
      </c>
      <c r="P36">
        <v>14.867652</v>
      </c>
      <c r="Q36">
        <v>3</v>
      </c>
      <c r="R36">
        <v>-6658.13</v>
      </c>
      <c r="S36">
        <v>-6657.65</v>
      </c>
      <c r="T36">
        <v>-6657.1833329999999</v>
      </c>
      <c r="U36">
        <v>-6656.32</v>
      </c>
      <c r="V36">
        <v>-6658.0966669999998</v>
      </c>
      <c r="W36">
        <v>-6657.2433330000003</v>
      </c>
      <c r="X36">
        <v>-6657.3833329999998</v>
      </c>
      <c r="Y36">
        <v>-6658.3733329999995</v>
      </c>
      <c r="Z36">
        <v>-6659.09</v>
      </c>
      <c r="AA36">
        <v>-5941.6666670000004</v>
      </c>
      <c r="AB36">
        <v>23681447.666666999</v>
      </c>
      <c r="AC36">
        <v>22.314444000000002</v>
      </c>
      <c r="AD36">
        <v>27.710276</v>
      </c>
      <c r="AE36">
        <v>75</v>
      </c>
      <c r="AF36">
        <v>447</v>
      </c>
      <c r="AG36">
        <v>5233.8962410000004</v>
      </c>
      <c r="AH36">
        <v>375202.02956900001</v>
      </c>
      <c r="AI36">
        <v>1000.6593329999999</v>
      </c>
      <c r="AJ36" s="499">
        <v>32</v>
      </c>
      <c r="AK36" s="499">
        <f t="shared" si="13"/>
        <v>33.055304669999998</v>
      </c>
      <c r="AL36" s="15">
        <f t="shared" si="3"/>
        <v>60.395304670000002</v>
      </c>
      <c r="AM36" s="15"/>
      <c r="AN36" s="499">
        <f t="shared" si="71"/>
        <v>19.703652620967734</v>
      </c>
      <c r="AO36" s="499">
        <f t="shared" si="72"/>
        <v>24.537765725806455</v>
      </c>
      <c r="AP36" s="499">
        <f t="shared" si="73"/>
        <v>24.325248000590655</v>
      </c>
      <c r="AQ36" s="499"/>
      <c r="AR36" s="228">
        <v>23.610721999999999</v>
      </c>
      <c r="AS36" s="13">
        <v>322</v>
      </c>
      <c r="AT36" s="13">
        <v>1.9494929999999999</v>
      </c>
      <c r="AU36" s="13">
        <f t="shared" si="47"/>
        <v>0</v>
      </c>
      <c r="AV36" s="13">
        <f t="shared" si="38"/>
        <v>23.610721999999999</v>
      </c>
      <c r="AW36" s="13">
        <f t="shared" si="39"/>
        <v>23.610721999999999</v>
      </c>
      <c r="AX36" s="13">
        <f t="shared" si="40"/>
        <v>23.610721999999999</v>
      </c>
      <c r="AY36" s="13">
        <v>878.943623</v>
      </c>
      <c r="AZ36" s="13">
        <f t="shared" si="41"/>
        <v>0</v>
      </c>
      <c r="BA36" s="13">
        <f t="shared" si="42"/>
        <v>0</v>
      </c>
      <c r="BB36" s="97">
        <f t="shared" si="43"/>
        <v>0</v>
      </c>
      <c r="BC36" s="499"/>
      <c r="BD36" s="499">
        <v>106.75</v>
      </c>
      <c r="BE36" s="499">
        <v>23.641782459677412</v>
      </c>
      <c r="BF36" s="499">
        <v>20.902679032258074</v>
      </c>
      <c r="BG36" s="499">
        <v>18.712875452257329</v>
      </c>
      <c r="BI36" s="499">
        <f t="shared" ref="BI36:BJ36" si="75">AS39</f>
        <v>456</v>
      </c>
      <c r="BJ36" s="499">
        <f t="shared" si="75"/>
        <v>2.0221840000000002</v>
      </c>
      <c r="BK36" s="5">
        <f t="shared" si="15"/>
        <v>0</v>
      </c>
      <c r="BL36" s="499">
        <f t="shared" si="16"/>
        <v>20.73527</v>
      </c>
      <c r="BM36" s="499">
        <f t="shared" si="17"/>
        <v>1618.851672</v>
      </c>
      <c r="BO36" s="499">
        <f t="shared" si="18"/>
        <v>456</v>
      </c>
      <c r="BP36" s="499">
        <f t="shared" si="19"/>
        <v>2.0221840000000002</v>
      </c>
      <c r="BQ36" s="5">
        <f t="shared" si="20"/>
        <v>0</v>
      </c>
      <c r="BR36" s="499">
        <f t="shared" si="21"/>
        <v>20.73527</v>
      </c>
      <c r="BS36" s="499">
        <f t="shared" si="11"/>
        <v>1618.851672</v>
      </c>
      <c r="BU36" s="499">
        <f t="shared" si="22"/>
        <v>456</v>
      </c>
      <c r="BV36" s="499">
        <f t="shared" si="23"/>
        <v>2.0221840000000002</v>
      </c>
      <c r="BW36" s="5">
        <f t="shared" si="12"/>
        <v>0</v>
      </c>
      <c r="BX36" s="499">
        <f t="shared" si="24"/>
        <v>20.73527</v>
      </c>
      <c r="BY36" s="499">
        <f t="shared" si="25"/>
        <v>1618.851672</v>
      </c>
      <c r="CA36">
        <v>456</v>
      </c>
      <c r="CB36">
        <v>2.0221840000000002</v>
      </c>
      <c r="CC36">
        <v>0</v>
      </c>
      <c r="CD36">
        <v>20.73527</v>
      </c>
      <c r="CE36">
        <v>1618.851672</v>
      </c>
      <c r="CG36" s="499">
        <f t="shared" si="26"/>
        <v>0</v>
      </c>
      <c r="CH36" s="499">
        <f t="shared" si="27"/>
        <v>0</v>
      </c>
      <c r="CI36" s="499">
        <f t="shared" si="28"/>
        <v>0</v>
      </c>
      <c r="CJ36" s="499">
        <f t="shared" si="29"/>
        <v>0</v>
      </c>
      <c r="CP36" s="499"/>
      <c r="CQ36" s="65">
        <f t="shared" si="32"/>
        <v>0.97858753410700106</v>
      </c>
      <c r="CR36" s="499">
        <f t="shared" si="33"/>
        <v>0.97858753410700106</v>
      </c>
      <c r="CS36" s="499">
        <f t="shared" si="34"/>
        <v>0.97858753410700106</v>
      </c>
      <c r="CT36" s="38">
        <f t="shared" si="35"/>
        <v>1</v>
      </c>
      <c r="CU36" s="498">
        <f t="shared" si="36"/>
        <v>1</v>
      </c>
    </row>
    <row r="37" spans="1:99">
      <c r="A37" s="499">
        <f t="shared" si="9"/>
        <v>1</v>
      </c>
      <c r="B37">
        <v>463</v>
      </c>
      <c r="C37">
        <v>462</v>
      </c>
      <c r="D37" t="s">
        <v>1043</v>
      </c>
      <c r="E37">
        <v>462</v>
      </c>
      <c r="F37">
        <v>0</v>
      </c>
      <c r="G37">
        <v>0.9</v>
      </c>
      <c r="H37">
        <v>482</v>
      </c>
      <c r="I37">
        <v>4</v>
      </c>
      <c r="J37">
        <v>348907.731593</v>
      </c>
      <c r="K37">
        <v>4961807.4450650001</v>
      </c>
      <c r="L37">
        <v>349074.84578700003</v>
      </c>
      <c r="M37">
        <v>4962001.35348</v>
      </c>
      <c r="N37">
        <v>6212.5</v>
      </c>
      <c r="O37">
        <v>15.020261</v>
      </c>
      <c r="P37">
        <v>15.020261</v>
      </c>
      <c r="Q37">
        <v>3</v>
      </c>
      <c r="R37">
        <v>-6657.7166669999997</v>
      </c>
      <c r="S37">
        <v>-6657.0533329999998</v>
      </c>
      <c r="T37">
        <v>-6656.67</v>
      </c>
      <c r="U37">
        <v>-6655.7366670000001</v>
      </c>
      <c r="V37">
        <v>-6657.49</v>
      </c>
      <c r="W37">
        <v>-6656.6566670000002</v>
      </c>
      <c r="X37">
        <v>-6656.7966669999996</v>
      </c>
      <c r="Y37">
        <v>-6658.0166669999999</v>
      </c>
      <c r="Z37">
        <v>-6658.7066670000004</v>
      </c>
      <c r="AA37">
        <v>-5902.6666670000004</v>
      </c>
      <c r="AB37">
        <v>23681304.333333001</v>
      </c>
      <c r="AC37">
        <v>22.895185000000001</v>
      </c>
      <c r="AD37">
        <v>28.477941000000001</v>
      </c>
      <c r="AE37">
        <v>75</v>
      </c>
      <c r="AF37">
        <v>453.66666700000002</v>
      </c>
      <c r="AG37">
        <v>4851.6963960000003</v>
      </c>
      <c r="AH37">
        <v>346518.87289300002</v>
      </c>
      <c r="AI37">
        <v>879.211457</v>
      </c>
      <c r="AJ37" s="499">
        <v>32</v>
      </c>
      <c r="AK37" s="499">
        <f t="shared" si="13"/>
        <v>34.055964003</v>
      </c>
      <c r="AL37" s="15">
        <f t="shared" si="3"/>
        <v>61.395964003000003</v>
      </c>
      <c r="AM37" s="15"/>
      <c r="AN37" s="499">
        <f t="shared" si="71"/>
        <v>19.825934475806449</v>
      </c>
      <c r="AO37" s="499">
        <f t="shared" si="72"/>
        <v>23.379095564516128</v>
      </c>
      <c r="AP37" s="499">
        <f t="shared" si="73"/>
        <v>23.429844118969772</v>
      </c>
      <c r="AQ37" s="499"/>
      <c r="AR37" s="228">
        <v>19.295921</v>
      </c>
      <c r="AS37" s="13">
        <v>174</v>
      </c>
      <c r="AT37" s="13">
        <v>1.9793810000000001</v>
      </c>
      <c r="AU37" s="13">
        <f t="shared" si="47"/>
        <v>0</v>
      </c>
      <c r="AV37" s="13">
        <f t="shared" si="38"/>
        <v>19.295921</v>
      </c>
      <c r="AW37" s="13">
        <f t="shared" si="39"/>
        <v>19.295921</v>
      </c>
      <c r="AX37" s="13">
        <f t="shared" si="40"/>
        <v>19.295921</v>
      </c>
      <c r="AY37" s="13">
        <v>870.36807699999997</v>
      </c>
      <c r="AZ37" s="13">
        <f t="shared" si="41"/>
        <v>0</v>
      </c>
      <c r="BA37" s="13">
        <f t="shared" si="42"/>
        <v>0</v>
      </c>
      <c r="BB37" s="97">
        <f t="shared" si="43"/>
        <v>0</v>
      </c>
      <c r="BC37" s="499"/>
      <c r="BD37" s="499">
        <v>106.55</v>
      </c>
      <c r="BE37" s="499">
        <v>23.585112903225809</v>
      </c>
      <c r="BF37" s="499">
        <v>20.865411895161291</v>
      </c>
      <c r="BG37" s="499">
        <v>18.766644625380042</v>
      </c>
      <c r="BI37" s="499">
        <f t="shared" ref="BI37:BJ37" si="76">AS40</f>
        <v>41</v>
      </c>
      <c r="BJ37" s="499">
        <f t="shared" si="76"/>
        <v>2.030529</v>
      </c>
      <c r="BK37" s="5">
        <f t="shared" si="15"/>
        <v>0</v>
      </c>
      <c r="BL37" s="499">
        <f t="shared" si="16"/>
        <v>21.148700000000002</v>
      </c>
      <c r="BM37" s="499">
        <f t="shared" si="17"/>
        <v>1000.828038</v>
      </c>
      <c r="BO37" s="499">
        <f t="shared" si="18"/>
        <v>41</v>
      </c>
      <c r="BP37" s="499">
        <f t="shared" si="19"/>
        <v>2.030529</v>
      </c>
      <c r="BQ37" s="5">
        <f t="shared" si="20"/>
        <v>0</v>
      </c>
      <c r="BR37" s="499">
        <f t="shared" si="21"/>
        <v>21.148700000000002</v>
      </c>
      <c r="BS37" s="499">
        <f t="shared" si="11"/>
        <v>1000.828038</v>
      </c>
      <c r="BU37" s="499">
        <f t="shared" si="22"/>
        <v>41</v>
      </c>
      <c r="BV37" s="499">
        <f t="shared" si="23"/>
        <v>2.030529</v>
      </c>
      <c r="BW37" s="5">
        <f t="shared" si="12"/>
        <v>0</v>
      </c>
      <c r="BX37" s="499">
        <f t="shared" si="24"/>
        <v>21.148700000000002</v>
      </c>
      <c r="BY37" s="499">
        <f t="shared" si="25"/>
        <v>1000.828038</v>
      </c>
      <c r="CA37">
        <v>41</v>
      </c>
      <c r="CB37">
        <v>2.030529</v>
      </c>
      <c r="CC37">
        <v>0</v>
      </c>
      <c r="CD37">
        <v>21.148700000000002</v>
      </c>
      <c r="CE37">
        <v>1000.828038</v>
      </c>
      <c r="CG37" s="499">
        <f t="shared" si="26"/>
        <v>0</v>
      </c>
      <c r="CH37" s="499">
        <f t="shared" si="27"/>
        <v>0</v>
      </c>
      <c r="CI37" s="499">
        <f t="shared" si="28"/>
        <v>0</v>
      </c>
      <c r="CJ37" s="499">
        <f t="shared" si="29"/>
        <v>0</v>
      </c>
      <c r="CP37" s="499"/>
      <c r="CQ37" s="65">
        <f t="shared" si="32"/>
        <v>0.97812126981210734</v>
      </c>
      <c r="CR37" s="499">
        <f t="shared" si="33"/>
        <v>0.97812126981210734</v>
      </c>
      <c r="CS37" s="499">
        <f t="shared" si="34"/>
        <v>0.97812126981210734</v>
      </c>
      <c r="CT37" s="38">
        <f t="shared" si="35"/>
        <v>1</v>
      </c>
      <c r="CU37" s="498">
        <f t="shared" si="36"/>
        <v>1</v>
      </c>
    </row>
    <row r="38" spans="1:99">
      <c r="A38" s="499">
        <f t="shared" si="9"/>
        <v>1</v>
      </c>
      <c r="B38">
        <v>243</v>
      </c>
      <c r="C38">
        <v>242</v>
      </c>
      <c r="D38" t="s">
        <v>1043</v>
      </c>
      <c r="E38">
        <v>242</v>
      </c>
      <c r="F38">
        <v>0</v>
      </c>
      <c r="G38">
        <v>1</v>
      </c>
      <c r="H38">
        <v>481</v>
      </c>
      <c r="I38">
        <v>4</v>
      </c>
      <c r="J38">
        <v>349835.58936699998</v>
      </c>
      <c r="K38">
        <v>4960183.3813650003</v>
      </c>
      <c r="L38">
        <v>349979.17390300002</v>
      </c>
      <c r="M38">
        <v>4960465.2923349999</v>
      </c>
      <c r="N38">
        <v>6204.5</v>
      </c>
      <c r="O38">
        <v>14.007412</v>
      </c>
      <c r="P38">
        <v>14.007412</v>
      </c>
      <c r="Q38">
        <v>1</v>
      </c>
      <c r="R38">
        <v>-9999</v>
      </c>
      <c r="S38">
        <v>-9999</v>
      </c>
      <c r="T38">
        <v>-9999</v>
      </c>
      <c r="U38">
        <v>-9999</v>
      </c>
      <c r="V38">
        <v>-9999</v>
      </c>
      <c r="W38">
        <v>-9999</v>
      </c>
      <c r="X38">
        <v>-9999</v>
      </c>
      <c r="Y38">
        <v>-9999</v>
      </c>
      <c r="Z38">
        <v>-9999</v>
      </c>
      <c r="AA38">
        <v>-9999</v>
      </c>
      <c r="AB38">
        <v>23681233</v>
      </c>
      <c r="AC38">
        <v>21</v>
      </c>
      <c r="AD38">
        <v>25.373000000000001</v>
      </c>
      <c r="AE38">
        <v>75</v>
      </c>
      <c r="AF38">
        <v>428</v>
      </c>
      <c r="AG38">
        <v>2898.4549499999998</v>
      </c>
      <c r="AH38">
        <v>199870.80530899999</v>
      </c>
      <c r="AI38">
        <v>1000.369002</v>
      </c>
      <c r="AJ38" s="499">
        <v>33</v>
      </c>
      <c r="AK38" s="499">
        <f t="shared" si="13"/>
        <v>34.935175459999996</v>
      </c>
      <c r="AL38" s="15">
        <f t="shared" si="3"/>
        <v>62.27517546</v>
      </c>
      <c r="AM38" s="15"/>
      <c r="AN38" s="499">
        <f t="shared" si="71"/>
        <v>19.927262096774196</v>
      </c>
      <c r="AO38" s="499">
        <f t="shared" si="72"/>
        <v>22.987614112903231</v>
      </c>
      <c r="AP38" s="499">
        <f t="shared" si="73"/>
        <v>22.945752365641024</v>
      </c>
      <c r="AQ38" s="499"/>
      <c r="AR38" s="228">
        <v>20.233028999999998</v>
      </c>
      <c r="AS38" s="13">
        <v>452</v>
      </c>
      <c r="AT38" s="13">
        <v>2.0018189999999998</v>
      </c>
      <c r="AU38" s="13">
        <f t="shared" si="47"/>
        <v>0</v>
      </c>
      <c r="AV38" s="13">
        <f t="shared" si="38"/>
        <v>20.233028999999998</v>
      </c>
      <c r="AW38" s="13">
        <f t="shared" si="39"/>
        <v>20.233028999999998</v>
      </c>
      <c r="AX38" s="13">
        <f t="shared" si="40"/>
        <v>20.233028999999998</v>
      </c>
      <c r="AY38" s="13">
        <v>666.07231100000001</v>
      </c>
      <c r="AZ38" s="13">
        <f t="shared" si="41"/>
        <v>0</v>
      </c>
      <c r="BA38" s="13">
        <f t="shared" si="42"/>
        <v>0</v>
      </c>
      <c r="BB38" s="97">
        <f t="shared" si="43"/>
        <v>0</v>
      </c>
      <c r="BC38" s="499"/>
      <c r="BD38" s="499">
        <v>106.35</v>
      </c>
      <c r="BE38" s="499">
        <v>23.527933467741942</v>
      </c>
      <c r="BF38" s="499">
        <v>20.841319153225818</v>
      </c>
      <c r="BG38" s="499">
        <v>18.86051507709707</v>
      </c>
      <c r="BI38" s="499">
        <f t="shared" ref="BI38:BJ38" si="77">AS41</f>
        <v>263</v>
      </c>
      <c r="BJ38" s="499">
        <f t="shared" si="77"/>
        <v>2.0446360000000001</v>
      </c>
      <c r="BK38" s="5">
        <f t="shared" si="15"/>
        <v>0</v>
      </c>
      <c r="BL38" s="499">
        <f t="shared" si="16"/>
        <v>22.592642000000001</v>
      </c>
      <c r="BM38" s="499">
        <f t="shared" si="17"/>
        <v>998.96187699999996</v>
      </c>
      <c r="BO38" s="499">
        <f t="shared" si="18"/>
        <v>263</v>
      </c>
      <c r="BP38" s="499">
        <f t="shared" si="19"/>
        <v>2.0446360000000001</v>
      </c>
      <c r="BQ38" s="5">
        <f t="shared" si="20"/>
        <v>0</v>
      </c>
      <c r="BR38" s="499">
        <f t="shared" si="21"/>
        <v>22.592642000000001</v>
      </c>
      <c r="BS38" s="499">
        <f t="shared" si="11"/>
        <v>998.96187699999996</v>
      </c>
      <c r="BU38" s="499">
        <f t="shared" si="22"/>
        <v>263</v>
      </c>
      <c r="BV38" s="499">
        <f t="shared" si="23"/>
        <v>2.0446360000000001</v>
      </c>
      <c r="BW38" s="5">
        <f t="shared" si="12"/>
        <v>0</v>
      </c>
      <c r="BX38" s="499">
        <f t="shared" si="24"/>
        <v>22.592642000000001</v>
      </c>
      <c r="BY38" s="499">
        <f t="shared" si="25"/>
        <v>998.96187699999996</v>
      </c>
      <c r="CA38">
        <v>263</v>
      </c>
      <c r="CB38">
        <v>2.0446360000000001</v>
      </c>
      <c r="CC38">
        <v>0</v>
      </c>
      <c r="CD38">
        <v>22.592642000000001</v>
      </c>
      <c r="CE38">
        <v>998.96187699999996</v>
      </c>
      <c r="CG38" s="499">
        <f t="shared" si="26"/>
        <v>0</v>
      </c>
      <c r="CH38" s="499">
        <f t="shared" si="27"/>
        <v>0</v>
      </c>
      <c r="CI38" s="499">
        <f t="shared" si="28"/>
        <v>0</v>
      </c>
      <c r="CJ38" s="499">
        <f t="shared" si="29"/>
        <v>0</v>
      </c>
      <c r="CP38" s="499"/>
      <c r="CQ38" s="65">
        <f t="shared" si="32"/>
        <v>0.97718191183945025</v>
      </c>
      <c r="CR38" s="499">
        <f t="shared" si="33"/>
        <v>0.97718191183945025</v>
      </c>
      <c r="CS38" s="499">
        <f t="shared" si="34"/>
        <v>0.97718191183945025</v>
      </c>
      <c r="CT38" s="38">
        <f t="shared" si="35"/>
        <v>1</v>
      </c>
      <c r="CU38" s="498">
        <f t="shared" si="36"/>
        <v>1</v>
      </c>
    </row>
    <row r="39" spans="1:99">
      <c r="A39" s="499">
        <f t="shared" si="9"/>
        <v>1</v>
      </c>
      <c r="B39">
        <v>94</v>
      </c>
      <c r="C39">
        <v>93</v>
      </c>
      <c r="D39" t="s">
        <v>1043</v>
      </c>
      <c r="E39">
        <v>93</v>
      </c>
      <c r="F39">
        <v>0</v>
      </c>
      <c r="G39">
        <v>1.1000000000000001</v>
      </c>
      <c r="H39">
        <v>480</v>
      </c>
      <c r="I39">
        <v>4</v>
      </c>
      <c r="J39">
        <v>350174.02536799997</v>
      </c>
      <c r="K39">
        <v>4959449.8271169998</v>
      </c>
      <c r="L39">
        <v>350136.18297800003</v>
      </c>
      <c r="M39">
        <v>4959714.5190970004</v>
      </c>
      <c r="N39">
        <v>6200.5</v>
      </c>
      <c r="O39">
        <v>15.507129000000001</v>
      </c>
      <c r="P39">
        <v>15.507129000000001</v>
      </c>
      <c r="Q39">
        <v>5</v>
      </c>
      <c r="R39">
        <v>-5990.2539999999999</v>
      </c>
      <c r="S39">
        <v>-5989.7839999999997</v>
      </c>
      <c r="T39">
        <v>-5989.1980000000003</v>
      </c>
      <c r="U39">
        <v>-5988.26</v>
      </c>
      <c r="V39">
        <v>-5990.25</v>
      </c>
      <c r="W39">
        <v>-5989.3339999999998</v>
      </c>
      <c r="X39">
        <v>-5989.598</v>
      </c>
      <c r="Y39">
        <v>-5990.76</v>
      </c>
      <c r="Z39">
        <v>-5991.7439999999997</v>
      </c>
      <c r="AA39">
        <v>-5119</v>
      </c>
      <c r="AB39">
        <v>23681512.600000001</v>
      </c>
      <c r="AC39">
        <v>22.070889000000001</v>
      </c>
      <c r="AD39">
        <v>27.509188000000002</v>
      </c>
      <c r="AE39">
        <v>75</v>
      </c>
      <c r="AF39">
        <v>426.2</v>
      </c>
      <c r="AG39">
        <v>6575.8613519999999</v>
      </c>
      <c r="AH39">
        <v>475840.58440200001</v>
      </c>
      <c r="AI39">
        <v>1057.904012</v>
      </c>
      <c r="AJ39" s="499">
        <v>34</v>
      </c>
      <c r="AK39" s="499">
        <f t="shared" si="13"/>
        <v>35.935544461999996</v>
      </c>
      <c r="AL39" s="15">
        <f t="shared" si="3"/>
        <v>63.275544461999999</v>
      </c>
      <c r="AM39" s="15"/>
      <c r="AN39" s="499">
        <f t="shared" si="71"/>
        <v>20.087923790322574</v>
      </c>
      <c r="AO39" s="499">
        <f t="shared" si="72"/>
        <v>23.314276209677431</v>
      </c>
      <c r="AP39" s="499">
        <f t="shared" si="73"/>
        <v>23.077576646222528</v>
      </c>
      <c r="AQ39" s="499"/>
      <c r="AR39" s="228">
        <v>20.73527</v>
      </c>
      <c r="AS39" s="13">
        <v>456</v>
      </c>
      <c r="AT39" s="13">
        <v>2.0221840000000002</v>
      </c>
      <c r="AU39" s="13">
        <f t="shared" si="47"/>
        <v>0</v>
      </c>
      <c r="AV39" s="13">
        <f t="shared" si="38"/>
        <v>20.73527</v>
      </c>
      <c r="AW39" s="13">
        <f t="shared" si="39"/>
        <v>20.73527</v>
      </c>
      <c r="AX39" s="13">
        <f t="shared" si="40"/>
        <v>20.73527</v>
      </c>
      <c r="AY39" s="13">
        <v>1618.851672</v>
      </c>
      <c r="AZ39" s="13">
        <f t="shared" si="41"/>
        <v>0</v>
      </c>
      <c r="BA39" s="13">
        <f t="shared" si="42"/>
        <v>0</v>
      </c>
      <c r="BB39" s="97">
        <f t="shared" si="43"/>
        <v>0</v>
      </c>
      <c r="BC39" s="499"/>
      <c r="BD39" s="499">
        <v>106.15</v>
      </c>
      <c r="BE39" s="499">
        <v>23.460622580645161</v>
      </c>
      <c r="BF39" s="499">
        <v>20.822620362903223</v>
      </c>
      <c r="BG39" s="499">
        <v>18.926776916456042</v>
      </c>
      <c r="BI39" s="499">
        <f t="shared" ref="BI39:BJ39" si="78">AS42</f>
        <v>129</v>
      </c>
      <c r="BJ39" s="499">
        <f t="shared" si="78"/>
        <v>2.0762320000000001</v>
      </c>
      <c r="BK39" s="5">
        <f t="shared" si="15"/>
        <v>0</v>
      </c>
      <c r="BL39" s="499">
        <f t="shared" si="16"/>
        <v>18.952926999999999</v>
      </c>
      <c r="BM39" s="499">
        <f t="shared" si="17"/>
        <v>1706.8646180000001</v>
      </c>
      <c r="BO39" s="499">
        <f t="shared" si="18"/>
        <v>129</v>
      </c>
      <c r="BP39" s="499">
        <f t="shared" si="19"/>
        <v>2.0762320000000001</v>
      </c>
      <c r="BQ39" s="5">
        <f t="shared" si="20"/>
        <v>0</v>
      </c>
      <c r="BR39" s="499">
        <f t="shared" si="21"/>
        <v>18.952926999999999</v>
      </c>
      <c r="BS39" s="499">
        <f t="shared" si="11"/>
        <v>1706.8646180000001</v>
      </c>
      <c r="BU39" s="499">
        <f t="shared" si="22"/>
        <v>129</v>
      </c>
      <c r="BV39" s="499">
        <f t="shared" si="23"/>
        <v>2.0762320000000001</v>
      </c>
      <c r="BW39" s="5">
        <f t="shared" si="12"/>
        <v>0</v>
      </c>
      <c r="BX39" s="499">
        <f t="shared" si="24"/>
        <v>18.952926999999999</v>
      </c>
      <c r="BY39" s="499">
        <f t="shared" si="25"/>
        <v>1706.8646180000001</v>
      </c>
      <c r="CA39">
        <v>129</v>
      </c>
      <c r="CB39">
        <v>2.0762320000000001</v>
      </c>
      <c r="CC39">
        <v>0</v>
      </c>
      <c r="CD39">
        <v>18.952926999999999</v>
      </c>
      <c r="CE39">
        <v>1706.8646180000001</v>
      </c>
      <c r="CG39" s="499">
        <f t="shared" si="26"/>
        <v>0</v>
      </c>
      <c r="CH39" s="499">
        <f t="shared" si="27"/>
        <v>0</v>
      </c>
      <c r="CI39" s="499">
        <f t="shared" si="28"/>
        <v>0</v>
      </c>
      <c r="CJ39" s="499">
        <f t="shared" si="29"/>
        <v>0</v>
      </c>
      <c r="CP39" s="499"/>
      <c r="CQ39" s="65">
        <f t="shared" si="32"/>
        <v>0.95011359251923333</v>
      </c>
      <c r="CR39" s="499">
        <f t="shared" si="33"/>
        <v>0.95011359251923333</v>
      </c>
      <c r="CS39" s="499">
        <f t="shared" si="34"/>
        <v>0.95011359251923333</v>
      </c>
      <c r="CT39" s="38">
        <f t="shared" si="35"/>
        <v>1</v>
      </c>
      <c r="CU39" s="498">
        <f t="shared" si="36"/>
        <v>1</v>
      </c>
    </row>
    <row r="40" spans="1:99">
      <c r="A40" s="499">
        <f t="shared" si="9"/>
        <v>1</v>
      </c>
      <c r="B40">
        <v>455</v>
      </c>
      <c r="C40">
        <v>454</v>
      </c>
      <c r="D40" t="s">
        <v>1043</v>
      </c>
      <c r="E40">
        <v>454</v>
      </c>
      <c r="F40">
        <v>0</v>
      </c>
      <c r="G40">
        <v>1.3</v>
      </c>
      <c r="H40">
        <v>471</v>
      </c>
      <c r="I40">
        <v>6</v>
      </c>
      <c r="J40">
        <v>351004.91560200002</v>
      </c>
      <c r="K40">
        <v>4959213.2505000001</v>
      </c>
      <c r="L40">
        <v>351066.40221999999</v>
      </c>
      <c r="M40">
        <v>4959581.7522499999</v>
      </c>
      <c r="N40">
        <v>6067.5</v>
      </c>
      <c r="O40">
        <v>14.676373999999999</v>
      </c>
      <c r="P40">
        <v>14.676373999999999</v>
      </c>
      <c r="Q40">
        <v>3</v>
      </c>
      <c r="R40">
        <v>-6657.853333</v>
      </c>
      <c r="S40">
        <v>-6657.38</v>
      </c>
      <c r="T40">
        <v>-6656.87</v>
      </c>
      <c r="U40">
        <v>-6656.0533329999998</v>
      </c>
      <c r="V40">
        <v>-6657.8366669999996</v>
      </c>
      <c r="W40">
        <v>-6656.9533330000004</v>
      </c>
      <c r="X40">
        <v>-6657.19</v>
      </c>
      <c r="Y40">
        <v>-6658.24</v>
      </c>
      <c r="Z40">
        <v>-6659.09</v>
      </c>
      <c r="AA40">
        <v>-5937.3333329999996</v>
      </c>
      <c r="AB40">
        <v>23681443</v>
      </c>
      <c r="AC40">
        <v>22.470369999999999</v>
      </c>
      <c r="AD40">
        <v>27.957811</v>
      </c>
      <c r="AE40">
        <v>75</v>
      </c>
      <c r="AF40">
        <v>427.66666700000002</v>
      </c>
      <c r="AG40">
        <v>5051.9193150000001</v>
      </c>
      <c r="AH40">
        <v>361549.42037800001</v>
      </c>
      <c r="AI40">
        <v>1289.971456</v>
      </c>
      <c r="AJ40" s="499">
        <v>35</v>
      </c>
      <c r="AK40" s="499">
        <f t="shared" si="13"/>
        <v>36.993448473999997</v>
      </c>
      <c r="AL40" s="15">
        <f t="shared" si="3"/>
        <v>64.333448473999994</v>
      </c>
      <c r="AM40" s="15"/>
      <c r="AN40" s="499">
        <f t="shared" si="71"/>
        <v>20.252622983870967</v>
      </c>
      <c r="AO40" s="499">
        <f t="shared" si="72"/>
        <v>24.568302620967735</v>
      </c>
      <c r="AP40" s="499">
        <f t="shared" si="73"/>
        <v>23.974562957820506</v>
      </c>
      <c r="AQ40" s="499"/>
      <c r="AR40" s="228">
        <v>21.148700000000002</v>
      </c>
      <c r="AS40" s="13">
        <v>41</v>
      </c>
      <c r="AT40" s="13">
        <v>2.030529</v>
      </c>
      <c r="AU40" s="13">
        <f t="shared" si="47"/>
        <v>0</v>
      </c>
      <c r="AV40" s="13">
        <f t="shared" si="38"/>
        <v>21.148700000000002</v>
      </c>
      <c r="AW40" s="13">
        <f t="shared" si="39"/>
        <v>21.148700000000002</v>
      </c>
      <c r="AX40" s="13">
        <f t="shared" si="40"/>
        <v>21.148700000000002</v>
      </c>
      <c r="AY40" s="13">
        <v>1000.828038</v>
      </c>
      <c r="AZ40" s="13">
        <f t="shared" si="41"/>
        <v>0</v>
      </c>
      <c r="BA40" s="13">
        <f t="shared" si="42"/>
        <v>0</v>
      </c>
      <c r="BB40" s="97">
        <f t="shared" si="43"/>
        <v>0</v>
      </c>
      <c r="BC40" s="499"/>
      <c r="BD40" s="499">
        <v>105.95</v>
      </c>
      <c r="BE40" s="499">
        <v>23.384680443548387</v>
      </c>
      <c r="BF40" s="499">
        <v>20.809879233870973</v>
      </c>
      <c r="BG40" s="499">
        <v>19.002220258260074</v>
      </c>
      <c r="BI40" s="499">
        <f t="shared" ref="BI40:BJ40" si="79">AS43</f>
        <v>185</v>
      </c>
      <c r="BJ40" s="499">
        <f t="shared" si="79"/>
        <v>2.0805699999999998</v>
      </c>
      <c r="BK40" s="5">
        <f t="shared" si="15"/>
        <v>0</v>
      </c>
      <c r="BL40" s="499">
        <f t="shared" si="16"/>
        <v>20.306528</v>
      </c>
      <c r="BM40" s="499">
        <f t="shared" si="17"/>
        <v>652.42369399999995</v>
      </c>
      <c r="BO40" s="499">
        <f t="shared" si="18"/>
        <v>185</v>
      </c>
      <c r="BP40" s="499">
        <f t="shared" si="19"/>
        <v>2.0805699999999998</v>
      </c>
      <c r="BQ40" s="5">
        <f t="shared" si="20"/>
        <v>0</v>
      </c>
      <c r="BR40" s="499">
        <f t="shared" si="21"/>
        <v>20.306528</v>
      </c>
      <c r="BS40" s="499">
        <f t="shared" si="11"/>
        <v>652.42369399999995</v>
      </c>
      <c r="BU40" s="499">
        <f t="shared" si="22"/>
        <v>185</v>
      </c>
      <c r="BV40" s="499">
        <f t="shared" si="23"/>
        <v>2.0805699999999998</v>
      </c>
      <c r="BW40" s="5">
        <f t="shared" si="12"/>
        <v>0</v>
      </c>
      <c r="BX40" s="499">
        <f t="shared" si="24"/>
        <v>20.306528</v>
      </c>
      <c r="BY40" s="499">
        <f t="shared" si="25"/>
        <v>652.42369399999995</v>
      </c>
      <c r="CA40">
        <v>185</v>
      </c>
      <c r="CB40">
        <v>2.0805699999999998</v>
      </c>
      <c r="CC40">
        <v>0</v>
      </c>
      <c r="CD40">
        <v>20.306528</v>
      </c>
      <c r="CE40">
        <v>652.42369399999995</v>
      </c>
      <c r="CG40" s="499">
        <f t="shared" si="26"/>
        <v>0</v>
      </c>
      <c r="CH40" s="499">
        <f t="shared" si="27"/>
        <v>0</v>
      </c>
      <c r="CI40" s="499">
        <f t="shared" si="28"/>
        <v>0</v>
      </c>
      <c r="CJ40" s="499">
        <f t="shared" si="29"/>
        <v>0</v>
      </c>
      <c r="CP40" s="499"/>
      <c r="CQ40" s="65">
        <f t="shared" si="32"/>
        <v>0.97883857941225683</v>
      </c>
      <c r="CR40" s="499">
        <f t="shared" si="33"/>
        <v>0.97883857941225683</v>
      </c>
      <c r="CS40" s="499">
        <f t="shared" si="34"/>
        <v>0.97883857941225683</v>
      </c>
      <c r="CT40" s="38">
        <f t="shared" si="35"/>
        <v>1</v>
      </c>
      <c r="CU40" s="498">
        <f t="shared" si="36"/>
        <v>1</v>
      </c>
    </row>
    <row r="41" spans="1:99">
      <c r="A41" s="499">
        <f t="shared" si="9"/>
        <v>1</v>
      </c>
      <c r="B41">
        <v>409</v>
      </c>
      <c r="C41">
        <v>408</v>
      </c>
      <c r="D41" t="s">
        <v>1043</v>
      </c>
      <c r="E41">
        <v>408</v>
      </c>
      <c r="F41">
        <v>0</v>
      </c>
      <c r="G41">
        <v>0.6</v>
      </c>
      <c r="H41">
        <v>470</v>
      </c>
      <c r="I41">
        <v>2</v>
      </c>
      <c r="J41">
        <v>351313.89014500001</v>
      </c>
      <c r="K41">
        <v>4958582.7921749996</v>
      </c>
      <c r="L41">
        <v>351599.37211</v>
      </c>
      <c r="M41">
        <v>4958864.4903199999</v>
      </c>
      <c r="N41">
        <v>6063.5</v>
      </c>
      <c r="O41">
        <v>14.809559</v>
      </c>
      <c r="P41">
        <v>14.809559</v>
      </c>
      <c r="Q41">
        <v>5</v>
      </c>
      <c r="R41">
        <v>-5990.3119999999999</v>
      </c>
      <c r="S41">
        <v>-5989.9459999999999</v>
      </c>
      <c r="T41">
        <v>-5989.25</v>
      </c>
      <c r="U41">
        <v>-5988.326</v>
      </c>
      <c r="V41">
        <v>-5990.31</v>
      </c>
      <c r="W41">
        <v>-5989.59</v>
      </c>
      <c r="X41">
        <v>-5989.7539999999999</v>
      </c>
      <c r="Y41">
        <v>-5991.0940000000001</v>
      </c>
      <c r="Z41">
        <v>-5991.9059999999999</v>
      </c>
      <c r="AA41">
        <v>-5146.6000000000004</v>
      </c>
      <c r="AB41">
        <v>23681386.600000001</v>
      </c>
      <c r="AC41">
        <v>21.865777999999999</v>
      </c>
      <c r="AD41">
        <v>27.255911999999999</v>
      </c>
      <c r="AE41">
        <v>75</v>
      </c>
      <c r="AF41">
        <v>399.8</v>
      </c>
      <c r="AG41">
        <v>3998.7076950000001</v>
      </c>
      <c r="AH41">
        <v>282414.14983200002</v>
      </c>
      <c r="AI41">
        <v>614.75779999999997</v>
      </c>
      <c r="AJ41" s="499">
        <v>36</v>
      </c>
      <c r="AK41" s="499">
        <f t="shared" si="13"/>
        <v>38.283419929999994</v>
      </c>
      <c r="AL41" s="15">
        <f t="shared" si="3"/>
        <v>65.623419929999997</v>
      </c>
      <c r="AM41" s="15"/>
      <c r="AN41" s="499">
        <f t="shared" si="71"/>
        <v>20.42026834677419</v>
      </c>
      <c r="AO41" s="499">
        <f t="shared" si="72"/>
        <v>25.409885685483868</v>
      </c>
      <c r="AP41" s="499">
        <f t="shared" si="73"/>
        <v>24.468895157293964</v>
      </c>
      <c r="AQ41" s="499"/>
      <c r="AR41" s="228">
        <v>22.592642000000001</v>
      </c>
      <c r="AS41" s="13">
        <v>263</v>
      </c>
      <c r="AT41" s="13">
        <v>2.0446360000000001</v>
      </c>
      <c r="AU41" s="13">
        <f t="shared" si="47"/>
        <v>0</v>
      </c>
      <c r="AV41" s="13">
        <f t="shared" si="38"/>
        <v>22.592642000000001</v>
      </c>
      <c r="AW41" s="13">
        <f t="shared" si="39"/>
        <v>22.592642000000001</v>
      </c>
      <c r="AX41" s="13">
        <f t="shared" si="40"/>
        <v>22.592642000000001</v>
      </c>
      <c r="AY41" s="13">
        <v>998.96187699999996</v>
      </c>
      <c r="AZ41" s="13">
        <f t="shared" si="41"/>
        <v>0</v>
      </c>
      <c r="BA41" s="13">
        <f t="shared" si="42"/>
        <v>0</v>
      </c>
      <c r="BB41" s="97">
        <f t="shared" si="43"/>
        <v>0</v>
      </c>
      <c r="BC41" s="499"/>
      <c r="BD41" s="499">
        <v>105.75</v>
      </c>
      <c r="BE41" s="499">
        <v>23.304508669354842</v>
      </c>
      <c r="BF41" s="499">
        <v>20.797769354838707</v>
      </c>
      <c r="BG41" s="499">
        <v>19.0668216724359</v>
      </c>
      <c r="BI41" s="499">
        <f t="shared" ref="BI41:BJ41" si="80">AS44</f>
        <v>290</v>
      </c>
      <c r="BJ41" s="499">
        <f t="shared" si="80"/>
        <v>2.0998009999999998</v>
      </c>
      <c r="BK41" s="5">
        <f t="shared" si="15"/>
        <v>0</v>
      </c>
      <c r="BL41" s="499">
        <f t="shared" si="16"/>
        <v>20.306528</v>
      </c>
      <c r="BM41" s="499">
        <f t="shared" si="17"/>
        <v>1000.879637</v>
      </c>
      <c r="BO41" s="499">
        <f t="shared" si="18"/>
        <v>290</v>
      </c>
      <c r="BP41" s="499">
        <f t="shared" si="19"/>
        <v>2.0998009999999998</v>
      </c>
      <c r="BQ41" s="5">
        <f t="shared" si="20"/>
        <v>0</v>
      </c>
      <c r="BR41" s="499">
        <f t="shared" si="21"/>
        <v>20.306528</v>
      </c>
      <c r="BS41" s="499">
        <f t="shared" si="11"/>
        <v>1000.879637</v>
      </c>
      <c r="BU41" s="499">
        <f t="shared" si="22"/>
        <v>290</v>
      </c>
      <c r="BV41" s="499">
        <f t="shared" si="23"/>
        <v>2.0998009999999998</v>
      </c>
      <c r="BW41" s="5">
        <f t="shared" si="12"/>
        <v>0</v>
      </c>
      <c r="BX41" s="499">
        <f t="shared" si="24"/>
        <v>20.306528</v>
      </c>
      <c r="BY41" s="499">
        <f t="shared" si="25"/>
        <v>1000.879637</v>
      </c>
      <c r="CA41">
        <v>290</v>
      </c>
      <c r="CB41">
        <v>2.0998009999999998</v>
      </c>
      <c r="CC41">
        <v>0</v>
      </c>
      <c r="CD41">
        <v>20.306528</v>
      </c>
      <c r="CE41">
        <v>1000.879637</v>
      </c>
      <c r="CG41" s="499">
        <f t="shared" si="26"/>
        <v>0</v>
      </c>
      <c r="CH41" s="499">
        <f t="shared" si="27"/>
        <v>0</v>
      </c>
      <c r="CI41" s="499">
        <f t="shared" si="28"/>
        <v>0</v>
      </c>
      <c r="CJ41" s="499">
        <f t="shared" si="29"/>
        <v>0</v>
      </c>
      <c r="CP41" s="499"/>
      <c r="CQ41" s="65">
        <f t="shared" si="32"/>
        <v>0.97854470653130321</v>
      </c>
      <c r="CR41" s="499">
        <f t="shared" si="33"/>
        <v>0.97854470653130321</v>
      </c>
      <c r="CS41" s="499">
        <f t="shared" si="34"/>
        <v>0.97854470653130321</v>
      </c>
      <c r="CT41" s="38">
        <f t="shared" si="35"/>
        <v>1</v>
      </c>
      <c r="CU41" s="498">
        <f t="shared" si="36"/>
        <v>1</v>
      </c>
    </row>
    <row r="42" spans="1:99">
      <c r="A42" s="499">
        <f t="shared" si="9"/>
        <v>1</v>
      </c>
      <c r="B42">
        <v>210</v>
      </c>
      <c r="C42">
        <v>209</v>
      </c>
      <c r="D42" t="s">
        <v>1043</v>
      </c>
      <c r="E42">
        <v>209</v>
      </c>
      <c r="F42">
        <v>0</v>
      </c>
      <c r="G42">
        <v>0.7</v>
      </c>
      <c r="H42">
        <v>455</v>
      </c>
      <c r="I42">
        <v>3</v>
      </c>
      <c r="J42">
        <v>351756.20046999998</v>
      </c>
      <c r="K42">
        <v>4958234.4917400004</v>
      </c>
      <c r="L42">
        <v>351706.673733</v>
      </c>
      <c r="M42">
        <v>4958554.2932829997</v>
      </c>
      <c r="N42">
        <v>5632</v>
      </c>
      <c r="O42">
        <v>14.733886999999999</v>
      </c>
      <c r="P42">
        <v>14.733886999999999</v>
      </c>
      <c r="Q42">
        <v>3</v>
      </c>
      <c r="R42">
        <v>-6657.98</v>
      </c>
      <c r="S42">
        <v>-6657.64</v>
      </c>
      <c r="T42">
        <v>-6657.0933329999998</v>
      </c>
      <c r="U42">
        <v>-6656.3233330000003</v>
      </c>
      <c r="V42">
        <v>-6658.103333</v>
      </c>
      <c r="W42">
        <v>-6657.3766670000005</v>
      </c>
      <c r="X42">
        <v>-6657.4666669999997</v>
      </c>
      <c r="Y42">
        <v>-6658.7366670000001</v>
      </c>
      <c r="Z42">
        <v>-6659.3066669999998</v>
      </c>
      <c r="AA42">
        <v>-5979</v>
      </c>
      <c r="AB42">
        <v>23681240.333333001</v>
      </c>
      <c r="AC42">
        <v>22.119259</v>
      </c>
      <c r="AD42">
        <v>27.506598</v>
      </c>
      <c r="AE42">
        <v>75</v>
      </c>
      <c r="AF42">
        <v>399.66666700000002</v>
      </c>
      <c r="AG42">
        <v>3349.2571050000001</v>
      </c>
      <c r="AH42">
        <v>233749.00752300001</v>
      </c>
      <c r="AI42">
        <v>748.420885</v>
      </c>
      <c r="AJ42" s="499">
        <v>37</v>
      </c>
      <c r="AK42" s="499">
        <f t="shared" si="13"/>
        <v>38.898177729999993</v>
      </c>
      <c r="AL42" s="15">
        <f t="shared" si="3"/>
        <v>66.23817772999999</v>
      </c>
      <c r="AM42" s="15"/>
      <c r="AN42" s="499">
        <f t="shared" si="71"/>
        <v>20.318262903225808</v>
      </c>
      <c r="AO42" s="499">
        <f t="shared" si="72"/>
        <v>25.290308870967756</v>
      </c>
      <c r="AP42" s="499">
        <f t="shared" si="73"/>
        <v>24.291784127738101</v>
      </c>
      <c r="AQ42" s="499"/>
      <c r="AR42" s="228">
        <v>18.952926999999999</v>
      </c>
      <c r="AS42" s="13">
        <v>129</v>
      </c>
      <c r="AT42" s="13">
        <v>2.0762320000000001</v>
      </c>
      <c r="AU42" s="13">
        <f t="shared" si="47"/>
        <v>0</v>
      </c>
      <c r="AV42" s="13">
        <f t="shared" si="38"/>
        <v>18.952926999999999</v>
      </c>
      <c r="AW42" s="13">
        <f t="shared" si="39"/>
        <v>18.952926999999999</v>
      </c>
      <c r="AX42" s="13">
        <f t="shared" si="40"/>
        <v>18.952926999999999</v>
      </c>
      <c r="AY42" s="13">
        <v>1706.8646180000001</v>
      </c>
      <c r="AZ42" s="13">
        <f t="shared" si="41"/>
        <v>0</v>
      </c>
      <c r="BA42" s="13">
        <f t="shared" si="42"/>
        <v>0</v>
      </c>
      <c r="BB42" s="97">
        <f t="shared" si="43"/>
        <v>0</v>
      </c>
      <c r="BC42" s="499"/>
      <c r="BD42" s="499">
        <v>105.55</v>
      </c>
      <c r="BE42" s="499">
        <v>23.218964112903233</v>
      </c>
      <c r="BF42" s="499">
        <v>20.791967741935483</v>
      </c>
      <c r="BG42" s="499">
        <v>19.150048862696892</v>
      </c>
      <c r="BI42" s="499">
        <f t="shared" ref="BI42:BJ42" si="81">AS45</f>
        <v>199</v>
      </c>
      <c r="BJ42" s="499">
        <f t="shared" si="81"/>
        <v>2.1112929999999999</v>
      </c>
      <c r="BK42" s="5">
        <f t="shared" si="15"/>
        <v>0</v>
      </c>
      <c r="BL42" s="499">
        <f t="shared" si="16"/>
        <v>22.399708</v>
      </c>
      <c r="BM42" s="499">
        <f t="shared" si="17"/>
        <v>1162.1691820000001</v>
      </c>
      <c r="BO42" s="499">
        <f t="shared" si="18"/>
        <v>199</v>
      </c>
      <c r="BP42" s="499">
        <f t="shared" si="19"/>
        <v>2.1112929999999999</v>
      </c>
      <c r="BQ42" s="5">
        <f t="shared" si="20"/>
        <v>0</v>
      </c>
      <c r="BR42" s="499">
        <f t="shared" si="21"/>
        <v>22.399708</v>
      </c>
      <c r="BS42" s="499">
        <f t="shared" si="11"/>
        <v>1162.1691820000001</v>
      </c>
      <c r="BU42" s="499">
        <f t="shared" si="22"/>
        <v>199</v>
      </c>
      <c r="BV42" s="499">
        <f t="shared" si="23"/>
        <v>2.1112929999999999</v>
      </c>
      <c r="BW42" s="5">
        <f t="shared" si="12"/>
        <v>0</v>
      </c>
      <c r="BX42" s="499">
        <f t="shared" si="24"/>
        <v>22.399708</v>
      </c>
      <c r="BY42" s="499">
        <f t="shared" si="25"/>
        <v>1162.1691820000001</v>
      </c>
      <c r="CA42">
        <v>199</v>
      </c>
      <c r="CB42">
        <v>2.1112929999999999</v>
      </c>
      <c r="CC42">
        <v>0</v>
      </c>
      <c r="CD42">
        <v>22.399708</v>
      </c>
      <c r="CE42">
        <v>1162.1691820000001</v>
      </c>
      <c r="CG42" s="499">
        <f t="shared" si="26"/>
        <v>0</v>
      </c>
      <c r="CH42" s="499">
        <f t="shared" si="27"/>
        <v>0</v>
      </c>
      <c r="CI42" s="499">
        <f t="shared" si="28"/>
        <v>0</v>
      </c>
      <c r="CJ42" s="499">
        <f t="shared" si="29"/>
        <v>0</v>
      </c>
      <c r="CP42" s="499"/>
      <c r="CQ42" s="65">
        <f t="shared" si="32"/>
        <v>0.97854470653130321</v>
      </c>
      <c r="CR42" s="499">
        <f t="shared" si="33"/>
        <v>0.97854470653130321</v>
      </c>
      <c r="CS42" s="499">
        <f t="shared" si="34"/>
        <v>0.97854470653130321</v>
      </c>
      <c r="CT42" s="38">
        <f t="shared" si="35"/>
        <v>1</v>
      </c>
      <c r="CU42" s="498">
        <f t="shared" si="36"/>
        <v>1</v>
      </c>
    </row>
    <row r="43" spans="1:99">
      <c r="A43" s="499">
        <f t="shared" si="9"/>
        <v>1</v>
      </c>
      <c r="B43">
        <v>250</v>
      </c>
      <c r="C43">
        <v>249</v>
      </c>
      <c r="D43" t="s">
        <v>1043</v>
      </c>
      <c r="E43">
        <v>249</v>
      </c>
      <c r="F43">
        <v>0</v>
      </c>
      <c r="G43">
        <v>1</v>
      </c>
      <c r="H43">
        <v>457</v>
      </c>
      <c r="I43">
        <v>4</v>
      </c>
      <c r="J43">
        <v>352419.93934500002</v>
      </c>
      <c r="K43">
        <v>4958194.3155270005</v>
      </c>
      <c r="L43">
        <v>352406.07353300002</v>
      </c>
      <c r="M43">
        <v>4958647.2421949999</v>
      </c>
      <c r="N43">
        <v>5628.5</v>
      </c>
      <c r="O43">
        <v>14.596819</v>
      </c>
      <c r="P43">
        <v>14.596819</v>
      </c>
      <c r="Q43">
        <v>1</v>
      </c>
      <c r="R43">
        <v>-9999</v>
      </c>
      <c r="S43">
        <v>-9999</v>
      </c>
      <c r="T43">
        <v>-9999</v>
      </c>
      <c r="U43">
        <v>-9999</v>
      </c>
      <c r="V43">
        <v>-9999</v>
      </c>
      <c r="W43">
        <v>-9999</v>
      </c>
      <c r="X43">
        <v>-9999</v>
      </c>
      <c r="Y43">
        <v>-9999</v>
      </c>
      <c r="Z43">
        <v>-9999</v>
      </c>
      <c r="AA43">
        <v>-9999</v>
      </c>
      <c r="AB43">
        <v>23681241</v>
      </c>
      <c r="AC43">
        <v>20.8</v>
      </c>
      <c r="AD43">
        <v>25.195340000000002</v>
      </c>
      <c r="AE43">
        <v>75</v>
      </c>
      <c r="AF43">
        <v>386</v>
      </c>
      <c r="AG43">
        <v>4077.5700660000002</v>
      </c>
      <c r="AH43">
        <v>288730.245758</v>
      </c>
      <c r="AI43">
        <v>999.05145500000003</v>
      </c>
      <c r="AJ43">
        <v>38</v>
      </c>
      <c r="AK43" s="499">
        <f t="shared" si="13"/>
        <v>39.646598614999995</v>
      </c>
      <c r="AL43" s="15">
        <f t="shared" si="3"/>
        <v>66.986598614999991</v>
      </c>
      <c r="AM43" s="15"/>
      <c r="AN43" s="499">
        <f t="shared" si="71"/>
        <v>20.039324193548389</v>
      </c>
      <c r="AO43" s="499">
        <f t="shared" si="72"/>
        <v>24.888061491935485</v>
      </c>
      <c r="AP43" s="499">
        <f t="shared" si="73"/>
        <v>23.918413583017397</v>
      </c>
      <c r="AQ43" s="499"/>
      <c r="AR43" s="228">
        <v>20.306528</v>
      </c>
      <c r="AS43" s="13">
        <v>185</v>
      </c>
      <c r="AT43" s="13">
        <v>2.0805699999999998</v>
      </c>
      <c r="AU43" s="13">
        <f t="shared" si="47"/>
        <v>0</v>
      </c>
      <c r="AV43" s="13">
        <f t="shared" si="38"/>
        <v>20.306528</v>
      </c>
      <c r="AW43" s="13">
        <f t="shared" si="39"/>
        <v>20.306528</v>
      </c>
      <c r="AX43" s="13">
        <f t="shared" si="40"/>
        <v>20.306528</v>
      </c>
      <c r="AY43" s="13">
        <v>652.42369399999995</v>
      </c>
      <c r="AZ43" s="13">
        <f t="shared" si="41"/>
        <v>0</v>
      </c>
      <c r="BA43" s="13">
        <f t="shared" si="42"/>
        <v>0</v>
      </c>
      <c r="BB43" s="97">
        <f t="shared" si="43"/>
        <v>0</v>
      </c>
      <c r="BC43" s="499"/>
      <c r="BD43" s="499">
        <v>105.35</v>
      </c>
      <c r="BE43" s="499">
        <v>23.14238487903226</v>
      </c>
      <c r="BF43" s="499">
        <v>20.79077782258064</v>
      </c>
      <c r="BG43" s="499">
        <v>19.219890074317767</v>
      </c>
      <c r="BI43" s="499">
        <f t="shared" ref="BI43:BJ43" si="82">AS46</f>
        <v>77</v>
      </c>
      <c r="BJ43" s="499">
        <f t="shared" si="82"/>
        <v>2.1159180000000002</v>
      </c>
      <c r="BK43" s="5">
        <f t="shared" si="15"/>
        <v>0</v>
      </c>
      <c r="BL43" s="499">
        <f t="shared" si="16"/>
        <v>19.304286000000001</v>
      </c>
      <c r="BM43" s="499">
        <f t="shared" si="17"/>
        <v>965.321325</v>
      </c>
      <c r="BO43" s="499">
        <f t="shared" si="18"/>
        <v>77</v>
      </c>
      <c r="BP43" s="499">
        <f t="shared" si="19"/>
        <v>2.1159180000000002</v>
      </c>
      <c r="BQ43" s="5">
        <f t="shared" si="20"/>
        <v>0</v>
      </c>
      <c r="BR43" s="499">
        <f t="shared" si="21"/>
        <v>19.304286000000001</v>
      </c>
      <c r="BS43" s="499">
        <f t="shared" si="11"/>
        <v>965.321325</v>
      </c>
      <c r="BU43" s="499">
        <f t="shared" si="22"/>
        <v>77</v>
      </c>
      <c r="BV43" s="499">
        <f t="shared" si="23"/>
        <v>2.1159180000000002</v>
      </c>
      <c r="BW43" s="5">
        <f t="shared" si="12"/>
        <v>0</v>
      </c>
      <c r="BX43" s="499">
        <f t="shared" si="24"/>
        <v>19.304286000000001</v>
      </c>
      <c r="BY43" s="499">
        <f t="shared" si="25"/>
        <v>965.321325</v>
      </c>
      <c r="CA43">
        <v>77</v>
      </c>
      <c r="CB43">
        <v>2.1159180000000002</v>
      </c>
      <c r="CC43">
        <v>0</v>
      </c>
      <c r="CD43">
        <v>19.304286000000001</v>
      </c>
      <c r="CE43">
        <v>965.321325</v>
      </c>
      <c r="CG43" s="499">
        <f t="shared" si="26"/>
        <v>0</v>
      </c>
      <c r="CH43" s="499">
        <f t="shared" si="27"/>
        <v>0</v>
      </c>
      <c r="CI43" s="499">
        <f t="shared" si="28"/>
        <v>0</v>
      </c>
      <c r="CJ43" s="499">
        <f t="shared" si="29"/>
        <v>0</v>
      </c>
      <c r="CP43" s="499"/>
      <c r="CQ43" s="65">
        <f t="shared" si="32"/>
        <v>0.95908200673517197</v>
      </c>
      <c r="CR43" s="499">
        <f t="shared" si="33"/>
        <v>0.95908200673517197</v>
      </c>
      <c r="CS43" s="499">
        <f t="shared" si="34"/>
        <v>0.95908200673517197</v>
      </c>
      <c r="CT43" s="38">
        <f t="shared" si="35"/>
        <v>1</v>
      </c>
      <c r="CU43" s="498">
        <f t="shared" si="36"/>
        <v>1</v>
      </c>
    </row>
    <row r="44" spans="1:99">
      <c r="A44" s="499">
        <f t="shared" si="9"/>
        <v>1</v>
      </c>
      <c r="B44">
        <v>313</v>
      </c>
      <c r="C44">
        <v>312</v>
      </c>
      <c r="D44" t="s">
        <v>1043</v>
      </c>
      <c r="E44">
        <v>312</v>
      </c>
      <c r="F44">
        <v>0</v>
      </c>
      <c r="G44">
        <v>1</v>
      </c>
      <c r="H44">
        <v>456</v>
      </c>
      <c r="I44">
        <v>4</v>
      </c>
      <c r="J44">
        <v>352703.80568300001</v>
      </c>
      <c r="K44">
        <v>4957968.9351779995</v>
      </c>
      <c r="L44">
        <v>352710.66638000001</v>
      </c>
      <c r="M44">
        <v>4958367.893015</v>
      </c>
      <c r="N44">
        <v>5624.5</v>
      </c>
      <c r="O44">
        <v>14.555547000000001</v>
      </c>
      <c r="P44">
        <v>14.555547000000001</v>
      </c>
      <c r="Q44">
        <v>3</v>
      </c>
      <c r="R44">
        <v>-6658.4866670000001</v>
      </c>
      <c r="S44">
        <v>-6658.06</v>
      </c>
      <c r="T44">
        <v>-6657.56</v>
      </c>
      <c r="U44">
        <v>-6657.11</v>
      </c>
      <c r="V44">
        <v>-6658.49</v>
      </c>
      <c r="W44">
        <v>-6658.13</v>
      </c>
      <c r="X44">
        <v>-6657.9433330000002</v>
      </c>
      <c r="Y44">
        <v>-6659.11</v>
      </c>
      <c r="Z44">
        <v>-6659.4366669999999</v>
      </c>
      <c r="AA44">
        <v>-6467</v>
      </c>
      <c r="AB44">
        <v>23681474.333333001</v>
      </c>
      <c r="AC44">
        <v>21.541481000000001</v>
      </c>
      <c r="AD44">
        <v>26.759342</v>
      </c>
      <c r="AE44">
        <v>75</v>
      </c>
      <c r="AF44">
        <v>381</v>
      </c>
      <c r="AG44">
        <v>4676.238308</v>
      </c>
      <c r="AH44">
        <v>333777.71451800002</v>
      </c>
      <c r="AI44">
        <v>999.19973100000004</v>
      </c>
      <c r="AJ44">
        <v>39</v>
      </c>
      <c r="AK44" s="499">
        <f t="shared" si="13"/>
        <v>40.645650069999995</v>
      </c>
      <c r="AL44" s="15">
        <f t="shared" si="3"/>
        <v>67.985650069999991</v>
      </c>
      <c r="AM44" s="15"/>
      <c r="AN44" s="499">
        <f t="shared" si="71"/>
        <v>19.698860887096778</v>
      </c>
      <c r="AO44" s="499">
        <f t="shared" si="72"/>
        <v>24.489951612903244</v>
      </c>
      <c r="AP44" s="499">
        <f t="shared" si="73"/>
        <v>23.577958523063192</v>
      </c>
      <c r="AQ44" s="499"/>
      <c r="AR44" s="228">
        <v>20.306528</v>
      </c>
      <c r="AS44" s="13">
        <v>290</v>
      </c>
      <c r="AT44" s="13">
        <v>2.0998009999999998</v>
      </c>
      <c r="AU44" s="13">
        <f t="shared" si="47"/>
        <v>0</v>
      </c>
      <c r="AV44" s="13">
        <f t="shared" si="38"/>
        <v>20.306528</v>
      </c>
      <c r="AW44" s="13">
        <f t="shared" si="39"/>
        <v>20.306528</v>
      </c>
      <c r="AX44" s="13">
        <f t="shared" si="40"/>
        <v>20.306528</v>
      </c>
      <c r="AY44" s="13">
        <v>1000.879637</v>
      </c>
      <c r="AZ44" s="13">
        <f t="shared" si="41"/>
        <v>0</v>
      </c>
      <c r="BA44" s="13">
        <f t="shared" si="42"/>
        <v>0</v>
      </c>
      <c r="BB44" s="97">
        <f t="shared" si="43"/>
        <v>0</v>
      </c>
      <c r="BC44" s="499"/>
      <c r="BD44" s="499">
        <v>105.15</v>
      </c>
      <c r="BE44" s="499">
        <v>23.092290927419352</v>
      </c>
      <c r="BF44" s="499">
        <v>20.80044516129032</v>
      </c>
      <c r="BG44" s="499">
        <v>19.29115873071429</v>
      </c>
      <c r="BI44" s="499">
        <f t="shared" ref="BI44:BJ44" si="83">AS47</f>
        <v>230</v>
      </c>
      <c r="BJ44" s="499">
        <f t="shared" si="83"/>
        <v>2.1159180000000002</v>
      </c>
      <c r="BK44" s="5">
        <f t="shared" si="15"/>
        <v>0</v>
      </c>
      <c r="BL44" s="499">
        <f t="shared" si="16"/>
        <v>20.165309000000001</v>
      </c>
      <c r="BM44" s="499">
        <f t="shared" si="17"/>
        <v>656.13298099999997</v>
      </c>
      <c r="BO44" s="499">
        <f t="shared" si="18"/>
        <v>230</v>
      </c>
      <c r="BP44" s="499">
        <f t="shared" si="19"/>
        <v>2.1159180000000002</v>
      </c>
      <c r="BQ44" s="5">
        <f t="shared" si="20"/>
        <v>0</v>
      </c>
      <c r="BR44" s="499">
        <f t="shared" si="21"/>
        <v>20.165309000000001</v>
      </c>
      <c r="BS44" s="499">
        <f t="shared" si="11"/>
        <v>656.13298099999997</v>
      </c>
      <c r="BU44" s="499">
        <f t="shared" si="22"/>
        <v>230</v>
      </c>
      <c r="BV44" s="499">
        <f t="shared" si="23"/>
        <v>2.1159180000000002</v>
      </c>
      <c r="BW44" s="5">
        <f t="shared" si="12"/>
        <v>0</v>
      </c>
      <c r="BX44" s="499">
        <f t="shared" si="24"/>
        <v>20.165309000000001</v>
      </c>
      <c r="BY44" s="499">
        <f t="shared" si="25"/>
        <v>656.13298099999997</v>
      </c>
      <c r="CA44">
        <v>230</v>
      </c>
      <c r="CB44">
        <v>2.1159180000000002</v>
      </c>
      <c r="CC44">
        <v>0</v>
      </c>
      <c r="CD44">
        <v>20.165309000000001</v>
      </c>
      <c r="CE44">
        <v>656.13298099999997</v>
      </c>
      <c r="CG44" s="499">
        <f t="shared" si="26"/>
        <v>0</v>
      </c>
      <c r="CH44" s="499">
        <f t="shared" si="27"/>
        <v>0</v>
      </c>
      <c r="CI44" s="499">
        <f t="shared" si="28"/>
        <v>0</v>
      </c>
      <c r="CJ44" s="499">
        <f t="shared" si="29"/>
        <v>0</v>
      </c>
      <c r="CP44" s="499"/>
      <c r="CQ44" s="65">
        <f t="shared" si="32"/>
        <v>0.97881694661428897</v>
      </c>
      <c r="CR44" s="499">
        <f t="shared" si="33"/>
        <v>0.97881694661428897</v>
      </c>
      <c r="CS44" s="499">
        <f t="shared" si="34"/>
        <v>0.97881694661428897</v>
      </c>
      <c r="CT44" s="38">
        <f t="shared" si="35"/>
        <v>1</v>
      </c>
      <c r="CU44" s="498">
        <f t="shared" si="36"/>
        <v>1</v>
      </c>
    </row>
    <row r="45" spans="1:99">
      <c r="A45" s="499">
        <f t="shared" si="9"/>
        <v>1</v>
      </c>
      <c r="B45">
        <v>98</v>
      </c>
      <c r="C45">
        <v>97</v>
      </c>
      <c r="D45" t="s">
        <v>1043</v>
      </c>
      <c r="E45">
        <v>97</v>
      </c>
      <c r="F45">
        <v>0</v>
      </c>
      <c r="G45">
        <v>1</v>
      </c>
      <c r="H45">
        <v>458</v>
      </c>
      <c r="I45">
        <v>4</v>
      </c>
      <c r="J45">
        <v>352351.82169499999</v>
      </c>
      <c r="K45">
        <v>4957555.9528900003</v>
      </c>
      <c r="L45">
        <v>352771.09551000001</v>
      </c>
      <c r="M45">
        <v>4957759.6761050001</v>
      </c>
      <c r="N45">
        <v>5620.5</v>
      </c>
      <c r="O45">
        <v>12.927365</v>
      </c>
      <c r="P45">
        <v>12.927365</v>
      </c>
      <c r="Q45">
        <v>1</v>
      </c>
      <c r="R45">
        <v>-9999</v>
      </c>
      <c r="S45">
        <v>-9999</v>
      </c>
      <c r="T45">
        <v>-9999</v>
      </c>
      <c r="U45">
        <v>-9999</v>
      </c>
      <c r="V45">
        <v>-9999</v>
      </c>
      <c r="W45">
        <v>-9999</v>
      </c>
      <c r="X45">
        <v>-9999</v>
      </c>
      <c r="Y45">
        <v>-9999</v>
      </c>
      <c r="Z45">
        <v>-9999</v>
      </c>
      <c r="AA45">
        <v>-9999</v>
      </c>
      <c r="AB45">
        <v>23681243</v>
      </c>
      <c r="AC45">
        <v>20.6</v>
      </c>
      <c r="AD45">
        <v>25.017679999999999</v>
      </c>
      <c r="AE45">
        <v>75</v>
      </c>
      <c r="AF45">
        <v>378</v>
      </c>
      <c r="AG45">
        <v>5994.8640519999999</v>
      </c>
      <c r="AH45">
        <v>432882.21696799999</v>
      </c>
      <c r="AI45">
        <v>1000.931846</v>
      </c>
      <c r="AJ45">
        <v>40</v>
      </c>
      <c r="AK45" s="499">
        <f t="shared" si="13"/>
        <v>41.644849800999992</v>
      </c>
      <c r="AL45" s="15">
        <f t="shared" si="3"/>
        <v>68.984849800999996</v>
      </c>
      <c r="AM45" s="15"/>
      <c r="AN45" s="499">
        <f t="shared" si="71"/>
        <v>19.786803225806455</v>
      </c>
      <c r="AO45" s="499">
        <f t="shared" si="72"/>
        <v>23.682316129032259</v>
      </c>
      <c r="AP45" s="499">
        <f t="shared" si="73"/>
        <v>23.178943867380948</v>
      </c>
      <c r="AQ45" s="499"/>
      <c r="AR45" s="228">
        <v>22.399708</v>
      </c>
      <c r="AS45" s="13">
        <v>199</v>
      </c>
      <c r="AT45" s="13">
        <v>2.1112929999999999</v>
      </c>
      <c r="AU45" s="13">
        <f t="shared" si="47"/>
        <v>0</v>
      </c>
      <c r="AV45" s="13">
        <f t="shared" si="38"/>
        <v>22.399708</v>
      </c>
      <c r="AW45" s="13">
        <f t="shared" si="39"/>
        <v>22.399708</v>
      </c>
      <c r="AX45" s="13">
        <f t="shared" si="40"/>
        <v>22.399708</v>
      </c>
      <c r="AY45" s="13">
        <v>1162.1691820000001</v>
      </c>
      <c r="AZ45" s="13">
        <f t="shared" si="41"/>
        <v>0</v>
      </c>
      <c r="BA45" s="13">
        <f t="shared" si="42"/>
        <v>0</v>
      </c>
      <c r="BB45" s="97">
        <f t="shared" si="43"/>
        <v>0</v>
      </c>
      <c r="BC45" s="499"/>
      <c r="BD45" s="499">
        <v>104.95</v>
      </c>
      <c r="BE45" s="499">
        <v>23.049916935483875</v>
      </c>
      <c r="BF45" s="499">
        <v>20.82062500000001</v>
      </c>
      <c r="BG45" s="499">
        <v>19.412691756323266</v>
      </c>
      <c r="BI45" s="499">
        <f t="shared" ref="BI45:BJ45" si="84">AS48</f>
        <v>17</v>
      </c>
      <c r="BJ45" s="499">
        <f t="shared" si="84"/>
        <v>2.1320410000000001</v>
      </c>
      <c r="BK45" s="5">
        <f t="shared" si="15"/>
        <v>0</v>
      </c>
      <c r="BL45" s="499">
        <f t="shared" si="16"/>
        <v>19.404637999999998</v>
      </c>
      <c r="BM45" s="499">
        <f t="shared" si="17"/>
        <v>1122.8720370000001</v>
      </c>
      <c r="BO45" s="499">
        <f t="shared" si="18"/>
        <v>17</v>
      </c>
      <c r="BP45" s="499">
        <f t="shared" si="19"/>
        <v>2.1320410000000001</v>
      </c>
      <c r="BQ45" s="5">
        <f t="shared" si="20"/>
        <v>0</v>
      </c>
      <c r="BR45" s="499">
        <f t="shared" si="21"/>
        <v>19.404637999999998</v>
      </c>
      <c r="BS45" s="499">
        <f t="shared" si="11"/>
        <v>1122.8720370000001</v>
      </c>
      <c r="BU45" s="499">
        <f t="shared" si="22"/>
        <v>17</v>
      </c>
      <c r="BV45" s="499">
        <f t="shared" si="23"/>
        <v>2.1320410000000001</v>
      </c>
      <c r="BW45" s="5">
        <f t="shared" si="12"/>
        <v>0</v>
      </c>
      <c r="BX45" s="499">
        <f t="shared" si="24"/>
        <v>19.404637999999998</v>
      </c>
      <c r="BY45" s="499">
        <f t="shared" si="25"/>
        <v>1122.8720370000001</v>
      </c>
      <c r="CA45">
        <v>17</v>
      </c>
      <c r="CB45">
        <v>2.1320410000000001</v>
      </c>
      <c r="CC45">
        <v>0</v>
      </c>
      <c r="CD45">
        <v>19.404637999999998</v>
      </c>
      <c r="CE45">
        <v>1122.8720370000001</v>
      </c>
      <c r="CG45" s="499">
        <f t="shared" si="26"/>
        <v>0</v>
      </c>
      <c r="CH45" s="499">
        <f t="shared" si="27"/>
        <v>0</v>
      </c>
      <c r="CI45" s="499">
        <f t="shared" si="28"/>
        <v>0</v>
      </c>
      <c r="CJ45" s="499">
        <f t="shared" si="29"/>
        <v>0</v>
      </c>
      <c r="CP45" s="499"/>
      <c r="CQ45" s="65">
        <f t="shared" si="32"/>
        <v>0.97862182718378887</v>
      </c>
      <c r="CR45" s="499">
        <f t="shared" si="33"/>
        <v>0.97862182718378887</v>
      </c>
      <c r="CS45" s="499">
        <f t="shared" si="34"/>
        <v>0.97862182718378887</v>
      </c>
      <c r="CT45" s="38">
        <f t="shared" si="35"/>
        <v>1</v>
      </c>
      <c r="CU45" s="498">
        <f t="shared" si="36"/>
        <v>1</v>
      </c>
    </row>
    <row r="46" spans="1:99">
      <c r="A46" s="499">
        <f t="shared" si="9"/>
        <v>1</v>
      </c>
      <c r="B46">
        <v>404</v>
      </c>
      <c r="C46">
        <v>403</v>
      </c>
      <c r="D46" t="s">
        <v>1043</v>
      </c>
      <c r="E46">
        <v>403</v>
      </c>
      <c r="F46">
        <v>0</v>
      </c>
      <c r="G46">
        <v>1.1000000000000001</v>
      </c>
      <c r="H46">
        <v>431</v>
      </c>
      <c r="I46">
        <v>4</v>
      </c>
      <c r="J46">
        <v>352794.32165499998</v>
      </c>
      <c r="K46">
        <v>4956591.3354780003</v>
      </c>
      <c r="L46">
        <v>353205.20098999998</v>
      </c>
      <c r="M46">
        <v>4956858.2688199999</v>
      </c>
      <c r="N46">
        <v>5194</v>
      </c>
      <c r="O46">
        <v>15.213065</v>
      </c>
      <c r="P46">
        <v>14.186705999999999</v>
      </c>
      <c r="Q46">
        <v>3</v>
      </c>
      <c r="R46">
        <v>-6659.7366670000001</v>
      </c>
      <c r="S46">
        <v>-6659.91</v>
      </c>
      <c r="T46">
        <v>-6659.33</v>
      </c>
      <c r="U46">
        <v>-6658.5533329999998</v>
      </c>
      <c r="V46">
        <v>-6660.1633330000004</v>
      </c>
      <c r="W46">
        <v>-6659.5966669999998</v>
      </c>
      <c r="X46">
        <v>-6659.606667</v>
      </c>
      <c r="Y46">
        <v>-6660.5333330000003</v>
      </c>
      <c r="Z46">
        <v>-6661.05</v>
      </c>
      <c r="AA46">
        <v>-5929.6666670000004</v>
      </c>
      <c r="AB46">
        <v>23681246.333333001</v>
      </c>
      <c r="AC46">
        <v>19.902221999999998</v>
      </c>
      <c r="AD46">
        <v>24.532931999999999</v>
      </c>
      <c r="AE46">
        <v>75</v>
      </c>
      <c r="AF46">
        <v>368.33333299999998</v>
      </c>
      <c r="AG46">
        <v>3841.9246939999998</v>
      </c>
      <c r="AH46">
        <v>271015.38031600002</v>
      </c>
      <c r="AI46">
        <v>1061.299456</v>
      </c>
      <c r="AJ46">
        <v>41</v>
      </c>
      <c r="AK46" s="499">
        <f t="shared" si="13"/>
        <v>42.645781646999993</v>
      </c>
      <c r="AL46" s="15">
        <f t="shared" si="3"/>
        <v>69.985781646999996</v>
      </c>
      <c r="AM46" s="15"/>
      <c r="AN46" s="499">
        <f t="shared" si="71"/>
        <v>19.932250403225808</v>
      </c>
      <c r="AO46" s="499">
        <f t="shared" si="72"/>
        <v>23.081815927419353</v>
      </c>
      <c r="AP46" s="499">
        <f t="shared" si="73"/>
        <v>22.422662963598896</v>
      </c>
      <c r="AQ46" s="499"/>
      <c r="AR46" s="228">
        <v>19.304286000000001</v>
      </c>
      <c r="AS46" s="13">
        <v>77</v>
      </c>
      <c r="AT46" s="13">
        <v>2.1159180000000002</v>
      </c>
      <c r="AU46" s="13">
        <f t="shared" si="47"/>
        <v>0</v>
      </c>
      <c r="AV46" s="13">
        <f t="shared" si="38"/>
        <v>19.304286000000001</v>
      </c>
      <c r="AW46" s="13">
        <f t="shared" si="39"/>
        <v>19.304286000000001</v>
      </c>
      <c r="AX46" s="13">
        <f t="shared" si="40"/>
        <v>19.304286000000001</v>
      </c>
      <c r="AY46" s="13">
        <v>965.321325</v>
      </c>
      <c r="AZ46" s="13">
        <f t="shared" si="41"/>
        <v>0</v>
      </c>
      <c r="BA46" s="13">
        <f t="shared" si="42"/>
        <v>0</v>
      </c>
      <c r="BB46" s="97">
        <f t="shared" si="43"/>
        <v>0</v>
      </c>
      <c r="BC46" s="499"/>
      <c r="BD46" s="499">
        <v>104.75</v>
      </c>
      <c r="BE46" s="499">
        <v>23.007400000000004</v>
      </c>
      <c r="BF46" s="499">
        <v>20.836729032258059</v>
      </c>
      <c r="BG46" s="499">
        <v>19.515716981021058</v>
      </c>
      <c r="BI46" s="499">
        <f t="shared" ref="BI46:BJ46" si="85">AS49</f>
        <v>148</v>
      </c>
      <c r="BJ46" s="499">
        <f t="shared" si="85"/>
        <v>2.1643500000000002</v>
      </c>
      <c r="BK46" s="5">
        <f t="shared" si="15"/>
        <v>0</v>
      </c>
      <c r="BL46" s="499">
        <f t="shared" si="16"/>
        <v>19.372482000000002</v>
      </c>
      <c r="BM46" s="499">
        <f t="shared" si="17"/>
        <v>671.55623600000001</v>
      </c>
      <c r="BO46" s="499">
        <f t="shared" si="18"/>
        <v>148</v>
      </c>
      <c r="BP46" s="499">
        <f t="shared" si="19"/>
        <v>2.1643500000000002</v>
      </c>
      <c r="BQ46" s="5">
        <f t="shared" si="20"/>
        <v>0</v>
      </c>
      <c r="BR46" s="499">
        <f t="shared" si="21"/>
        <v>19.372482000000002</v>
      </c>
      <c r="BS46" s="499">
        <f t="shared" si="11"/>
        <v>671.55623600000001</v>
      </c>
      <c r="BU46" s="499">
        <f t="shared" si="22"/>
        <v>148</v>
      </c>
      <c r="BV46" s="499">
        <f t="shared" si="23"/>
        <v>2.1643500000000002</v>
      </c>
      <c r="BW46" s="5">
        <f t="shared" si="12"/>
        <v>0</v>
      </c>
      <c r="BX46" s="499">
        <f t="shared" si="24"/>
        <v>19.372482000000002</v>
      </c>
      <c r="BY46" s="499">
        <f t="shared" si="25"/>
        <v>671.55623600000001</v>
      </c>
      <c r="CA46">
        <v>148</v>
      </c>
      <c r="CB46">
        <v>2.1643500000000002</v>
      </c>
      <c r="CC46">
        <v>0</v>
      </c>
      <c r="CD46">
        <v>19.372482000000002</v>
      </c>
      <c r="CE46">
        <v>671.55623600000001</v>
      </c>
      <c r="CG46" s="499">
        <f t="shared" si="26"/>
        <v>0</v>
      </c>
      <c r="CH46" s="499">
        <f t="shared" si="27"/>
        <v>0</v>
      </c>
      <c r="CI46" s="499">
        <f t="shared" si="28"/>
        <v>0</v>
      </c>
      <c r="CJ46" s="499">
        <f t="shared" si="29"/>
        <v>0</v>
      </c>
      <c r="CP46" s="499"/>
      <c r="CQ46" s="65">
        <f t="shared" si="32"/>
        <v>0.9788074471564252</v>
      </c>
      <c r="CR46" s="499">
        <f t="shared" si="33"/>
        <v>0.9788074471564252</v>
      </c>
      <c r="CS46" s="499">
        <f t="shared" si="34"/>
        <v>0.9788074471564252</v>
      </c>
      <c r="CT46" s="38">
        <f t="shared" si="35"/>
        <v>1</v>
      </c>
      <c r="CU46" s="498">
        <f t="shared" si="36"/>
        <v>1</v>
      </c>
    </row>
    <row r="47" spans="1:99">
      <c r="A47" s="499">
        <f t="shared" si="9"/>
        <v>1</v>
      </c>
      <c r="B47">
        <v>184</v>
      </c>
      <c r="C47">
        <v>183</v>
      </c>
      <c r="D47" t="s">
        <v>1043</v>
      </c>
      <c r="E47">
        <v>183</v>
      </c>
      <c r="F47">
        <v>0</v>
      </c>
      <c r="G47">
        <v>0.8</v>
      </c>
      <c r="H47">
        <v>430</v>
      </c>
      <c r="I47">
        <v>2</v>
      </c>
      <c r="J47">
        <v>353226.05511999998</v>
      </c>
      <c r="K47">
        <v>4955926.1469050003</v>
      </c>
      <c r="L47">
        <v>353647.26296000002</v>
      </c>
      <c r="M47">
        <v>4956195.3744449997</v>
      </c>
      <c r="N47">
        <v>5416.5</v>
      </c>
      <c r="O47">
        <v>14.354423000000001</v>
      </c>
      <c r="P47">
        <v>14.354423000000001</v>
      </c>
      <c r="Q47">
        <v>5</v>
      </c>
      <c r="R47">
        <v>-3988.03</v>
      </c>
      <c r="S47">
        <v>-3988.4479999999999</v>
      </c>
      <c r="T47">
        <v>-3987.5340000000001</v>
      </c>
      <c r="U47">
        <v>-3986.2220000000002</v>
      </c>
      <c r="V47">
        <v>-3989.0320000000002</v>
      </c>
      <c r="W47">
        <v>-3987.9180000000001</v>
      </c>
      <c r="X47">
        <v>-3987.8739999999998</v>
      </c>
      <c r="Y47">
        <v>-3989.4859999999999</v>
      </c>
      <c r="Z47">
        <v>-3990.2080000000001</v>
      </c>
      <c r="AA47">
        <v>-2683.2</v>
      </c>
      <c r="AB47">
        <v>23681322.600000001</v>
      </c>
      <c r="AC47">
        <v>19.534222</v>
      </c>
      <c r="AD47">
        <v>24.164048000000001</v>
      </c>
      <c r="AE47">
        <v>75</v>
      </c>
      <c r="AF47">
        <v>365.6</v>
      </c>
      <c r="AG47">
        <v>6563.4870010000004</v>
      </c>
      <c r="AH47">
        <v>476302.43740400003</v>
      </c>
      <c r="AI47">
        <v>788.47535500000004</v>
      </c>
      <c r="AJ47">
        <v>42</v>
      </c>
      <c r="AK47" s="499">
        <f t="shared" si="13"/>
        <v>43.707081102999993</v>
      </c>
      <c r="AL47" s="15">
        <f t="shared" si="3"/>
        <v>71.047081102999996</v>
      </c>
      <c r="AM47" s="15"/>
      <c r="AN47" s="499">
        <f t="shared" si="71"/>
        <v>20.079769758064522</v>
      </c>
      <c r="AO47" s="499">
        <f t="shared" si="72"/>
        <v>23.448974596774192</v>
      </c>
      <c r="AP47" s="499">
        <f t="shared" si="73"/>
        <v>22.723051470416671</v>
      </c>
      <c r="AQ47" s="499"/>
      <c r="AR47" s="228">
        <v>20.165309000000001</v>
      </c>
      <c r="AS47" s="13">
        <v>230</v>
      </c>
      <c r="AT47" s="13">
        <v>2.1159180000000002</v>
      </c>
      <c r="AU47" s="13">
        <f t="shared" si="47"/>
        <v>0</v>
      </c>
      <c r="AV47" s="13">
        <f t="shared" si="38"/>
        <v>20.165309000000001</v>
      </c>
      <c r="AW47" s="13">
        <f t="shared" si="39"/>
        <v>20.165309000000001</v>
      </c>
      <c r="AX47" s="13">
        <f t="shared" si="40"/>
        <v>20.165309000000001</v>
      </c>
      <c r="AY47" s="13">
        <v>656.13298099999997</v>
      </c>
      <c r="AZ47" s="13">
        <f t="shared" si="41"/>
        <v>0</v>
      </c>
      <c r="BA47" s="13">
        <f t="shared" si="42"/>
        <v>0</v>
      </c>
      <c r="BB47" s="97">
        <f t="shared" si="43"/>
        <v>0</v>
      </c>
      <c r="BC47" s="499"/>
      <c r="BD47" s="499">
        <v>104.55</v>
      </c>
      <c r="BE47" s="499">
        <v>22.954017137096773</v>
      </c>
      <c r="BF47" s="499">
        <v>20.850560887096769</v>
      </c>
      <c r="BG47" s="499">
        <v>19.613428114070516</v>
      </c>
      <c r="BI47" s="499">
        <f t="shared" ref="BI47:BJ47" si="86">AS50</f>
        <v>84</v>
      </c>
      <c r="BJ47" s="499">
        <f t="shared" si="86"/>
        <v>2.1850019999999999</v>
      </c>
      <c r="BK47" s="5">
        <f t="shared" si="15"/>
        <v>0</v>
      </c>
      <c r="BL47" s="499">
        <f t="shared" si="16"/>
        <v>22.767804999999999</v>
      </c>
      <c r="BM47" s="499">
        <f t="shared" si="17"/>
        <v>725.16991199999995</v>
      </c>
      <c r="BO47" s="499">
        <f t="shared" si="18"/>
        <v>84</v>
      </c>
      <c r="BP47" s="499">
        <f t="shared" si="19"/>
        <v>2.1850019999999999</v>
      </c>
      <c r="BQ47" s="5">
        <f t="shared" si="20"/>
        <v>0</v>
      </c>
      <c r="BR47" s="499">
        <f t="shared" si="21"/>
        <v>22.767804999999999</v>
      </c>
      <c r="BS47" s="499">
        <f t="shared" si="11"/>
        <v>725.16991199999995</v>
      </c>
      <c r="BU47" s="499">
        <f t="shared" si="22"/>
        <v>84</v>
      </c>
      <c r="BV47" s="499">
        <f t="shared" si="23"/>
        <v>2.1850019999999999</v>
      </c>
      <c r="BW47" s="5">
        <f t="shared" si="12"/>
        <v>0</v>
      </c>
      <c r="BX47" s="499">
        <f t="shared" si="24"/>
        <v>22.767804999999999</v>
      </c>
      <c r="BY47" s="499">
        <f t="shared" si="25"/>
        <v>725.16991199999995</v>
      </c>
      <c r="CA47">
        <v>84</v>
      </c>
      <c r="CB47">
        <v>2.1850019999999999</v>
      </c>
      <c r="CC47">
        <v>0</v>
      </c>
      <c r="CD47">
        <v>22.767804999999999</v>
      </c>
      <c r="CE47">
        <v>725.16991199999995</v>
      </c>
      <c r="CG47" s="499">
        <f t="shared" si="26"/>
        <v>0</v>
      </c>
      <c r="CH47" s="499">
        <f t="shared" si="27"/>
        <v>0</v>
      </c>
      <c r="CI47" s="499">
        <f t="shared" si="28"/>
        <v>0</v>
      </c>
      <c r="CJ47" s="499">
        <f t="shared" si="29"/>
        <v>0</v>
      </c>
      <c r="CP47" s="499"/>
      <c r="CQ47" s="65">
        <f t="shared" si="32"/>
        <v>0.97881069959940636</v>
      </c>
      <c r="CR47" s="499">
        <f t="shared" si="33"/>
        <v>0.97881069959940636</v>
      </c>
      <c r="CS47" s="499">
        <f t="shared" si="34"/>
        <v>0.97881069959940636</v>
      </c>
      <c r="CT47" s="38">
        <f t="shared" si="35"/>
        <v>1</v>
      </c>
      <c r="CU47" s="498">
        <f t="shared" si="36"/>
        <v>1</v>
      </c>
    </row>
    <row r="48" spans="1:99">
      <c r="A48" s="499">
        <f t="shared" si="9"/>
        <v>1</v>
      </c>
      <c r="B48">
        <v>297</v>
      </c>
      <c r="C48">
        <v>296</v>
      </c>
      <c r="D48" t="s">
        <v>1043</v>
      </c>
      <c r="E48">
        <v>296</v>
      </c>
      <c r="F48">
        <v>0</v>
      </c>
      <c r="G48">
        <v>1.1000000000000001</v>
      </c>
      <c r="H48">
        <v>421</v>
      </c>
      <c r="I48">
        <v>5</v>
      </c>
      <c r="J48">
        <v>353480.03620600002</v>
      </c>
      <c r="K48">
        <v>4955241.0009199996</v>
      </c>
      <c r="L48">
        <v>353770.39832600002</v>
      </c>
      <c r="M48">
        <v>4955330.2909660004</v>
      </c>
      <c r="N48">
        <v>5111</v>
      </c>
      <c r="O48">
        <v>14.736229</v>
      </c>
      <c r="P48">
        <v>14.612484</v>
      </c>
      <c r="Q48">
        <v>1</v>
      </c>
      <c r="R48">
        <v>21.14</v>
      </c>
      <c r="S48">
        <v>19.95</v>
      </c>
      <c r="T48">
        <v>21.45</v>
      </c>
      <c r="U48">
        <v>23.89</v>
      </c>
      <c r="V48">
        <v>18.55</v>
      </c>
      <c r="W48">
        <v>20.92</v>
      </c>
      <c r="X48">
        <v>20.88</v>
      </c>
      <c r="Y48">
        <v>18.13</v>
      </c>
      <c r="Z48">
        <v>16.55</v>
      </c>
      <c r="AA48">
        <v>1998</v>
      </c>
      <c r="AB48">
        <v>23681251</v>
      </c>
      <c r="AC48">
        <v>20.162222</v>
      </c>
      <c r="AD48">
        <v>24.628802</v>
      </c>
      <c r="AE48">
        <v>75</v>
      </c>
      <c r="AF48">
        <v>358</v>
      </c>
      <c r="AG48">
        <v>9449.0852730000006</v>
      </c>
      <c r="AH48">
        <v>697572.09995499998</v>
      </c>
      <c r="AI48">
        <v>1136.4752289999999</v>
      </c>
      <c r="AJ48">
        <v>43</v>
      </c>
      <c r="AK48" s="499">
        <f t="shared" si="13"/>
        <v>44.495556457999996</v>
      </c>
      <c r="AL48" s="15">
        <f t="shared" si="3"/>
        <v>71.835556457999999</v>
      </c>
      <c r="AM48" s="15"/>
      <c r="AN48" s="499">
        <f t="shared" si="71"/>
        <v>20.152791733870959</v>
      </c>
      <c r="AO48" s="499">
        <f t="shared" si="72"/>
        <v>23.382078629032261</v>
      </c>
      <c r="AP48" s="499">
        <f t="shared" si="73"/>
        <v>22.551170049125457</v>
      </c>
      <c r="AQ48" s="499"/>
      <c r="AR48" s="228">
        <v>19.404637999999998</v>
      </c>
      <c r="AS48" s="13">
        <v>17</v>
      </c>
      <c r="AT48" s="13">
        <v>2.1320410000000001</v>
      </c>
      <c r="AU48" s="13">
        <f t="shared" si="47"/>
        <v>0</v>
      </c>
      <c r="AV48" s="13">
        <f t="shared" si="38"/>
        <v>19.404637999999998</v>
      </c>
      <c r="AW48" s="13">
        <f t="shared" si="39"/>
        <v>19.404637999999998</v>
      </c>
      <c r="AX48" s="13">
        <f t="shared" si="40"/>
        <v>19.404637999999998</v>
      </c>
      <c r="AY48" s="13">
        <v>1122.8720370000001</v>
      </c>
      <c r="AZ48" s="13">
        <f t="shared" si="41"/>
        <v>0</v>
      </c>
      <c r="BA48" s="13">
        <f t="shared" si="42"/>
        <v>0</v>
      </c>
      <c r="BB48" s="97">
        <f t="shared" si="43"/>
        <v>0</v>
      </c>
      <c r="BC48" s="499"/>
      <c r="BD48" s="499">
        <v>104.35</v>
      </c>
      <c r="BE48" s="499">
        <v>22.729648790322582</v>
      </c>
      <c r="BF48" s="499">
        <v>20.859396774193538</v>
      </c>
      <c r="BG48" s="499">
        <v>19.681828356263747</v>
      </c>
      <c r="BI48" s="499">
        <f t="shared" ref="BI48:BJ48" si="87">AS51</f>
        <v>354</v>
      </c>
      <c r="BJ48" s="499">
        <f t="shared" si="87"/>
        <v>2.1869519999999998</v>
      </c>
      <c r="BK48" s="5">
        <f t="shared" si="15"/>
        <v>0</v>
      </c>
      <c r="BL48" s="499">
        <f t="shared" si="16"/>
        <v>21.148700000000002</v>
      </c>
      <c r="BM48" s="499">
        <f t="shared" si="17"/>
        <v>1001.519002</v>
      </c>
      <c r="BO48" s="499">
        <f t="shared" si="18"/>
        <v>354</v>
      </c>
      <c r="BP48" s="499">
        <f t="shared" si="19"/>
        <v>2.1869519999999998</v>
      </c>
      <c r="BQ48" s="5">
        <f t="shared" si="20"/>
        <v>0</v>
      </c>
      <c r="BR48" s="499">
        <f t="shared" si="21"/>
        <v>21.148700000000002</v>
      </c>
      <c r="BS48" s="499">
        <f t="shared" si="11"/>
        <v>1001.519002</v>
      </c>
      <c r="BU48" s="499">
        <f t="shared" si="22"/>
        <v>354</v>
      </c>
      <c r="BV48" s="499">
        <f t="shared" si="23"/>
        <v>2.1869519999999998</v>
      </c>
      <c r="BW48" s="5">
        <f t="shared" si="12"/>
        <v>0</v>
      </c>
      <c r="BX48" s="499">
        <f t="shared" si="24"/>
        <v>21.148700000000002</v>
      </c>
      <c r="BY48" s="499">
        <f t="shared" si="25"/>
        <v>1001.519002</v>
      </c>
      <c r="CA48">
        <v>354</v>
      </c>
      <c r="CB48">
        <v>2.1869519999999998</v>
      </c>
      <c r="CC48">
        <v>0</v>
      </c>
      <c r="CD48">
        <v>21.148700000000002</v>
      </c>
      <c r="CE48">
        <v>1001.519002</v>
      </c>
      <c r="CG48" s="499">
        <f t="shared" si="26"/>
        <v>0</v>
      </c>
      <c r="CH48" s="499">
        <f t="shared" si="27"/>
        <v>0</v>
      </c>
      <c r="CI48" s="499">
        <f t="shared" si="28"/>
        <v>0</v>
      </c>
      <c r="CJ48" s="499">
        <f t="shared" si="29"/>
        <v>0</v>
      </c>
      <c r="CP48" s="499"/>
      <c r="CQ48" s="65">
        <f t="shared" si="32"/>
        <v>0.9386389240694839</v>
      </c>
      <c r="CR48" s="499">
        <f t="shared" si="33"/>
        <v>0.9386389240694839</v>
      </c>
      <c r="CS48" s="499">
        <f t="shared" si="34"/>
        <v>0.9386389240694839</v>
      </c>
      <c r="CT48" s="38">
        <f t="shared" si="35"/>
        <v>1</v>
      </c>
      <c r="CU48" s="498">
        <f t="shared" si="36"/>
        <v>1</v>
      </c>
    </row>
    <row r="49" spans="1:99">
      <c r="A49" s="499">
        <f t="shared" si="9"/>
        <v>1</v>
      </c>
      <c r="B49">
        <v>473</v>
      </c>
      <c r="C49">
        <v>472</v>
      </c>
      <c r="D49" t="s">
        <v>1043</v>
      </c>
      <c r="E49">
        <v>472</v>
      </c>
      <c r="F49">
        <v>0</v>
      </c>
      <c r="G49">
        <v>1.1000000000000001</v>
      </c>
      <c r="H49">
        <v>420</v>
      </c>
      <c r="I49">
        <v>4</v>
      </c>
      <c r="J49">
        <v>354100.13565000001</v>
      </c>
      <c r="K49">
        <v>4954407.429575</v>
      </c>
      <c r="L49">
        <v>354065.61881000001</v>
      </c>
      <c r="M49">
        <v>4954775.7768850001</v>
      </c>
      <c r="N49">
        <v>5175.5</v>
      </c>
      <c r="O49">
        <v>14.996591</v>
      </c>
      <c r="P49">
        <v>14.996591</v>
      </c>
      <c r="Q49">
        <v>1</v>
      </c>
      <c r="R49">
        <v>21.14</v>
      </c>
      <c r="S49">
        <v>19.95</v>
      </c>
      <c r="T49">
        <v>21.45</v>
      </c>
      <c r="U49">
        <v>23.89</v>
      </c>
      <c r="V49">
        <v>18.55</v>
      </c>
      <c r="W49">
        <v>20.92</v>
      </c>
      <c r="X49">
        <v>20.88</v>
      </c>
      <c r="Y49">
        <v>18.13</v>
      </c>
      <c r="Z49">
        <v>16.55</v>
      </c>
      <c r="AA49">
        <v>1998</v>
      </c>
      <c r="AB49">
        <v>23681251</v>
      </c>
      <c r="AC49">
        <v>20.162222</v>
      </c>
      <c r="AD49">
        <v>24.628802</v>
      </c>
      <c r="AE49">
        <v>75</v>
      </c>
      <c r="AF49">
        <v>358</v>
      </c>
      <c r="AG49">
        <v>9449.0852730000006</v>
      </c>
      <c r="AH49">
        <v>697572.09995499998</v>
      </c>
      <c r="AI49">
        <v>1087.5310260000001</v>
      </c>
      <c r="AJ49">
        <v>44</v>
      </c>
      <c r="AK49" s="499">
        <f t="shared" si="13"/>
        <v>45.632031686999994</v>
      </c>
      <c r="AL49" s="15">
        <f t="shared" si="3"/>
        <v>72.972031686999998</v>
      </c>
      <c r="AM49" s="15"/>
      <c r="AN49" s="499">
        <f t="shared" si="71"/>
        <v>20.156894556451615</v>
      </c>
      <c r="AO49" s="499">
        <f t="shared" si="72"/>
        <v>22.914507459677417</v>
      </c>
      <c r="AP49" s="499">
        <f t="shared" si="73"/>
        <v>22.227619250682231</v>
      </c>
      <c r="AQ49" s="499"/>
      <c r="AR49" s="228">
        <v>19.372482000000002</v>
      </c>
      <c r="AS49" s="13">
        <v>148</v>
      </c>
      <c r="AT49" s="13">
        <v>2.1643500000000002</v>
      </c>
      <c r="AU49" s="13">
        <f t="shared" si="47"/>
        <v>0</v>
      </c>
      <c r="AV49" s="13">
        <f t="shared" si="38"/>
        <v>19.372482000000002</v>
      </c>
      <c r="AW49" s="13">
        <f t="shared" si="39"/>
        <v>19.372482000000002</v>
      </c>
      <c r="AX49" s="13">
        <f t="shared" si="40"/>
        <v>19.372482000000002</v>
      </c>
      <c r="AY49" s="13">
        <v>671.55623600000001</v>
      </c>
      <c r="AZ49" s="13">
        <f t="shared" si="41"/>
        <v>0</v>
      </c>
      <c r="BA49" s="13">
        <f t="shared" si="42"/>
        <v>0</v>
      </c>
      <c r="BB49" s="97">
        <f t="shared" si="43"/>
        <v>0</v>
      </c>
      <c r="BC49" s="499"/>
      <c r="BD49" s="499">
        <v>104.15</v>
      </c>
      <c r="BE49" s="499">
        <v>22.51988366935484</v>
      </c>
      <c r="BF49" s="499">
        <v>20.786379637096768</v>
      </c>
      <c r="BG49" s="499">
        <v>19.563326040682234</v>
      </c>
      <c r="BI49" s="499">
        <f t="shared" ref="BI49:BJ49" si="88">AS52</f>
        <v>462</v>
      </c>
      <c r="BJ49" s="499">
        <f t="shared" si="88"/>
        <v>2.1987899999999998</v>
      </c>
      <c r="BK49" s="5">
        <f t="shared" si="15"/>
        <v>0</v>
      </c>
      <c r="BL49" s="499">
        <f t="shared" si="16"/>
        <v>18.952926999999999</v>
      </c>
      <c r="BM49" s="499">
        <f t="shared" si="17"/>
        <v>998.84816999999998</v>
      </c>
      <c r="BO49" s="499">
        <f t="shared" si="18"/>
        <v>462</v>
      </c>
      <c r="BP49" s="499">
        <f t="shared" si="19"/>
        <v>2.1987899999999998</v>
      </c>
      <c r="BQ49" s="5">
        <f t="shared" si="20"/>
        <v>0</v>
      </c>
      <c r="BR49" s="499">
        <f t="shared" si="21"/>
        <v>18.952926999999999</v>
      </c>
      <c r="BS49" s="499">
        <f t="shared" si="11"/>
        <v>998.84816999999998</v>
      </c>
      <c r="BU49" s="499">
        <f t="shared" si="22"/>
        <v>462</v>
      </c>
      <c r="BV49" s="499">
        <f t="shared" si="23"/>
        <v>2.1987899999999998</v>
      </c>
      <c r="BW49" s="5">
        <f t="shared" si="12"/>
        <v>0</v>
      </c>
      <c r="BX49" s="499">
        <f t="shared" si="24"/>
        <v>18.952926999999999</v>
      </c>
      <c r="BY49" s="499">
        <f t="shared" si="25"/>
        <v>998.84816999999998</v>
      </c>
      <c r="CA49">
        <v>462</v>
      </c>
      <c r="CB49">
        <v>2.1987899999999998</v>
      </c>
      <c r="CC49">
        <v>0</v>
      </c>
      <c r="CD49">
        <v>18.952926999999999</v>
      </c>
      <c r="CE49">
        <v>998.84816999999998</v>
      </c>
      <c r="CG49" s="499">
        <f t="shared" si="26"/>
        <v>0</v>
      </c>
      <c r="CH49" s="499">
        <f t="shared" si="27"/>
        <v>0</v>
      </c>
      <c r="CI49" s="499">
        <f t="shared" si="28"/>
        <v>0</v>
      </c>
      <c r="CJ49" s="499">
        <f t="shared" si="29"/>
        <v>0</v>
      </c>
      <c r="CP49" s="499"/>
      <c r="CQ49" s="65">
        <f t="shared" si="32"/>
        <v>0.97718191183945025</v>
      </c>
      <c r="CR49" s="499">
        <f t="shared" si="33"/>
        <v>0.97718191183945025</v>
      </c>
      <c r="CS49" s="499">
        <f t="shared" si="34"/>
        <v>0.97718191183945025</v>
      </c>
      <c r="CT49" s="38">
        <f t="shared" si="35"/>
        <v>1</v>
      </c>
      <c r="CU49" s="498">
        <f t="shared" si="36"/>
        <v>1</v>
      </c>
    </row>
    <row r="50" spans="1:99">
      <c r="A50" s="499">
        <f t="shared" si="9"/>
        <v>1</v>
      </c>
      <c r="B50">
        <v>269</v>
      </c>
      <c r="C50">
        <v>268</v>
      </c>
      <c r="D50" t="s">
        <v>1043</v>
      </c>
      <c r="E50">
        <v>268</v>
      </c>
      <c r="F50">
        <v>0</v>
      </c>
      <c r="G50">
        <v>0.4</v>
      </c>
      <c r="H50">
        <v>393</v>
      </c>
      <c r="I50">
        <v>3</v>
      </c>
      <c r="J50">
        <v>354703.26635300001</v>
      </c>
      <c r="K50">
        <v>4954520.7285700003</v>
      </c>
      <c r="L50">
        <v>354750.71798700001</v>
      </c>
      <c r="M50">
        <v>4955018.3793869996</v>
      </c>
      <c r="N50">
        <v>4883.3333329999996</v>
      </c>
      <c r="O50">
        <v>14.525829</v>
      </c>
      <c r="P50">
        <v>14.525829</v>
      </c>
      <c r="Q50">
        <v>1</v>
      </c>
      <c r="R50">
        <v>21.14</v>
      </c>
      <c r="S50">
        <v>19.95</v>
      </c>
      <c r="T50">
        <v>21.45</v>
      </c>
      <c r="U50">
        <v>23.89</v>
      </c>
      <c r="V50">
        <v>18.55</v>
      </c>
      <c r="W50">
        <v>20.92</v>
      </c>
      <c r="X50">
        <v>20.88</v>
      </c>
      <c r="Y50">
        <v>18.13</v>
      </c>
      <c r="Z50">
        <v>16.55</v>
      </c>
      <c r="AA50">
        <v>1998</v>
      </c>
      <c r="AB50">
        <v>23681251</v>
      </c>
      <c r="AC50">
        <v>20.162222</v>
      </c>
      <c r="AD50">
        <v>24.628802</v>
      </c>
      <c r="AE50">
        <v>75</v>
      </c>
      <c r="AF50">
        <v>358</v>
      </c>
      <c r="AG50">
        <v>9449.0852730000006</v>
      </c>
      <c r="AH50">
        <v>697572.09995499998</v>
      </c>
      <c r="AI50">
        <v>751.59441500000003</v>
      </c>
      <c r="AJ50">
        <v>45</v>
      </c>
      <c r="AK50" s="499">
        <f t="shared" si="13"/>
        <v>46.719562712999995</v>
      </c>
      <c r="AL50" s="15">
        <f t="shared" si="3"/>
        <v>74.059562712999991</v>
      </c>
      <c r="AM50" s="15"/>
      <c r="AN50" s="499">
        <f t="shared" si="71"/>
        <v>20.269567137096779</v>
      </c>
      <c r="AO50" s="499">
        <f t="shared" si="72"/>
        <v>22.862246572580645</v>
      </c>
      <c r="AP50" s="499">
        <f t="shared" si="73"/>
        <v>22.302794018484441</v>
      </c>
      <c r="AQ50" s="499"/>
      <c r="AR50" s="228">
        <v>22.767804999999999</v>
      </c>
      <c r="AS50" s="13">
        <v>84</v>
      </c>
      <c r="AT50" s="13">
        <v>2.1850019999999999</v>
      </c>
      <c r="AU50" s="13">
        <f t="shared" si="47"/>
        <v>0</v>
      </c>
      <c r="AV50" s="13">
        <f t="shared" si="38"/>
        <v>22.767804999999999</v>
      </c>
      <c r="AW50" s="13">
        <f t="shared" si="39"/>
        <v>22.767804999999999</v>
      </c>
      <c r="AX50" s="13">
        <f t="shared" si="40"/>
        <v>22.767804999999999</v>
      </c>
      <c r="AY50" s="13">
        <v>725.16991199999995</v>
      </c>
      <c r="AZ50" s="13">
        <f t="shared" si="41"/>
        <v>0</v>
      </c>
      <c r="BA50" s="13">
        <f t="shared" si="42"/>
        <v>0</v>
      </c>
      <c r="BB50" s="97">
        <f t="shared" si="43"/>
        <v>0</v>
      </c>
      <c r="BC50" s="499"/>
      <c r="BD50" s="499">
        <v>103.95</v>
      </c>
      <c r="BE50" s="499">
        <v>22.364449798387096</v>
      </c>
      <c r="BF50" s="499">
        <v>20.729365524193554</v>
      </c>
      <c r="BG50" s="499">
        <v>19.488263308173078</v>
      </c>
      <c r="BI50" s="499">
        <f t="shared" ref="BI50:BJ50" si="89">AS53</f>
        <v>314</v>
      </c>
      <c r="BJ50" s="499">
        <f t="shared" si="89"/>
        <v>2.2032850000000002</v>
      </c>
      <c r="BK50" s="5">
        <f t="shared" si="15"/>
        <v>0</v>
      </c>
      <c r="BL50" s="499">
        <f t="shared" si="16"/>
        <v>21.496413</v>
      </c>
      <c r="BM50" s="499">
        <f t="shared" si="17"/>
        <v>1077.352533</v>
      </c>
      <c r="BO50" s="499">
        <f t="shared" si="18"/>
        <v>314</v>
      </c>
      <c r="BP50" s="499">
        <f t="shared" si="19"/>
        <v>2.2032850000000002</v>
      </c>
      <c r="BQ50" s="5">
        <f t="shared" si="20"/>
        <v>0</v>
      </c>
      <c r="BR50" s="499">
        <f t="shared" si="21"/>
        <v>21.496413</v>
      </c>
      <c r="BS50" s="499">
        <f t="shared" si="11"/>
        <v>1077.352533</v>
      </c>
      <c r="BU50" s="499">
        <f t="shared" si="22"/>
        <v>314</v>
      </c>
      <c r="BV50" s="499">
        <f t="shared" si="23"/>
        <v>2.2032850000000002</v>
      </c>
      <c r="BW50" s="5">
        <f t="shared" si="12"/>
        <v>0</v>
      </c>
      <c r="BX50" s="499">
        <f t="shared" si="24"/>
        <v>21.496413</v>
      </c>
      <c r="BY50" s="499">
        <f t="shared" si="25"/>
        <v>1077.352533</v>
      </c>
      <c r="CA50">
        <v>314</v>
      </c>
      <c r="CB50">
        <v>2.2032850000000002</v>
      </c>
      <c r="CC50">
        <v>0</v>
      </c>
      <c r="CD50">
        <v>21.496413</v>
      </c>
      <c r="CE50">
        <v>1077.352533</v>
      </c>
      <c r="CG50" s="499">
        <f t="shared" si="26"/>
        <v>0</v>
      </c>
      <c r="CH50" s="499">
        <f t="shared" si="27"/>
        <v>0</v>
      </c>
      <c r="CI50" s="499">
        <f t="shared" si="28"/>
        <v>0</v>
      </c>
      <c r="CJ50" s="499">
        <f t="shared" si="29"/>
        <v>0</v>
      </c>
      <c r="CP50" s="499"/>
      <c r="CQ50" s="65">
        <f t="shared" si="32"/>
        <v>0.97883857941225683</v>
      </c>
      <c r="CR50" s="499">
        <f t="shared" si="33"/>
        <v>0.97883857941225683</v>
      </c>
      <c r="CS50" s="499">
        <f t="shared" si="34"/>
        <v>0.97883857941225683</v>
      </c>
      <c r="CT50" s="38">
        <f t="shared" si="35"/>
        <v>1</v>
      </c>
      <c r="CU50" s="498">
        <f t="shared" si="36"/>
        <v>1</v>
      </c>
    </row>
    <row r="51" spans="1:99">
      <c r="A51" s="499">
        <f t="shared" si="9"/>
        <v>1</v>
      </c>
      <c r="B51">
        <v>387</v>
      </c>
      <c r="C51">
        <v>386</v>
      </c>
      <c r="D51" t="s">
        <v>1043</v>
      </c>
      <c r="E51">
        <v>386</v>
      </c>
      <c r="F51">
        <v>0</v>
      </c>
      <c r="G51">
        <v>1</v>
      </c>
      <c r="H51">
        <v>392</v>
      </c>
      <c r="I51">
        <v>4</v>
      </c>
      <c r="J51">
        <v>355283.07410799997</v>
      </c>
      <c r="K51">
        <v>4954341.9358400004</v>
      </c>
      <c r="L51">
        <v>355636.82958999998</v>
      </c>
      <c r="M51">
        <v>4954641.4682200002</v>
      </c>
      <c r="N51">
        <v>4454.75</v>
      </c>
      <c r="O51">
        <v>14.191483</v>
      </c>
      <c r="P51">
        <v>14.191483</v>
      </c>
      <c r="Q51">
        <v>1</v>
      </c>
      <c r="R51">
        <v>21.14</v>
      </c>
      <c r="S51">
        <v>19.95</v>
      </c>
      <c r="T51">
        <v>21.45</v>
      </c>
      <c r="U51">
        <v>23.89</v>
      </c>
      <c r="V51">
        <v>18.55</v>
      </c>
      <c r="W51">
        <v>20.92</v>
      </c>
      <c r="X51">
        <v>20.88</v>
      </c>
      <c r="Y51">
        <v>18.13</v>
      </c>
      <c r="Z51">
        <v>16.55</v>
      </c>
      <c r="AA51">
        <v>1998</v>
      </c>
      <c r="AB51">
        <v>23681251</v>
      </c>
      <c r="AC51">
        <v>20.162222</v>
      </c>
      <c r="AD51">
        <v>24.628802</v>
      </c>
      <c r="AE51">
        <v>75</v>
      </c>
      <c r="AF51">
        <v>358</v>
      </c>
      <c r="AG51">
        <v>9449.0852730000006</v>
      </c>
      <c r="AH51">
        <v>697572.09995499998</v>
      </c>
      <c r="AI51">
        <v>1000.549477</v>
      </c>
      <c r="AJ51">
        <v>46</v>
      </c>
      <c r="AK51" s="499">
        <f t="shared" si="13"/>
        <v>47.471157127999994</v>
      </c>
      <c r="AL51" s="15">
        <f t="shared" si="3"/>
        <v>74.811157127999991</v>
      </c>
      <c r="AM51" s="15"/>
      <c r="AN51" s="499">
        <f t="shared" si="71"/>
        <v>20.120244354838718</v>
      </c>
      <c r="AO51" s="499">
        <f t="shared" si="72"/>
        <v>23.157609475806453</v>
      </c>
      <c r="AP51" s="499">
        <f t="shared" si="73"/>
        <v>22.553010407010078</v>
      </c>
      <c r="AQ51" s="499"/>
      <c r="AR51" s="228">
        <v>21.148700000000002</v>
      </c>
      <c r="AS51" s="13">
        <v>354</v>
      </c>
      <c r="AT51" s="13">
        <v>2.1869519999999998</v>
      </c>
      <c r="AU51" s="13">
        <f t="shared" si="47"/>
        <v>0</v>
      </c>
      <c r="AV51" s="13">
        <f t="shared" si="38"/>
        <v>21.148700000000002</v>
      </c>
      <c r="AW51" s="13">
        <f t="shared" si="39"/>
        <v>21.148700000000002</v>
      </c>
      <c r="AX51" s="13">
        <f t="shared" si="40"/>
        <v>21.148700000000002</v>
      </c>
      <c r="AY51" s="13">
        <v>1001.519002</v>
      </c>
      <c r="AZ51" s="13">
        <f t="shared" si="41"/>
        <v>0</v>
      </c>
      <c r="BA51" s="13">
        <f t="shared" si="42"/>
        <v>0</v>
      </c>
      <c r="BB51" s="97">
        <f t="shared" si="43"/>
        <v>0</v>
      </c>
      <c r="BC51" s="499"/>
      <c r="BD51" s="499">
        <v>103.75</v>
      </c>
      <c r="BE51" s="499">
        <v>22.284402419354844</v>
      </c>
      <c r="BF51" s="499">
        <v>20.726208870967742</v>
      </c>
      <c r="BG51" s="499">
        <v>19.550973053031139</v>
      </c>
      <c r="BI51" s="499">
        <f t="shared" ref="BI51:BJ51" si="90">AS54</f>
        <v>309</v>
      </c>
      <c r="BJ51" s="499">
        <f t="shared" si="90"/>
        <v>2.2083499999999998</v>
      </c>
      <c r="BK51" s="5">
        <f t="shared" si="15"/>
        <v>0</v>
      </c>
      <c r="BL51" s="499">
        <f t="shared" si="16"/>
        <v>19.297452</v>
      </c>
      <c r="BM51" s="499">
        <f t="shared" si="17"/>
        <v>999.40767300000005</v>
      </c>
      <c r="BO51" s="499">
        <f t="shared" si="18"/>
        <v>309</v>
      </c>
      <c r="BP51" s="499">
        <f t="shared" si="19"/>
        <v>2.2083499999999998</v>
      </c>
      <c r="BQ51" s="5">
        <f t="shared" si="20"/>
        <v>0</v>
      </c>
      <c r="BR51" s="499">
        <f t="shared" si="21"/>
        <v>19.297452</v>
      </c>
      <c r="BS51" s="499">
        <f t="shared" si="11"/>
        <v>999.40767300000005</v>
      </c>
      <c r="BU51" s="499">
        <f t="shared" si="22"/>
        <v>309</v>
      </c>
      <c r="BV51" s="499">
        <f t="shared" si="23"/>
        <v>2.2083499999999998</v>
      </c>
      <c r="BW51" s="5">
        <f t="shared" si="12"/>
        <v>0</v>
      </c>
      <c r="BX51" s="499">
        <f t="shared" si="24"/>
        <v>19.297452</v>
      </c>
      <c r="BY51" s="499">
        <f t="shared" si="25"/>
        <v>999.40767300000005</v>
      </c>
      <c r="CA51">
        <v>309</v>
      </c>
      <c r="CB51">
        <v>2.2083499999999998</v>
      </c>
      <c r="CC51">
        <v>0</v>
      </c>
      <c r="CD51">
        <v>19.297452</v>
      </c>
      <c r="CE51">
        <v>999.40767300000005</v>
      </c>
      <c r="CG51" s="499">
        <f t="shared" si="26"/>
        <v>0</v>
      </c>
      <c r="CH51" s="499">
        <f t="shared" si="27"/>
        <v>0</v>
      </c>
      <c r="CI51" s="499">
        <f t="shared" si="28"/>
        <v>0</v>
      </c>
      <c r="CJ51" s="499">
        <f t="shared" si="29"/>
        <v>0</v>
      </c>
      <c r="CP51" s="499"/>
      <c r="CQ51" s="65">
        <f t="shared" si="32"/>
        <v>0.97551717464143584</v>
      </c>
      <c r="CR51" s="499">
        <f t="shared" si="33"/>
        <v>0.97551717464143584</v>
      </c>
      <c r="CS51" s="499">
        <f t="shared" si="34"/>
        <v>0.97551717464143584</v>
      </c>
      <c r="CT51" s="38">
        <f t="shared" si="35"/>
        <v>1</v>
      </c>
      <c r="CU51" s="498">
        <f t="shared" si="36"/>
        <v>1</v>
      </c>
    </row>
    <row r="52" spans="1:99">
      <c r="A52" s="499">
        <f t="shared" si="9"/>
        <v>1</v>
      </c>
      <c r="B52">
        <v>195</v>
      </c>
      <c r="C52">
        <v>194</v>
      </c>
      <c r="D52" t="s">
        <v>1043</v>
      </c>
      <c r="E52">
        <v>194</v>
      </c>
      <c r="F52">
        <v>0</v>
      </c>
      <c r="G52">
        <v>0.9</v>
      </c>
      <c r="H52">
        <v>391</v>
      </c>
      <c r="I52">
        <v>4</v>
      </c>
      <c r="J52">
        <v>355807.59920499998</v>
      </c>
      <c r="K52">
        <v>4953570.3338519996</v>
      </c>
      <c r="L52">
        <v>355557.912488</v>
      </c>
      <c r="M52">
        <v>4953623.2410800001</v>
      </c>
      <c r="N52">
        <v>4521.5</v>
      </c>
      <c r="O52">
        <v>14.289706000000001</v>
      </c>
      <c r="P52">
        <v>14.289706000000001</v>
      </c>
      <c r="Q52">
        <v>3</v>
      </c>
      <c r="R52">
        <v>19.856667000000002</v>
      </c>
      <c r="S52">
        <v>18.783332999999999</v>
      </c>
      <c r="T52">
        <v>19.933333000000001</v>
      </c>
      <c r="U52">
        <v>21.883333</v>
      </c>
      <c r="V52">
        <v>17.516667000000002</v>
      </c>
      <c r="W52">
        <v>19.71</v>
      </c>
      <c r="X52">
        <v>19.61</v>
      </c>
      <c r="Y52">
        <v>16.89</v>
      </c>
      <c r="Z52">
        <v>15.81</v>
      </c>
      <c r="AA52">
        <v>2074.333333</v>
      </c>
      <c r="AB52">
        <v>23681253.666666999</v>
      </c>
      <c r="AC52">
        <v>18.888148000000001</v>
      </c>
      <c r="AD52">
        <v>23.388137</v>
      </c>
      <c r="AE52">
        <v>75</v>
      </c>
      <c r="AF52">
        <v>340.66666700000002</v>
      </c>
      <c r="AG52">
        <v>5882.3251190000001</v>
      </c>
      <c r="AH52">
        <v>426284.39852699998</v>
      </c>
      <c r="AI52">
        <v>935.50215500000002</v>
      </c>
      <c r="AJ52">
        <v>47</v>
      </c>
      <c r="AK52" s="499">
        <f t="shared" si="13"/>
        <v>48.471706604999994</v>
      </c>
      <c r="AL52" s="15">
        <f t="shared" si="3"/>
        <v>75.811706604999998</v>
      </c>
      <c r="AM52" s="15"/>
      <c r="AN52" s="499">
        <f t="shared" si="71"/>
        <v>20.232669153225814</v>
      </c>
      <c r="AO52" s="499">
        <f t="shared" si="72"/>
        <v>23.764269556451609</v>
      </c>
      <c r="AP52" s="499">
        <f t="shared" si="73"/>
        <v>23.056998339885528</v>
      </c>
      <c r="AQ52" s="499"/>
      <c r="AR52" s="228">
        <v>18.952926999999999</v>
      </c>
      <c r="AS52" s="13">
        <v>462</v>
      </c>
      <c r="AT52" s="13">
        <v>2.1987899999999998</v>
      </c>
      <c r="AU52" s="13">
        <f t="shared" si="47"/>
        <v>0</v>
      </c>
      <c r="AV52" s="13">
        <f t="shared" si="38"/>
        <v>18.952926999999999</v>
      </c>
      <c r="AW52" s="13">
        <f t="shared" si="39"/>
        <v>18.952926999999999</v>
      </c>
      <c r="AX52" s="13">
        <f t="shared" si="40"/>
        <v>18.952926999999999</v>
      </c>
      <c r="AY52" s="13">
        <v>998.84816999999998</v>
      </c>
      <c r="AZ52" s="13">
        <f t="shared" si="41"/>
        <v>0</v>
      </c>
      <c r="BA52" s="13">
        <f t="shared" si="42"/>
        <v>0</v>
      </c>
      <c r="BB52" s="97">
        <f t="shared" si="43"/>
        <v>0</v>
      </c>
      <c r="BC52" s="499"/>
      <c r="BD52" s="499">
        <v>103.55</v>
      </c>
      <c r="BE52" s="499">
        <v>22.427453830645156</v>
      </c>
      <c r="BF52" s="499">
        <v>21.185693145161292</v>
      </c>
      <c r="BG52" s="499">
        <v>20.154728551433156</v>
      </c>
      <c r="BI52" s="499">
        <f t="shared" ref="BI52:BJ52" si="91">AS55</f>
        <v>426</v>
      </c>
      <c r="BJ52" s="499">
        <f t="shared" si="91"/>
        <v>2.2252360000000002</v>
      </c>
      <c r="BK52" s="5">
        <f t="shared" si="15"/>
        <v>0</v>
      </c>
      <c r="BL52" s="499">
        <f t="shared" si="16"/>
        <v>19.372482000000002</v>
      </c>
      <c r="BM52" s="499">
        <f t="shared" si="17"/>
        <v>999.13019099999997</v>
      </c>
      <c r="BO52" s="499">
        <f t="shared" si="18"/>
        <v>426</v>
      </c>
      <c r="BP52" s="499">
        <f t="shared" si="19"/>
        <v>2.2252360000000002</v>
      </c>
      <c r="BQ52" s="5">
        <f t="shared" si="20"/>
        <v>0</v>
      </c>
      <c r="BR52" s="499">
        <f t="shared" si="21"/>
        <v>19.372482000000002</v>
      </c>
      <c r="BS52" s="499">
        <f t="shared" si="11"/>
        <v>999.13019099999997</v>
      </c>
      <c r="BU52" s="499">
        <f t="shared" si="22"/>
        <v>426</v>
      </c>
      <c r="BV52" s="499">
        <f t="shared" si="23"/>
        <v>2.2252360000000002</v>
      </c>
      <c r="BW52" s="5">
        <f t="shared" si="12"/>
        <v>0</v>
      </c>
      <c r="BX52" s="499">
        <f t="shared" si="24"/>
        <v>19.372482000000002</v>
      </c>
      <c r="BY52" s="499">
        <f t="shared" si="25"/>
        <v>999.13019099999997</v>
      </c>
      <c r="CA52">
        <v>426</v>
      </c>
      <c r="CB52">
        <v>2.2252360000000002</v>
      </c>
      <c r="CC52">
        <v>0</v>
      </c>
      <c r="CD52">
        <v>19.372482000000002</v>
      </c>
      <c r="CE52">
        <v>999.13019099999997</v>
      </c>
      <c r="CG52" s="499">
        <f t="shared" si="26"/>
        <v>0</v>
      </c>
      <c r="CH52" s="499">
        <f t="shared" si="27"/>
        <v>0</v>
      </c>
      <c r="CI52" s="499">
        <f t="shared" si="28"/>
        <v>0</v>
      </c>
      <c r="CJ52" s="499">
        <f t="shared" si="29"/>
        <v>0</v>
      </c>
      <c r="CP52" s="499"/>
      <c r="CQ52" s="65">
        <f t="shared" si="32"/>
        <v>0.97881752723341475</v>
      </c>
      <c r="CR52" s="499">
        <f t="shared" si="33"/>
        <v>0.97881752723341475</v>
      </c>
      <c r="CS52" s="499">
        <f t="shared" si="34"/>
        <v>0.97881752723341475</v>
      </c>
      <c r="CT52" s="38">
        <f t="shared" si="35"/>
        <v>1</v>
      </c>
      <c r="CU52" s="498">
        <f t="shared" si="36"/>
        <v>1</v>
      </c>
    </row>
    <row r="53" spans="1:99">
      <c r="A53" s="499">
        <f t="shared" si="9"/>
        <v>1</v>
      </c>
      <c r="B53">
        <v>170</v>
      </c>
      <c r="C53">
        <v>169</v>
      </c>
      <c r="D53" t="s">
        <v>1043</v>
      </c>
      <c r="E53">
        <v>169</v>
      </c>
      <c r="F53">
        <v>0</v>
      </c>
      <c r="G53">
        <v>0.9</v>
      </c>
      <c r="H53">
        <v>360</v>
      </c>
      <c r="I53">
        <v>3</v>
      </c>
      <c r="J53">
        <v>355579.40246000001</v>
      </c>
      <c r="K53">
        <v>4952640.8272270001</v>
      </c>
      <c r="L53">
        <v>356029.36223999999</v>
      </c>
      <c r="M53">
        <v>4952850.2367000002</v>
      </c>
      <c r="N53">
        <v>4384</v>
      </c>
      <c r="O53">
        <v>14.835436</v>
      </c>
      <c r="P53">
        <v>14.835436</v>
      </c>
      <c r="Q53">
        <v>3</v>
      </c>
      <c r="R53">
        <v>19.813333</v>
      </c>
      <c r="S53">
        <v>18.656666999999999</v>
      </c>
      <c r="T53">
        <v>19.72</v>
      </c>
      <c r="U53">
        <v>21.513332999999999</v>
      </c>
      <c r="V53">
        <v>17.383333</v>
      </c>
      <c r="W53">
        <v>19.623332999999999</v>
      </c>
      <c r="X53">
        <v>19.46</v>
      </c>
      <c r="Y53">
        <v>16.690000000000001</v>
      </c>
      <c r="Z53">
        <v>15.526667</v>
      </c>
      <c r="AA53">
        <v>2075</v>
      </c>
      <c r="AB53">
        <v>23681255.666666999</v>
      </c>
      <c r="AC53">
        <v>18.709630000000001</v>
      </c>
      <c r="AD53">
        <v>23.229558999999998</v>
      </c>
      <c r="AE53">
        <v>75</v>
      </c>
      <c r="AF53">
        <v>325</v>
      </c>
      <c r="AG53">
        <v>3882.4729550000002</v>
      </c>
      <c r="AH53">
        <v>274133.18961599999</v>
      </c>
      <c r="AI53">
        <v>862.82706199999996</v>
      </c>
      <c r="AJ53">
        <v>48</v>
      </c>
      <c r="AK53" s="499">
        <f t="shared" si="13"/>
        <v>49.407208759999996</v>
      </c>
      <c r="AL53" s="15">
        <f t="shared" si="3"/>
        <v>76.747208759999992</v>
      </c>
      <c r="AM53" s="15"/>
      <c r="AN53" s="499">
        <f t="shared" si="71"/>
        <v>20.377496975806451</v>
      </c>
      <c r="AO53" s="499">
        <f t="shared" si="72"/>
        <v>24.066106250000001</v>
      </c>
      <c r="AP53" s="499">
        <f t="shared" si="73"/>
        <v>23.322482095805857</v>
      </c>
      <c r="AQ53" s="499"/>
      <c r="AR53" s="228">
        <v>21.496413</v>
      </c>
      <c r="AS53" s="13">
        <v>314</v>
      </c>
      <c r="AT53" s="13">
        <v>2.2032850000000002</v>
      </c>
      <c r="AU53" s="13">
        <f t="shared" si="47"/>
        <v>0</v>
      </c>
      <c r="AV53" s="13">
        <f t="shared" si="38"/>
        <v>21.496413</v>
      </c>
      <c r="AW53" s="13">
        <f t="shared" si="39"/>
        <v>21.496413</v>
      </c>
      <c r="AX53" s="13">
        <f t="shared" si="40"/>
        <v>21.496413</v>
      </c>
      <c r="AY53" s="13">
        <v>1077.352533</v>
      </c>
      <c r="AZ53" s="13">
        <f t="shared" si="41"/>
        <v>0</v>
      </c>
      <c r="BA53" s="13">
        <f t="shared" si="42"/>
        <v>0</v>
      </c>
      <c r="BB53" s="97">
        <f t="shared" si="43"/>
        <v>0</v>
      </c>
      <c r="BC53" s="499"/>
      <c r="BD53" s="499">
        <v>103.35</v>
      </c>
      <c r="BE53" s="499">
        <v>22.379933064516131</v>
      </c>
      <c r="BF53" s="499">
        <v>21.179351008064518</v>
      </c>
      <c r="BG53" s="499">
        <v>20.232767712596157</v>
      </c>
      <c r="BI53" s="499">
        <f t="shared" ref="BI53:BJ53" si="92">AS56</f>
        <v>423</v>
      </c>
      <c r="BJ53" s="499">
        <f t="shared" si="92"/>
        <v>2.2257669999999998</v>
      </c>
      <c r="BK53" s="5">
        <f t="shared" si="15"/>
        <v>0</v>
      </c>
      <c r="BL53" s="499">
        <f t="shared" si="16"/>
        <v>20.306528</v>
      </c>
      <c r="BM53" s="499">
        <f t="shared" si="17"/>
        <v>998.93141500000002</v>
      </c>
      <c r="BO53" s="499">
        <f t="shared" si="18"/>
        <v>423</v>
      </c>
      <c r="BP53" s="499">
        <f t="shared" si="19"/>
        <v>2.2257669999999998</v>
      </c>
      <c r="BQ53" s="5">
        <f t="shared" si="20"/>
        <v>0</v>
      </c>
      <c r="BR53" s="499">
        <f t="shared" si="21"/>
        <v>20.306528</v>
      </c>
      <c r="BS53" s="499">
        <f t="shared" si="11"/>
        <v>998.93141500000002</v>
      </c>
      <c r="BU53" s="499">
        <f t="shared" si="22"/>
        <v>423</v>
      </c>
      <c r="BV53" s="499">
        <f t="shared" si="23"/>
        <v>2.2257669999999998</v>
      </c>
      <c r="BW53" s="5">
        <f t="shared" si="12"/>
        <v>0</v>
      </c>
      <c r="BX53" s="499">
        <f t="shared" si="24"/>
        <v>20.306528</v>
      </c>
      <c r="BY53" s="499">
        <f t="shared" si="25"/>
        <v>998.93141500000002</v>
      </c>
      <c r="CA53">
        <v>423</v>
      </c>
      <c r="CB53">
        <v>2.2257669999999998</v>
      </c>
      <c r="CC53">
        <v>0</v>
      </c>
      <c r="CD53">
        <v>20.306528</v>
      </c>
      <c r="CE53">
        <v>998.93141500000002</v>
      </c>
      <c r="CG53" s="499">
        <f t="shared" si="26"/>
        <v>0</v>
      </c>
      <c r="CH53" s="499">
        <f t="shared" si="27"/>
        <v>0</v>
      </c>
      <c r="CI53" s="499">
        <f t="shared" si="28"/>
        <v>0</v>
      </c>
      <c r="CJ53" s="499">
        <f t="shared" si="29"/>
        <v>0</v>
      </c>
      <c r="CP53" s="499"/>
      <c r="CQ53" s="65">
        <f t="shared" si="32"/>
        <v>0.97881069959940636</v>
      </c>
      <c r="CR53" s="499">
        <f t="shared" si="33"/>
        <v>0.97881069959940636</v>
      </c>
      <c r="CS53" s="499">
        <f t="shared" si="34"/>
        <v>0.97881069959940636</v>
      </c>
      <c r="CT53" s="38">
        <f t="shared" si="35"/>
        <v>1</v>
      </c>
      <c r="CU53" s="498">
        <f t="shared" si="36"/>
        <v>1</v>
      </c>
    </row>
    <row r="54" spans="1:99">
      <c r="A54" s="499">
        <f t="shared" si="9"/>
        <v>1</v>
      </c>
      <c r="B54">
        <v>183</v>
      </c>
      <c r="C54">
        <v>182</v>
      </c>
      <c r="D54" t="s">
        <v>1043</v>
      </c>
      <c r="E54">
        <v>182</v>
      </c>
      <c r="F54">
        <v>0</v>
      </c>
      <c r="G54">
        <v>1</v>
      </c>
      <c r="H54">
        <v>359</v>
      </c>
      <c r="I54">
        <v>4</v>
      </c>
      <c r="J54">
        <v>356021.500803</v>
      </c>
      <c r="K54">
        <v>4951900.7517529996</v>
      </c>
      <c r="L54">
        <v>356378.69589700003</v>
      </c>
      <c r="M54">
        <v>4952189.8224630002</v>
      </c>
      <c r="N54">
        <v>4132</v>
      </c>
      <c r="O54">
        <v>14.354749</v>
      </c>
      <c r="P54">
        <v>14.354749</v>
      </c>
      <c r="Q54">
        <v>3</v>
      </c>
      <c r="R54">
        <v>20.286667000000001</v>
      </c>
      <c r="S54">
        <v>19.073333000000002</v>
      </c>
      <c r="T54">
        <v>20.066666999999999</v>
      </c>
      <c r="U54">
        <v>22.043333000000001</v>
      </c>
      <c r="V54">
        <v>17.613333000000001</v>
      </c>
      <c r="W54">
        <v>20.093333000000001</v>
      </c>
      <c r="X54">
        <v>19.649999999999999</v>
      </c>
      <c r="Y54">
        <v>16.899999999999999</v>
      </c>
      <c r="Z54">
        <v>15.533333000000001</v>
      </c>
      <c r="AA54">
        <v>2116</v>
      </c>
      <c r="AB54">
        <v>23681361</v>
      </c>
      <c r="AC54">
        <v>19.028888999999999</v>
      </c>
      <c r="AD54">
        <v>23.401229000000001</v>
      </c>
      <c r="AE54">
        <v>75</v>
      </c>
      <c r="AF54">
        <v>305.66666700000002</v>
      </c>
      <c r="AG54">
        <v>2972.0655219999999</v>
      </c>
      <c r="AH54">
        <v>205370.84025899999</v>
      </c>
      <c r="AI54">
        <v>991.96707800000001</v>
      </c>
      <c r="AJ54">
        <v>49</v>
      </c>
      <c r="AK54" s="499">
        <f t="shared" si="13"/>
        <v>50.270035821999997</v>
      </c>
      <c r="AL54" s="15">
        <f t="shared" si="3"/>
        <v>77.610035822</v>
      </c>
      <c r="AM54" s="15"/>
      <c r="AN54" s="499">
        <f t="shared" si="71"/>
        <v>20.080262298387101</v>
      </c>
      <c r="AO54" s="499">
        <f t="shared" si="72"/>
        <v>23.433356653225804</v>
      </c>
      <c r="AP54" s="499">
        <f t="shared" si="73"/>
        <v>22.707801100219779</v>
      </c>
      <c r="AQ54" s="499"/>
      <c r="AR54" s="228">
        <v>19.297452</v>
      </c>
      <c r="AS54" s="13">
        <v>309</v>
      </c>
      <c r="AT54" s="13">
        <v>2.2083499999999998</v>
      </c>
      <c r="AU54" s="13">
        <f t="shared" si="47"/>
        <v>0</v>
      </c>
      <c r="AV54" s="13">
        <f t="shared" si="38"/>
        <v>19.297452</v>
      </c>
      <c r="AW54" s="13">
        <f t="shared" si="39"/>
        <v>19.297452</v>
      </c>
      <c r="AX54" s="13">
        <f t="shared" si="40"/>
        <v>19.297452</v>
      </c>
      <c r="AY54" s="13">
        <v>999.40767300000005</v>
      </c>
      <c r="AZ54" s="13">
        <f t="shared" si="41"/>
        <v>0</v>
      </c>
      <c r="BA54" s="13">
        <f t="shared" si="42"/>
        <v>0</v>
      </c>
      <c r="BB54" s="97">
        <f t="shared" si="43"/>
        <v>0</v>
      </c>
      <c r="BC54" s="499"/>
      <c r="BD54" s="499">
        <v>103.15</v>
      </c>
      <c r="BE54" s="499">
        <v>22.314170766129028</v>
      </c>
      <c r="BF54" s="499">
        <v>21.177354435483871</v>
      </c>
      <c r="BG54" s="499">
        <v>20.290578654867215</v>
      </c>
      <c r="BI54" s="499">
        <f t="shared" ref="BI54:BJ54" si="93">AS57</f>
        <v>459</v>
      </c>
      <c r="BJ54" s="499">
        <f t="shared" si="93"/>
        <v>2.2388659999999998</v>
      </c>
      <c r="BK54" s="5">
        <f t="shared" si="15"/>
        <v>0</v>
      </c>
      <c r="BL54" s="499">
        <f t="shared" si="16"/>
        <v>20.306528</v>
      </c>
      <c r="BM54" s="499">
        <f t="shared" si="17"/>
        <v>999.50831000000005</v>
      </c>
      <c r="BO54" s="499">
        <f t="shared" si="18"/>
        <v>459</v>
      </c>
      <c r="BP54" s="499">
        <f t="shared" si="19"/>
        <v>2.2388659999999998</v>
      </c>
      <c r="BQ54" s="5">
        <f t="shared" si="20"/>
        <v>0</v>
      </c>
      <c r="BR54" s="499">
        <f t="shared" si="21"/>
        <v>20.306528</v>
      </c>
      <c r="BS54" s="499">
        <f t="shared" si="11"/>
        <v>999.50831000000005</v>
      </c>
      <c r="BU54" s="499">
        <f t="shared" si="22"/>
        <v>459</v>
      </c>
      <c r="BV54" s="499">
        <f t="shared" si="23"/>
        <v>2.2388659999999998</v>
      </c>
      <c r="BW54" s="5">
        <f t="shared" si="12"/>
        <v>0</v>
      </c>
      <c r="BX54" s="499">
        <f t="shared" si="24"/>
        <v>20.306528</v>
      </c>
      <c r="BY54" s="499">
        <f t="shared" si="25"/>
        <v>999.50831000000005</v>
      </c>
      <c r="CA54">
        <v>459</v>
      </c>
      <c r="CB54">
        <v>2.2388659999999998</v>
      </c>
      <c r="CC54">
        <v>0</v>
      </c>
      <c r="CD54">
        <v>20.306528</v>
      </c>
      <c r="CE54">
        <v>999.50831000000005</v>
      </c>
      <c r="CG54" s="499">
        <f t="shared" si="26"/>
        <v>0</v>
      </c>
      <c r="CH54" s="499">
        <f t="shared" si="27"/>
        <v>0</v>
      </c>
      <c r="CI54" s="499">
        <f t="shared" si="28"/>
        <v>0</v>
      </c>
      <c r="CJ54" s="499">
        <f t="shared" si="29"/>
        <v>0</v>
      </c>
      <c r="CP54" s="499"/>
      <c r="CQ54" s="65">
        <f t="shared" si="32"/>
        <v>0.97854470653130321</v>
      </c>
      <c r="CR54" s="499">
        <f t="shared" si="33"/>
        <v>0.97854470653130321</v>
      </c>
      <c r="CS54" s="499">
        <f t="shared" si="34"/>
        <v>0.97854470653130321</v>
      </c>
      <c r="CT54" s="38">
        <f t="shared" si="35"/>
        <v>1</v>
      </c>
      <c r="CU54" s="498">
        <f t="shared" si="36"/>
        <v>1</v>
      </c>
    </row>
    <row r="55" spans="1:99">
      <c r="A55" s="499">
        <f t="shared" si="9"/>
        <v>1</v>
      </c>
      <c r="B55">
        <v>242</v>
      </c>
      <c r="C55">
        <v>241</v>
      </c>
      <c r="D55" t="s">
        <v>1043</v>
      </c>
      <c r="E55">
        <v>241</v>
      </c>
      <c r="F55">
        <v>0</v>
      </c>
      <c r="G55">
        <v>0.5</v>
      </c>
      <c r="H55">
        <v>358</v>
      </c>
      <c r="I55">
        <v>2</v>
      </c>
      <c r="J55">
        <v>356735.03389999998</v>
      </c>
      <c r="K55">
        <v>4951498.3794149999</v>
      </c>
      <c r="L55">
        <v>356611.41742000001</v>
      </c>
      <c r="M55">
        <v>4951737.5591599997</v>
      </c>
      <c r="N55">
        <v>3964.5</v>
      </c>
      <c r="O55">
        <v>14.491256999999999</v>
      </c>
      <c r="P55">
        <v>14.491256999999999</v>
      </c>
      <c r="Q55">
        <v>3</v>
      </c>
      <c r="R55">
        <v>20.286667000000001</v>
      </c>
      <c r="S55">
        <v>19.073333000000002</v>
      </c>
      <c r="T55">
        <v>20.066666999999999</v>
      </c>
      <c r="U55">
        <v>22.043333000000001</v>
      </c>
      <c r="V55">
        <v>17.613333000000001</v>
      </c>
      <c r="W55">
        <v>20.093333000000001</v>
      </c>
      <c r="X55">
        <v>19.649999999999999</v>
      </c>
      <c r="Y55">
        <v>16.899999999999999</v>
      </c>
      <c r="Z55">
        <v>15.533333000000001</v>
      </c>
      <c r="AA55">
        <v>2116</v>
      </c>
      <c r="AB55">
        <v>23681361</v>
      </c>
      <c r="AC55">
        <v>19.028888999999999</v>
      </c>
      <c r="AD55">
        <v>23.401229000000001</v>
      </c>
      <c r="AE55">
        <v>75</v>
      </c>
      <c r="AF55">
        <v>305.66666700000002</v>
      </c>
      <c r="AG55">
        <v>2972.0655219999999</v>
      </c>
      <c r="AH55">
        <v>205370.84025899999</v>
      </c>
      <c r="AI55">
        <v>483.42492099999998</v>
      </c>
      <c r="AJ55">
        <v>50</v>
      </c>
      <c r="AK55" s="499">
        <f t="shared" si="13"/>
        <v>51.262002899999999</v>
      </c>
      <c r="AL55" s="15">
        <f t="shared" si="3"/>
        <v>78.602002900000002</v>
      </c>
      <c r="AM55" s="15"/>
      <c r="AN55" s="499">
        <f t="shared" si="71"/>
        <v>19.491291330645154</v>
      </c>
      <c r="AO55" s="499">
        <f t="shared" si="72"/>
        <v>22.685246774193541</v>
      </c>
      <c r="AP55" s="499">
        <f t="shared" si="73"/>
        <v>22.061305188424907</v>
      </c>
      <c r="AQ55" s="499"/>
      <c r="AR55" s="228">
        <v>19.372482000000002</v>
      </c>
      <c r="AS55" s="13">
        <v>426</v>
      </c>
      <c r="AT55" s="13">
        <v>2.2252360000000002</v>
      </c>
      <c r="AU55" s="13">
        <f t="shared" si="47"/>
        <v>0</v>
      </c>
      <c r="AV55" s="13">
        <f t="shared" si="38"/>
        <v>19.372482000000002</v>
      </c>
      <c r="AW55" s="13">
        <f t="shared" si="39"/>
        <v>19.372482000000002</v>
      </c>
      <c r="AX55" s="13">
        <f t="shared" si="40"/>
        <v>19.372482000000002</v>
      </c>
      <c r="AY55" s="13">
        <v>999.13019099999997</v>
      </c>
      <c r="AZ55" s="13">
        <f t="shared" si="41"/>
        <v>0</v>
      </c>
      <c r="BA55" s="13">
        <f t="shared" si="42"/>
        <v>0</v>
      </c>
      <c r="BB55" s="97">
        <f t="shared" si="43"/>
        <v>0</v>
      </c>
      <c r="BC55" s="499"/>
      <c r="BD55" s="499">
        <v>102.95</v>
      </c>
      <c r="BE55" s="499">
        <v>22.185512096774204</v>
      </c>
      <c r="BF55" s="499">
        <v>21.129905645161287</v>
      </c>
      <c r="BG55" s="499">
        <v>20.314849236895604</v>
      </c>
      <c r="BI55" s="499">
        <f t="shared" ref="BI55:BJ55" si="94">AS58</f>
        <v>351</v>
      </c>
      <c r="BJ55" s="499">
        <f t="shared" si="94"/>
        <v>2.282511</v>
      </c>
      <c r="BK55" s="5">
        <f t="shared" si="15"/>
        <v>0</v>
      </c>
      <c r="BL55" s="499">
        <f t="shared" si="16"/>
        <v>19.98395</v>
      </c>
      <c r="BM55" s="499">
        <f t="shared" si="17"/>
        <v>1179.559262</v>
      </c>
      <c r="BO55" s="499">
        <f t="shared" si="18"/>
        <v>351</v>
      </c>
      <c r="BP55" s="499">
        <f t="shared" si="19"/>
        <v>2.282511</v>
      </c>
      <c r="BQ55" s="5">
        <f t="shared" si="20"/>
        <v>0</v>
      </c>
      <c r="BR55" s="499">
        <f t="shared" si="21"/>
        <v>19.98395</v>
      </c>
      <c r="BS55" s="499">
        <f t="shared" si="11"/>
        <v>1179.559262</v>
      </c>
      <c r="BU55" s="499">
        <f t="shared" si="22"/>
        <v>351</v>
      </c>
      <c r="BV55" s="499">
        <f t="shared" si="23"/>
        <v>2.282511</v>
      </c>
      <c r="BW55" s="5">
        <f t="shared" si="12"/>
        <v>0</v>
      </c>
      <c r="BX55" s="499">
        <f t="shared" si="24"/>
        <v>19.98395</v>
      </c>
      <c r="BY55" s="499">
        <f t="shared" si="25"/>
        <v>1179.559262</v>
      </c>
      <c r="CA55">
        <v>351</v>
      </c>
      <c r="CB55">
        <v>2.282511</v>
      </c>
      <c r="CC55">
        <v>0</v>
      </c>
      <c r="CD55">
        <v>19.98395</v>
      </c>
      <c r="CE55">
        <v>1179.559262</v>
      </c>
      <c r="CG55" s="499">
        <f t="shared" si="26"/>
        <v>0</v>
      </c>
      <c r="CH55" s="499">
        <f t="shared" si="27"/>
        <v>0</v>
      </c>
      <c r="CI55" s="499">
        <f t="shared" si="28"/>
        <v>0</v>
      </c>
      <c r="CJ55" s="499">
        <f t="shared" si="29"/>
        <v>0</v>
      </c>
      <c r="CP55" s="499"/>
      <c r="CQ55" s="65">
        <f t="shared" si="32"/>
        <v>0.97854470653130321</v>
      </c>
      <c r="CR55" s="499">
        <f t="shared" si="33"/>
        <v>0.97854470653130321</v>
      </c>
      <c r="CS55" s="499">
        <f t="shared" si="34"/>
        <v>0.97854470653130321</v>
      </c>
      <c r="CT55" s="38">
        <f t="shared" si="35"/>
        <v>1</v>
      </c>
      <c r="CU55" s="498">
        <f t="shared" si="36"/>
        <v>1</v>
      </c>
    </row>
    <row r="56" spans="1:99">
      <c r="A56" s="499">
        <f t="shared" si="9"/>
        <v>1</v>
      </c>
      <c r="B56">
        <v>202</v>
      </c>
      <c r="C56">
        <v>201</v>
      </c>
      <c r="D56" t="s">
        <v>1043</v>
      </c>
      <c r="E56">
        <v>201</v>
      </c>
      <c r="F56">
        <v>0</v>
      </c>
      <c r="G56">
        <v>0.4</v>
      </c>
      <c r="H56">
        <v>354</v>
      </c>
      <c r="I56">
        <v>2</v>
      </c>
      <c r="J56">
        <v>356504.36593999999</v>
      </c>
      <c r="K56">
        <v>4951160.7110949997</v>
      </c>
      <c r="L56">
        <v>356975.47081000003</v>
      </c>
      <c r="M56">
        <v>4951322.0222500004</v>
      </c>
      <c r="N56">
        <v>3853.5</v>
      </c>
      <c r="O56">
        <v>13.387649</v>
      </c>
      <c r="P56">
        <v>13.387649</v>
      </c>
      <c r="Q56">
        <v>1</v>
      </c>
      <c r="R56">
        <v>22.57</v>
      </c>
      <c r="S56">
        <v>21.1</v>
      </c>
      <c r="T56">
        <v>22.16</v>
      </c>
      <c r="U56">
        <v>24.94</v>
      </c>
      <c r="V56">
        <v>19.38</v>
      </c>
      <c r="W56">
        <v>22.36</v>
      </c>
      <c r="X56">
        <v>21.51</v>
      </c>
      <c r="Y56">
        <v>18.86</v>
      </c>
      <c r="Z56">
        <v>17.32</v>
      </c>
      <c r="AA56">
        <v>2001</v>
      </c>
      <c r="AB56">
        <v>23681259</v>
      </c>
      <c r="AC56">
        <v>21.133333</v>
      </c>
      <c r="AD56">
        <v>25.491440000000001</v>
      </c>
      <c r="AE56">
        <v>75</v>
      </c>
      <c r="AF56">
        <v>299</v>
      </c>
      <c r="AG56">
        <v>2422.8738130000002</v>
      </c>
      <c r="AH56">
        <v>164282.66936900001</v>
      </c>
      <c r="AI56">
        <v>410.23107399999998</v>
      </c>
      <c r="AJ56">
        <v>51</v>
      </c>
      <c r="AK56" s="499">
        <f t="shared" si="13"/>
        <v>51.745427821</v>
      </c>
      <c r="AL56" s="15">
        <f t="shared" si="3"/>
        <v>79.085427820999996</v>
      </c>
      <c r="AM56" s="15"/>
      <c r="AN56" s="499">
        <f t="shared" si="71"/>
        <v>19.44897883064516</v>
      </c>
      <c r="AO56" s="499">
        <f t="shared" si="72"/>
        <v>22.496056451612908</v>
      </c>
      <c r="AP56" s="499">
        <f t="shared" si="73"/>
        <v>21.823917160792121</v>
      </c>
      <c r="AQ56" s="499"/>
      <c r="AR56" s="228">
        <v>20.306528</v>
      </c>
      <c r="AS56" s="13">
        <v>423</v>
      </c>
      <c r="AT56" s="13">
        <v>2.2257669999999998</v>
      </c>
      <c r="AU56" s="13">
        <f t="shared" si="47"/>
        <v>0</v>
      </c>
      <c r="AV56" s="13">
        <f t="shared" si="38"/>
        <v>20.306528</v>
      </c>
      <c r="AW56" s="13">
        <f t="shared" si="39"/>
        <v>20.306528</v>
      </c>
      <c r="AX56" s="13">
        <f t="shared" si="40"/>
        <v>20.306528</v>
      </c>
      <c r="AY56" s="13">
        <v>998.93141500000002</v>
      </c>
      <c r="AZ56" s="13">
        <f t="shared" si="41"/>
        <v>0</v>
      </c>
      <c r="BA56" s="13">
        <f t="shared" si="42"/>
        <v>0</v>
      </c>
      <c r="BB56" s="97">
        <f t="shared" si="43"/>
        <v>0</v>
      </c>
      <c r="BC56" s="499"/>
      <c r="BD56" s="499">
        <v>102.75</v>
      </c>
      <c r="BE56" s="499">
        <v>22.158055241935472</v>
      </c>
      <c r="BF56" s="499">
        <v>21.094595161290322</v>
      </c>
      <c r="BG56" s="499">
        <v>20.359772419464289</v>
      </c>
      <c r="BI56" s="499">
        <f t="shared" ref="BI56:BJ56" si="95">AS59</f>
        <v>438</v>
      </c>
      <c r="BJ56" s="499">
        <f t="shared" si="95"/>
        <v>2.2879870000000002</v>
      </c>
      <c r="BK56" s="5">
        <f t="shared" si="15"/>
        <v>0</v>
      </c>
      <c r="BL56" s="499">
        <f t="shared" si="16"/>
        <v>19.536629000000001</v>
      </c>
      <c r="BM56" s="499">
        <f t="shared" si="17"/>
        <v>998.71016999999995</v>
      </c>
      <c r="BO56" s="499">
        <f t="shared" si="18"/>
        <v>438</v>
      </c>
      <c r="BP56" s="499">
        <f t="shared" si="19"/>
        <v>2.2879870000000002</v>
      </c>
      <c r="BQ56" s="5">
        <f t="shared" si="20"/>
        <v>0</v>
      </c>
      <c r="BR56" s="499">
        <f t="shared" si="21"/>
        <v>19.536629000000001</v>
      </c>
      <c r="BS56" s="499">
        <f t="shared" si="11"/>
        <v>998.71016999999995</v>
      </c>
      <c r="BU56" s="499">
        <f t="shared" si="22"/>
        <v>438</v>
      </c>
      <c r="BV56" s="499">
        <f t="shared" si="23"/>
        <v>2.2879870000000002</v>
      </c>
      <c r="BW56" s="5">
        <f t="shared" si="12"/>
        <v>0</v>
      </c>
      <c r="BX56" s="499">
        <f t="shared" si="24"/>
        <v>19.536629000000001</v>
      </c>
      <c r="BY56" s="499">
        <f t="shared" si="25"/>
        <v>998.71016999999995</v>
      </c>
      <c r="CA56">
        <v>438</v>
      </c>
      <c r="CB56">
        <v>2.2879870000000002</v>
      </c>
      <c r="CC56">
        <v>0</v>
      </c>
      <c r="CD56">
        <v>19.536629000000001</v>
      </c>
      <c r="CE56">
        <v>998.71016999999995</v>
      </c>
      <c r="CG56" s="499">
        <f t="shared" si="26"/>
        <v>0</v>
      </c>
      <c r="CH56" s="499">
        <f t="shared" si="27"/>
        <v>0</v>
      </c>
      <c r="CI56" s="499">
        <f t="shared" si="28"/>
        <v>0</v>
      </c>
      <c r="CJ56" s="499">
        <f t="shared" si="29"/>
        <v>0</v>
      </c>
      <c r="CP56" s="499"/>
      <c r="CQ56" s="65">
        <f t="shared" si="32"/>
        <v>0.97869387668204066</v>
      </c>
      <c r="CR56" s="499">
        <f t="shared" si="33"/>
        <v>0.97869387668204066</v>
      </c>
      <c r="CS56" s="499">
        <f t="shared" si="34"/>
        <v>0.97869387668204066</v>
      </c>
      <c r="CT56" s="38">
        <f t="shared" si="35"/>
        <v>1</v>
      </c>
      <c r="CU56" s="498">
        <f t="shared" si="36"/>
        <v>1</v>
      </c>
    </row>
    <row r="57" spans="1:99">
      <c r="A57" s="499">
        <f t="shared" si="9"/>
        <v>1</v>
      </c>
      <c r="B57">
        <v>261</v>
      </c>
      <c r="C57">
        <v>260</v>
      </c>
      <c r="D57" t="s">
        <v>1043</v>
      </c>
      <c r="E57">
        <v>260</v>
      </c>
      <c r="F57">
        <v>0</v>
      </c>
      <c r="G57">
        <v>0.5</v>
      </c>
      <c r="H57">
        <v>356</v>
      </c>
      <c r="I57">
        <v>2</v>
      </c>
      <c r="J57">
        <v>356504.36593999999</v>
      </c>
      <c r="K57">
        <v>4951160.7110949997</v>
      </c>
      <c r="L57">
        <v>356975.47081000003</v>
      </c>
      <c r="M57">
        <v>4951322.0222500004</v>
      </c>
      <c r="N57">
        <v>3853.5</v>
      </c>
      <c r="O57">
        <v>13.747998000000001</v>
      </c>
      <c r="P57">
        <v>13.747998000000001</v>
      </c>
      <c r="Q57">
        <v>1</v>
      </c>
      <c r="R57">
        <v>22.57</v>
      </c>
      <c r="S57">
        <v>21.1</v>
      </c>
      <c r="T57">
        <v>22.16</v>
      </c>
      <c r="U57">
        <v>24.94</v>
      </c>
      <c r="V57">
        <v>19.38</v>
      </c>
      <c r="W57">
        <v>22.36</v>
      </c>
      <c r="X57">
        <v>21.51</v>
      </c>
      <c r="Y57">
        <v>18.86</v>
      </c>
      <c r="Z57">
        <v>17.32</v>
      </c>
      <c r="AA57">
        <v>2001</v>
      </c>
      <c r="AB57">
        <v>23681259</v>
      </c>
      <c r="AC57">
        <v>21.133333</v>
      </c>
      <c r="AD57">
        <v>25.491440000000001</v>
      </c>
      <c r="AE57">
        <v>75</v>
      </c>
      <c r="AF57">
        <v>299</v>
      </c>
      <c r="AG57">
        <v>2422.8738130000002</v>
      </c>
      <c r="AH57">
        <v>164282.66936900001</v>
      </c>
      <c r="AI57">
        <v>525.42002100000002</v>
      </c>
      <c r="AJ57" s="133">
        <v>51</v>
      </c>
      <c r="AK57" s="133">
        <f>AK56</f>
        <v>51.745427821</v>
      </c>
      <c r="AL57" s="580">
        <f t="shared" si="3"/>
        <v>79.085427820999996</v>
      </c>
      <c r="AM57" s="499" t="s">
        <v>1046</v>
      </c>
      <c r="AN57" s="499"/>
      <c r="AO57" s="499"/>
      <c r="AQ57" s="499"/>
      <c r="AR57" s="228">
        <v>20.306528</v>
      </c>
      <c r="AS57" s="13">
        <v>459</v>
      </c>
      <c r="AT57" s="13">
        <v>2.2388659999999998</v>
      </c>
      <c r="AU57" s="13">
        <f t="shared" si="47"/>
        <v>0</v>
      </c>
      <c r="AV57" s="13">
        <f t="shared" si="38"/>
        <v>20.306528</v>
      </c>
      <c r="AW57" s="13">
        <f t="shared" si="39"/>
        <v>20.306528</v>
      </c>
      <c r="AX57" s="13">
        <f t="shared" si="40"/>
        <v>20.306528</v>
      </c>
      <c r="AY57" s="13">
        <v>999.50831000000005</v>
      </c>
      <c r="AZ57" s="13">
        <f t="shared" si="41"/>
        <v>0</v>
      </c>
      <c r="BA57" s="13">
        <f t="shared" si="42"/>
        <v>0</v>
      </c>
      <c r="BB57" s="97">
        <f t="shared" si="43"/>
        <v>0</v>
      </c>
      <c r="BC57" s="499"/>
      <c r="BD57" s="499">
        <v>102.55</v>
      </c>
      <c r="BE57" s="499">
        <v>22.43172641129032</v>
      </c>
      <c r="BF57" s="499">
        <v>21.631513709677421</v>
      </c>
      <c r="BG57" s="499">
        <v>20.767823644496339</v>
      </c>
      <c r="BI57" s="499">
        <f t="shared" ref="BI57:BJ57" si="96">AS60</f>
        <v>447</v>
      </c>
      <c r="BJ57" s="499">
        <f t="shared" si="96"/>
        <v>2.2953459999999999</v>
      </c>
      <c r="BK57" s="5">
        <f t="shared" si="15"/>
        <v>0</v>
      </c>
      <c r="BL57" s="499">
        <f t="shared" si="16"/>
        <v>19.155049000000002</v>
      </c>
      <c r="BM57" s="499">
        <f t="shared" si="17"/>
        <v>1001.523452</v>
      </c>
      <c r="BO57" s="499">
        <f t="shared" si="18"/>
        <v>447</v>
      </c>
      <c r="BP57" s="499">
        <f t="shared" si="19"/>
        <v>2.2953459999999999</v>
      </c>
      <c r="BQ57" s="5">
        <f t="shared" si="20"/>
        <v>0</v>
      </c>
      <c r="BR57" s="499">
        <f t="shared" si="21"/>
        <v>19.155049000000002</v>
      </c>
      <c r="BS57" s="499">
        <f t="shared" si="11"/>
        <v>1001.523452</v>
      </c>
      <c r="BU57" s="499">
        <f t="shared" si="22"/>
        <v>447</v>
      </c>
      <c r="BV57" s="499">
        <f t="shared" si="23"/>
        <v>2.2953459999999999</v>
      </c>
      <c r="BW57" s="5">
        <f t="shared" si="12"/>
        <v>0</v>
      </c>
      <c r="BX57" s="499">
        <f t="shared" si="24"/>
        <v>19.155049000000002</v>
      </c>
      <c r="BY57" s="499">
        <f t="shared" si="25"/>
        <v>1001.523452</v>
      </c>
      <c r="CA57">
        <v>447</v>
      </c>
      <c r="CB57">
        <v>2.2953459999999999</v>
      </c>
      <c r="CC57">
        <v>0</v>
      </c>
      <c r="CD57">
        <v>19.155049000000002</v>
      </c>
      <c r="CE57">
        <v>1001.523452</v>
      </c>
      <c r="CG57" s="499">
        <f t="shared" si="26"/>
        <v>0</v>
      </c>
      <c r="CH57" s="499">
        <f t="shared" si="27"/>
        <v>0</v>
      </c>
      <c r="CI57" s="499">
        <f t="shared" si="28"/>
        <v>0</v>
      </c>
      <c r="CJ57" s="499">
        <f t="shared" si="29"/>
        <v>0</v>
      </c>
      <c r="CP57" s="499"/>
      <c r="CQ57" s="65">
        <f t="shared" si="32"/>
        <v>0.97879169013094658</v>
      </c>
      <c r="CR57" s="499">
        <f t="shared" si="33"/>
        <v>0.97879169013094658</v>
      </c>
      <c r="CS57" s="499">
        <f t="shared" si="34"/>
        <v>0.97879169013094658</v>
      </c>
      <c r="CT57" s="38">
        <f t="shared" si="35"/>
        <v>1</v>
      </c>
      <c r="CU57" s="498">
        <f t="shared" si="36"/>
        <v>1</v>
      </c>
    </row>
    <row r="58" spans="1:99">
      <c r="A58" s="499">
        <f t="shared" si="9"/>
        <v>1</v>
      </c>
      <c r="B58" s="581">
        <v>416</v>
      </c>
      <c r="C58" s="581">
        <v>415</v>
      </c>
      <c r="D58" s="581" t="s">
        <v>1043</v>
      </c>
      <c r="E58" s="581">
        <v>415</v>
      </c>
      <c r="F58" s="581">
        <v>0</v>
      </c>
      <c r="G58" s="581">
        <v>0.1</v>
      </c>
      <c r="H58" s="581">
        <v>353</v>
      </c>
      <c r="I58" s="581">
        <v>1</v>
      </c>
      <c r="J58" s="581">
        <v>356636.95750000002</v>
      </c>
      <c r="K58" s="581">
        <v>4950857.55088</v>
      </c>
      <c r="L58" s="581">
        <v>357084.60982999997</v>
      </c>
      <c r="M58" s="581">
        <v>4951080.1118200002</v>
      </c>
      <c r="N58" s="581">
        <v>3807</v>
      </c>
      <c r="O58" s="581">
        <v>13.525224</v>
      </c>
      <c r="P58" s="581">
        <v>13.525224</v>
      </c>
      <c r="Q58" s="581">
        <v>3</v>
      </c>
      <c r="R58" s="581">
        <v>20.573333000000002</v>
      </c>
      <c r="S58" s="581">
        <v>19.13</v>
      </c>
      <c r="T58" s="581">
        <v>20.18</v>
      </c>
      <c r="U58" s="581">
        <v>22.736667000000001</v>
      </c>
      <c r="V58" s="581">
        <v>17.263332999999999</v>
      </c>
      <c r="W58" s="581">
        <v>20.183333000000001</v>
      </c>
      <c r="X58" s="581">
        <v>19.676666999999998</v>
      </c>
      <c r="Y58" s="581">
        <v>17.306667000000001</v>
      </c>
      <c r="Z58" s="581">
        <v>15.59</v>
      </c>
      <c r="AA58" s="581">
        <v>2080.333333</v>
      </c>
      <c r="AB58" s="581">
        <v>23681521</v>
      </c>
      <c r="AC58" s="581">
        <v>19.182221999999999</v>
      </c>
      <c r="AD58" s="581">
        <v>23.422604</v>
      </c>
      <c r="AE58" s="581">
        <v>75</v>
      </c>
      <c r="AF58" s="581">
        <v>296</v>
      </c>
      <c r="AG58" s="581">
        <v>4930.9717280000004</v>
      </c>
      <c r="AH58" s="581">
        <v>352997.00352899998</v>
      </c>
      <c r="AI58" s="581">
        <v>135.35160200000001</v>
      </c>
      <c r="AJ58" s="581">
        <v>52</v>
      </c>
      <c r="AK58" s="581">
        <f>AK57</f>
        <v>51.745427821</v>
      </c>
      <c r="AL58" s="582">
        <f t="shared" si="3"/>
        <v>79.085427820999996</v>
      </c>
      <c r="AM58" s="582"/>
      <c r="AN58" s="499">
        <f>INDEX($BF$5:$BF$570,MATCH($AL58,$BD$5:$BD$570,-1))</f>
        <v>19.44897883064516</v>
      </c>
      <c r="AO58" s="499">
        <f>INDEX($BE$5:$BE$570,MATCH($AL58,$BD$5:$BD$570,-1))</f>
        <v>22.496056451612908</v>
      </c>
      <c r="AP58" s="499">
        <f>INDEX($BG$5:$BG$570,MATCH($AL58,$BD$5:$BD$570,-1))</f>
        <v>21.823917160792121</v>
      </c>
      <c r="AQ58" s="499"/>
      <c r="AR58" s="228">
        <v>19.98395</v>
      </c>
      <c r="AS58" s="13">
        <v>351</v>
      </c>
      <c r="AT58" s="13">
        <v>2.282511</v>
      </c>
      <c r="AU58" s="13">
        <f t="shared" si="47"/>
        <v>0</v>
      </c>
      <c r="AV58" s="13">
        <f t="shared" si="38"/>
        <v>19.98395</v>
      </c>
      <c r="AW58" s="13">
        <f t="shared" si="39"/>
        <v>19.98395</v>
      </c>
      <c r="AX58" s="13">
        <f t="shared" si="40"/>
        <v>19.98395</v>
      </c>
      <c r="AY58" s="13">
        <v>1179.559262</v>
      </c>
      <c r="AZ58" s="13">
        <f t="shared" si="41"/>
        <v>0</v>
      </c>
      <c r="BA58" s="13">
        <f t="shared" si="42"/>
        <v>0</v>
      </c>
      <c r="BB58" s="97">
        <f t="shared" si="43"/>
        <v>0</v>
      </c>
      <c r="BC58" s="499"/>
      <c r="BD58" s="499">
        <v>102.35</v>
      </c>
      <c r="BE58" s="499">
        <v>22.306470161290324</v>
      </c>
      <c r="BF58" s="499">
        <v>21.595096169354843</v>
      </c>
      <c r="BG58" s="499">
        <v>20.756403903525641</v>
      </c>
      <c r="BI58" s="499">
        <f t="shared" ref="BI58:BJ58" si="97">AS61</f>
        <v>296</v>
      </c>
      <c r="BJ58" s="499">
        <f t="shared" si="97"/>
        <v>2.2999550000000002</v>
      </c>
      <c r="BK58" s="5">
        <f t="shared" si="15"/>
        <v>0</v>
      </c>
      <c r="BL58" s="499">
        <f t="shared" si="16"/>
        <v>19.839504999999999</v>
      </c>
      <c r="BM58" s="499">
        <f t="shared" si="17"/>
        <v>1275.7208499999999</v>
      </c>
      <c r="BO58" s="499">
        <f t="shared" si="18"/>
        <v>296</v>
      </c>
      <c r="BP58" s="499">
        <f t="shared" si="19"/>
        <v>2.2999550000000002</v>
      </c>
      <c r="BQ58" s="5">
        <f t="shared" si="20"/>
        <v>0</v>
      </c>
      <c r="BR58" s="499">
        <f t="shared" si="21"/>
        <v>19.839504999999999</v>
      </c>
      <c r="BS58" s="499">
        <f t="shared" si="11"/>
        <v>1275.7208499999999</v>
      </c>
      <c r="BU58" s="499">
        <f t="shared" si="22"/>
        <v>296</v>
      </c>
      <c r="BV58" s="499">
        <f t="shared" si="23"/>
        <v>2.2999550000000002</v>
      </c>
      <c r="BW58" s="5">
        <f t="shared" si="12"/>
        <v>0</v>
      </c>
      <c r="BX58" s="499">
        <f t="shared" si="24"/>
        <v>19.839504999999999</v>
      </c>
      <c r="BY58" s="499">
        <f t="shared" si="25"/>
        <v>1275.7208499999999</v>
      </c>
      <c r="CA58">
        <v>296</v>
      </c>
      <c r="CB58">
        <v>2.2999550000000002</v>
      </c>
      <c r="CC58">
        <v>0</v>
      </c>
      <c r="CD58">
        <v>19.839504999999999</v>
      </c>
      <c r="CE58">
        <v>1275.7208499999999</v>
      </c>
      <c r="CG58" s="499">
        <f t="shared" si="26"/>
        <v>0</v>
      </c>
      <c r="CH58" s="499">
        <f t="shared" si="27"/>
        <v>0</v>
      </c>
      <c r="CI58" s="499">
        <f t="shared" si="28"/>
        <v>0</v>
      </c>
      <c r="CJ58" s="499">
        <f t="shared" si="29"/>
        <v>0</v>
      </c>
      <c r="CP58" s="499"/>
      <c r="CQ58" s="65">
        <f t="shared" si="32"/>
        <v>0.97882799362275219</v>
      </c>
      <c r="CR58" s="499">
        <f t="shared" si="33"/>
        <v>0.97882799362275219</v>
      </c>
      <c r="CS58" s="499">
        <f t="shared" si="34"/>
        <v>0.97882799362275219</v>
      </c>
      <c r="CT58" s="38">
        <f t="shared" si="35"/>
        <v>1</v>
      </c>
      <c r="CU58" s="498">
        <f t="shared" si="36"/>
        <v>1</v>
      </c>
    </row>
    <row r="59" spans="1:99">
      <c r="A59" s="499">
        <f t="shared" si="9"/>
        <v>1</v>
      </c>
      <c r="B59">
        <v>268</v>
      </c>
      <c r="C59">
        <v>267</v>
      </c>
      <c r="D59" t="s">
        <v>1043</v>
      </c>
      <c r="E59">
        <v>267</v>
      </c>
      <c r="F59">
        <v>0</v>
      </c>
      <c r="G59">
        <v>0.5</v>
      </c>
      <c r="H59">
        <v>351</v>
      </c>
      <c r="I59">
        <v>2</v>
      </c>
      <c r="J59">
        <v>356718.93540999998</v>
      </c>
      <c r="K59">
        <v>4950657.7956950003</v>
      </c>
      <c r="L59">
        <v>357193.31615999999</v>
      </c>
      <c r="M59">
        <v>4950812.3428149996</v>
      </c>
      <c r="N59">
        <v>3637.5</v>
      </c>
      <c r="O59">
        <v>14.591822000000001</v>
      </c>
      <c r="P59">
        <v>14.591822000000001</v>
      </c>
      <c r="Q59">
        <v>3</v>
      </c>
      <c r="R59">
        <v>20.573333000000002</v>
      </c>
      <c r="S59">
        <v>19.13</v>
      </c>
      <c r="T59">
        <v>20.18</v>
      </c>
      <c r="U59">
        <v>22.736667000000001</v>
      </c>
      <c r="V59">
        <v>17.263332999999999</v>
      </c>
      <c r="W59">
        <v>20.183333000000001</v>
      </c>
      <c r="X59">
        <v>19.676666999999998</v>
      </c>
      <c r="Y59">
        <v>17.306667000000001</v>
      </c>
      <c r="Z59">
        <v>15.59</v>
      </c>
      <c r="AA59">
        <v>2080.333333</v>
      </c>
      <c r="AB59">
        <v>23681521</v>
      </c>
      <c r="AC59">
        <v>19.182221999999999</v>
      </c>
      <c r="AD59">
        <v>23.422604</v>
      </c>
      <c r="AE59">
        <v>75</v>
      </c>
      <c r="AF59">
        <v>296</v>
      </c>
      <c r="AG59">
        <v>4930.9717280000004</v>
      </c>
      <c r="AH59">
        <v>352997.00352899998</v>
      </c>
      <c r="AI59">
        <v>473.182794</v>
      </c>
      <c r="AJ59" s="133">
        <v>53</v>
      </c>
      <c r="AK59" s="133">
        <f>AK58</f>
        <v>51.745427821</v>
      </c>
      <c r="AL59" s="580">
        <f t="shared" si="3"/>
        <v>79.085427820999996</v>
      </c>
      <c r="AM59" s="499" t="s">
        <v>1046</v>
      </c>
      <c r="AN59" s="499"/>
      <c r="AQ59" s="499"/>
      <c r="AR59" s="228">
        <v>19.536629000000001</v>
      </c>
      <c r="AS59" s="13">
        <v>438</v>
      </c>
      <c r="AT59" s="13">
        <v>2.2879870000000002</v>
      </c>
      <c r="AU59" s="13">
        <f t="shared" si="47"/>
        <v>0</v>
      </c>
      <c r="AV59" s="13">
        <f t="shared" si="38"/>
        <v>19.536629000000001</v>
      </c>
      <c r="AW59" s="13">
        <f t="shared" si="39"/>
        <v>19.536629000000001</v>
      </c>
      <c r="AX59" s="13">
        <f t="shared" si="40"/>
        <v>19.536629000000001</v>
      </c>
      <c r="AY59" s="13">
        <v>998.71016999999995</v>
      </c>
      <c r="AZ59" s="13">
        <f t="shared" si="41"/>
        <v>0</v>
      </c>
      <c r="BA59" s="13">
        <f t="shared" si="42"/>
        <v>0</v>
      </c>
      <c r="BB59" s="97">
        <f t="shared" si="43"/>
        <v>0</v>
      </c>
      <c r="BC59" s="499"/>
      <c r="BD59" s="499">
        <v>102.15</v>
      </c>
      <c r="BE59" s="499">
        <v>22.171379233870972</v>
      </c>
      <c r="BF59" s="499">
        <v>21.574296169354838</v>
      </c>
      <c r="BG59" s="499">
        <v>20.72129203354854</v>
      </c>
      <c r="BI59" s="499">
        <f t="shared" ref="BI59:BJ59" si="98">AS62</f>
        <v>159</v>
      </c>
      <c r="BJ59" s="499">
        <f t="shared" si="98"/>
        <v>2.3254800000000002</v>
      </c>
      <c r="BK59" s="5">
        <f t="shared" si="15"/>
        <v>0</v>
      </c>
      <c r="BL59" s="499">
        <f t="shared" si="16"/>
        <v>18.196503</v>
      </c>
      <c r="BM59" s="499">
        <f t="shared" si="17"/>
        <v>1414.8454019999999</v>
      </c>
      <c r="BO59" s="499">
        <f t="shared" si="18"/>
        <v>159</v>
      </c>
      <c r="BP59" s="499">
        <f t="shared" si="19"/>
        <v>2.3254800000000002</v>
      </c>
      <c r="BQ59" s="5">
        <f t="shared" si="20"/>
        <v>0</v>
      </c>
      <c r="BR59" s="499">
        <f t="shared" si="21"/>
        <v>18.196503</v>
      </c>
      <c r="BS59" s="499">
        <f t="shared" si="11"/>
        <v>1414.8454019999999</v>
      </c>
      <c r="BU59" s="499">
        <f t="shared" si="22"/>
        <v>159</v>
      </c>
      <c r="BV59" s="499">
        <f t="shared" si="23"/>
        <v>2.3254800000000002</v>
      </c>
      <c r="BW59" s="5">
        <f t="shared" si="12"/>
        <v>0</v>
      </c>
      <c r="BX59" s="499">
        <f t="shared" si="24"/>
        <v>18.196503</v>
      </c>
      <c r="BY59" s="499">
        <f t="shared" si="25"/>
        <v>1414.8454019999999</v>
      </c>
      <c r="CA59">
        <v>159</v>
      </c>
      <c r="CB59">
        <v>2.3254800000000002</v>
      </c>
      <c r="CC59">
        <v>0</v>
      </c>
      <c r="CD59">
        <v>18.196503</v>
      </c>
      <c r="CE59">
        <v>1414.8454019999999</v>
      </c>
      <c r="CG59" s="499">
        <f t="shared" si="26"/>
        <v>0</v>
      </c>
      <c r="CH59" s="499">
        <f t="shared" si="27"/>
        <v>0</v>
      </c>
      <c r="CI59" s="499">
        <f t="shared" si="28"/>
        <v>0</v>
      </c>
      <c r="CJ59" s="499">
        <f t="shared" si="29"/>
        <v>0</v>
      </c>
      <c r="CP59" s="499"/>
      <c r="CQ59" s="65">
        <f t="shared" si="32"/>
        <v>0.97873531670208735</v>
      </c>
      <c r="CR59" s="499">
        <f t="shared" si="33"/>
        <v>0.97873531670208735</v>
      </c>
      <c r="CS59" s="499">
        <f t="shared" si="34"/>
        <v>0.97873531670208735</v>
      </c>
      <c r="CT59" s="38">
        <f t="shared" si="35"/>
        <v>1</v>
      </c>
      <c r="CU59" s="498">
        <f t="shared" si="36"/>
        <v>1</v>
      </c>
    </row>
    <row r="60" spans="1:99">
      <c r="A60" s="499">
        <f t="shared" si="9"/>
        <v>1</v>
      </c>
      <c r="B60">
        <v>395</v>
      </c>
      <c r="C60">
        <v>394</v>
      </c>
      <c r="D60" t="s">
        <v>1043</v>
      </c>
      <c r="E60">
        <v>394</v>
      </c>
      <c r="F60">
        <v>0</v>
      </c>
      <c r="G60">
        <v>0.4</v>
      </c>
      <c r="H60">
        <v>350</v>
      </c>
      <c r="I60">
        <v>2</v>
      </c>
      <c r="J60">
        <v>356718.93540999998</v>
      </c>
      <c r="K60">
        <v>4950657.7956950003</v>
      </c>
      <c r="L60">
        <v>357193.31615999999</v>
      </c>
      <c r="M60">
        <v>4950812.3428149996</v>
      </c>
      <c r="N60">
        <v>3637.5</v>
      </c>
      <c r="O60">
        <v>14.60952</v>
      </c>
      <c r="P60">
        <v>14.60952</v>
      </c>
      <c r="Q60">
        <v>3</v>
      </c>
      <c r="R60">
        <v>20.573333000000002</v>
      </c>
      <c r="S60">
        <v>19.13</v>
      </c>
      <c r="T60">
        <v>20.18</v>
      </c>
      <c r="U60">
        <v>22.736667000000001</v>
      </c>
      <c r="V60">
        <v>17.263332999999999</v>
      </c>
      <c r="W60">
        <v>20.183333000000001</v>
      </c>
      <c r="X60">
        <v>19.676666999999998</v>
      </c>
      <c r="Y60">
        <v>17.306667000000001</v>
      </c>
      <c r="Z60">
        <v>15.59</v>
      </c>
      <c r="AA60">
        <v>2080.333333</v>
      </c>
      <c r="AB60">
        <v>23681521</v>
      </c>
      <c r="AC60">
        <v>19.182221999999999</v>
      </c>
      <c r="AD60">
        <v>23.422604</v>
      </c>
      <c r="AE60">
        <v>75</v>
      </c>
      <c r="AF60">
        <v>296</v>
      </c>
      <c r="AG60">
        <v>4930.9717280000004</v>
      </c>
      <c r="AH60">
        <v>352997.00352899998</v>
      </c>
      <c r="AI60">
        <v>441.21829000000002</v>
      </c>
      <c r="AJ60">
        <v>53</v>
      </c>
      <c r="AK60" s="499">
        <f>AK59+AI59/1000</f>
        <v>52.218610615000003</v>
      </c>
      <c r="AL60" s="15">
        <f t="shared" si="3"/>
        <v>79.558610615000006</v>
      </c>
      <c r="AN60" s="499">
        <f>INDEX($BF$5:$BF$570,MATCH($AL60,$BD$5:$BD$570,-1))</f>
        <v>19.138826008064513</v>
      </c>
      <c r="AO60" s="499">
        <f>INDEX($BE$5:$BE$570,MATCH($AL60,$BD$5:$BD$570,-1))</f>
        <v>22.232130645161291</v>
      </c>
      <c r="AP60" s="499">
        <f>INDEX($BG$5:$BG$570,MATCH($AL60,$BD$5:$BD$570,-1))</f>
        <v>21.41831526851648</v>
      </c>
      <c r="AQ60" s="499"/>
      <c r="AR60" s="228">
        <v>19.155049000000002</v>
      </c>
      <c r="AS60" s="13">
        <v>447</v>
      </c>
      <c r="AT60" s="13">
        <v>2.2953459999999999</v>
      </c>
      <c r="AU60" s="13">
        <f t="shared" si="47"/>
        <v>0</v>
      </c>
      <c r="AV60" s="13">
        <f t="shared" si="38"/>
        <v>19.155049000000002</v>
      </c>
      <c r="AW60" s="13">
        <f t="shared" si="39"/>
        <v>19.155049000000002</v>
      </c>
      <c r="AX60" s="13">
        <f t="shared" si="40"/>
        <v>19.155049000000002</v>
      </c>
      <c r="AY60" s="13">
        <v>1001.523452</v>
      </c>
      <c r="AZ60" s="13">
        <f t="shared" si="41"/>
        <v>0</v>
      </c>
      <c r="BA60" s="13">
        <f t="shared" si="42"/>
        <v>0</v>
      </c>
      <c r="BB60" s="97">
        <f t="shared" si="43"/>
        <v>0</v>
      </c>
      <c r="BC60" s="499"/>
      <c r="BD60" s="499">
        <v>101.95</v>
      </c>
      <c r="BE60" s="499">
        <v>21.990026411290316</v>
      </c>
      <c r="BF60" s="499">
        <v>21.523951612903225</v>
      </c>
      <c r="BG60" s="499">
        <v>20.582685185673075</v>
      </c>
      <c r="BI60" s="499">
        <f t="shared" ref="BI60:BJ60" si="99">AS63</f>
        <v>82</v>
      </c>
      <c r="BJ60" s="499">
        <f t="shared" si="99"/>
        <v>2.3306390000000001</v>
      </c>
      <c r="BK60" s="5">
        <f t="shared" si="15"/>
        <v>0</v>
      </c>
      <c r="BL60" s="499">
        <f t="shared" si="16"/>
        <v>19.155049000000002</v>
      </c>
      <c r="BM60" s="499">
        <f t="shared" si="17"/>
        <v>1106.5522109999999</v>
      </c>
      <c r="BO60" s="499">
        <f t="shared" si="18"/>
        <v>82</v>
      </c>
      <c r="BP60" s="499">
        <f t="shared" si="19"/>
        <v>2.3306390000000001</v>
      </c>
      <c r="BQ60" s="5">
        <f t="shared" si="20"/>
        <v>0</v>
      </c>
      <c r="BR60" s="499">
        <f t="shared" si="21"/>
        <v>19.155049000000002</v>
      </c>
      <c r="BS60" s="499">
        <f t="shared" si="11"/>
        <v>1106.5522109999999</v>
      </c>
      <c r="BU60" s="499">
        <f t="shared" si="22"/>
        <v>82</v>
      </c>
      <c r="BV60" s="499">
        <f t="shared" si="23"/>
        <v>2.3306390000000001</v>
      </c>
      <c r="BW60" s="5">
        <f t="shared" si="12"/>
        <v>0</v>
      </c>
      <c r="BX60" s="499">
        <f t="shared" si="24"/>
        <v>19.155049000000002</v>
      </c>
      <c r="BY60" s="499">
        <f t="shared" si="25"/>
        <v>1106.5522109999999</v>
      </c>
      <c r="CA60">
        <v>82</v>
      </c>
      <c r="CB60">
        <v>2.3306390000000001</v>
      </c>
      <c r="CC60">
        <v>0</v>
      </c>
      <c r="CD60">
        <v>19.155049000000002</v>
      </c>
      <c r="CE60">
        <v>1106.5522109999999</v>
      </c>
      <c r="CG60" s="499">
        <f t="shared" si="26"/>
        <v>0</v>
      </c>
      <c r="CH60" s="499">
        <f t="shared" si="27"/>
        <v>0</v>
      </c>
      <c r="CI60" s="499">
        <f t="shared" si="28"/>
        <v>0</v>
      </c>
      <c r="CJ60" s="499">
        <f t="shared" si="29"/>
        <v>0</v>
      </c>
      <c r="CP60" s="499"/>
      <c r="CQ60" s="65">
        <f t="shared" si="32"/>
        <v>0.97885523431707611</v>
      </c>
      <c r="CR60" s="499">
        <f t="shared" si="33"/>
        <v>0.97885523431707611</v>
      </c>
      <c r="CS60" s="499">
        <f t="shared" si="34"/>
        <v>0.97885523431707611</v>
      </c>
      <c r="CT60" s="38">
        <f t="shared" si="35"/>
        <v>1</v>
      </c>
      <c r="CU60" s="498">
        <f t="shared" si="36"/>
        <v>1</v>
      </c>
    </row>
    <row r="61" spans="1:99">
      <c r="A61" s="499">
        <f t="shared" si="9"/>
        <v>1</v>
      </c>
      <c r="B61">
        <v>158</v>
      </c>
      <c r="C61">
        <v>157</v>
      </c>
      <c r="D61" t="s">
        <v>1043</v>
      </c>
      <c r="E61">
        <v>157</v>
      </c>
      <c r="F61">
        <v>0</v>
      </c>
      <c r="G61">
        <v>0.7</v>
      </c>
      <c r="H61">
        <v>343</v>
      </c>
      <c r="I61">
        <v>3</v>
      </c>
      <c r="J61">
        <v>356987.63501700002</v>
      </c>
      <c r="K61">
        <v>4950101.9671170004</v>
      </c>
      <c r="L61">
        <v>357189.03700299998</v>
      </c>
      <c r="M61">
        <v>4950458.7314830003</v>
      </c>
      <c r="N61">
        <v>3582</v>
      </c>
      <c r="O61">
        <v>14.111464</v>
      </c>
      <c r="P61">
        <v>14.111464</v>
      </c>
      <c r="Q61">
        <v>1</v>
      </c>
      <c r="R61">
        <v>22.44</v>
      </c>
      <c r="S61">
        <v>20.88</v>
      </c>
      <c r="T61">
        <v>21.86</v>
      </c>
      <c r="U61">
        <v>24.57</v>
      </c>
      <c r="V61">
        <v>18.86</v>
      </c>
      <c r="W61">
        <v>21.87</v>
      </c>
      <c r="X61">
        <v>21.4</v>
      </c>
      <c r="Y61">
        <v>18.45</v>
      </c>
      <c r="Z61">
        <v>16.78</v>
      </c>
      <c r="AA61">
        <v>2002</v>
      </c>
      <c r="AB61">
        <v>23681259</v>
      </c>
      <c r="AC61">
        <v>20.79</v>
      </c>
      <c r="AD61">
        <v>25.186457000000001</v>
      </c>
      <c r="AE61">
        <v>75</v>
      </c>
      <c r="AF61">
        <v>294</v>
      </c>
      <c r="AG61">
        <v>3662.7482450000002</v>
      </c>
      <c r="AH61">
        <v>258967.96699300001</v>
      </c>
      <c r="AI61">
        <v>711.49928399999999</v>
      </c>
      <c r="AJ61">
        <v>54</v>
      </c>
      <c r="AK61" s="499">
        <f t="shared" si="13"/>
        <v>52.659828905000005</v>
      </c>
      <c r="AL61" s="15">
        <f t="shared" si="3"/>
        <v>79.999828905000001</v>
      </c>
      <c r="AN61" s="499">
        <f>INDEX($BF$5:$BF$570,MATCH($AL61,$BD$5:$BD$570,-1))</f>
        <v>19.165230040322587</v>
      </c>
      <c r="AO61" s="499">
        <f>INDEX($BE$5:$BE$570,MATCH($AL61,$BD$5:$BD$570,-1))</f>
        <v>22.166537903225802</v>
      </c>
      <c r="AP61" s="499">
        <f>INDEX($BG$5:$BG$570,MATCH($AL61,$BD$5:$BD$570,-1))</f>
        <v>21.280082404684062</v>
      </c>
      <c r="AQ61" s="499"/>
      <c r="AR61" s="228">
        <v>19.839504999999999</v>
      </c>
      <c r="AS61" s="13">
        <v>296</v>
      </c>
      <c r="AT61" s="13">
        <v>2.2999550000000002</v>
      </c>
      <c r="AU61" s="13">
        <f t="shared" si="47"/>
        <v>0</v>
      </c>
      <c r="AV61" s="13">
        <f t="shared" si="38"/>
        <v>19.839504999999999</v>
      </c>
      <c r="AW61" s="13">
        <f t="shared" si="39"/>
        <v>19.839504999999999</v>
      </c>
      <c r="AX61" s="13">
        <f t="shared" si="40"/>
        <v>19.839504999999999</v>
      </c>
      <c r="AY61" s="13">
        <v>1275.7208499999999</v>
      </c>
      <c r="AZ61" s="13">
        <f t="shared" si="41"/>
        <v>0</v>
      </c>
      <c r="BA61" s="13">
        <f t="shared" si="42"/>
        <v>0</v>
      </c>
      <c r="BB61" s="97">
        <f t="shared" si="43"/>
        <v>0</v>
      </c>
      <c r="BC61" s="499"/>
      <c r="BD61" s="499">
        <v>101.75</v>
      </c>
      <c r="BE61" s="499">
        <v>22.004198387096768</v>
      </c>
      <c r="BF61" s="499">
        <v>21.740440120967744</v>
      </c>
      <c r="BG61" s="499">
        <v>20.709385862019229</v>
      </c>
      <c r="BI61" s="499">
        <f t="shared" ref="BI61:BJ61" si="100">AS64</f>
        <v>278</v>
      </c>
      <c r="BJ61" s="499">
        <f t="shared" si="100"/>
        <v>2.3313809999999999</v>
      </c>
      <c r="BK61" s="5">
        <f t="shared" si="15"/>
        <v>0</v>
      </c>
      <c r="BL61" s="499">
        <f t="shared" si="16"/>
        <v>16.714791000000002</v>
      </c>
      <c r="BM61" s="499">
        <f t="shared" si="17"/>
        <v>1111.873971</v>
      </c>
      <c r="BO61" s="499">
        <f t="shared" si="18"/>
        <v>278</v>
      </c>
      <c r="BP61" s="499">
        <f t="shared" si="19"/>
        <v>2.3313809999999999</v>
      </c>
      <c r="BQ61" s="5">
        <f t="shared" si="20"/>
        <v>0</v>
      </c>
      <c r="BR61" s="499">
        <f t="shared" si="21"/>
        <v>16.714791000000002</v>
      </c>
      <c r="BS61" s="499">
        <f t="shared" si="11"/>
        <v>1111.873971</v>
      </c>
      <c r="BU61" s="499">
        <f t="shared" si="22"/>
        <v>278</v>
      </c>
      <c r="BV61" s="499">
        <f t="shared" si="23"/>
        <v>2.3313809999999999</v>
      </c>
      <c r="BW61" s="5">
        <f t="shared" si="12"/>
        <v>0</v>
      </c>
      <c r="BX61" s="499">
        <f t="shared" si="24"/>
        <v>16.714791000000002</v>
      </c>
      <c r="BY61" s="499">
        <f t="shared" si="25"/>
        <v>1111.873971</v>
      </c>
      <c r="CA61">
        <v>278</v>
      </c>
      <c r="CB61">
        <v>2.3313809999999999</v>
      </c>
      <c r="CC61">
        <v>0</v>
      </c>
      <c r="CD61">
        <v>16.714791000000002</v>
      </c>
      <c r="CE61">
        <v>1111.873971</v>
      </c>
      <c r="CG61" s="499">
        <f t="shared" si="26"/>
        <v>0</v>
      </c>
      <c r="CH61" s="499">
        <f t="shared" si="27"/>
        <v>0</v>
      </c>
      <c r="CI61" s="499">
        <f t="shared" si="28"/>
        <v>0</v>
      </c>
      <c r="CJ61" s="499">
        <f t="shared" si="29"/>
        <v>0</v>
      </c>
      <c r="CP61" s="499"/>
      <c r="CQ61" s="65">
        <f t="shared" si="32"/>
        <v>0.97882799362275219</v>
      </c>
      <c r="CR61" s="499">
        <f t="shared" si="33"/>
        <v>0.97882799362275219</v>
      </c>
      <c r="CS61" s="499">
        <f t="shared" si="34"/>
        <v>0.97882799362275219</v>
      </c>
      <c r="CT61" s="38">
        <f t="shared" si="35"/>
        <v>1</v>
      </c>
      <c r="CU61" s="498">
        <f t="shared" si="36"/>
        <v>1</v>
      </c>
    </row>
    <row r="62" spans="1:99">
      <c r="A62" s="499">
        <f t="shared" si="9"/>
        <v>1</v>
      </c>
      <c r="B62">
        <v>383</v>
      </c>
      <c r="C62">
        <v>382</v>
      </c>
      <c r="D62" t="s">
        <v>1043</v>
      </c>
      <c r="E62">
        <v>382</v>
      </c>
      <c r="F62">
        <v>0</v>
      </c>
      <c r="G62">
        <v>0.6</v>
      </c>
      <c r="H62">
        <v>344</v>
      </c>
      <c r="I62">
        <v>3</v>
      </c>
      <c r="J62">
        <v>356987.63501700002</v>
      </c>
      <c r="K62">
        <v>4950101.9671170004</v>
      </c>
      <c r="L62">
        <v>357189.03700299998</v>
      </c>
      <c r="M62">
        <v>4950458.7314830003</v>
      </c>
      <c r="N62">
        <v>3582</v>
      </c>
      <c r="O62">
        <v>14.150919999999999</v>
      </c>
      <c r="P62">
        <v>14.150919999999999</v>
      </c>
      <c r="Q62">
        <v>1</v>
      </c>
      <c r="R62">
        <v>22.44</v>
      </c>
      <c r="S62">
        <v>20.88</v>
      </c>
      <c r="T62">
        <v>21.86</v>
      </c>
      <c r="U62">
        <v>24.57</v>
      </c>
      <c r="V62">
        <v>18.86</v>
      </c>
      <c r="W62">
        <v>21.87</v>
      </c>
      <c r="X62">
        <v>21.4</v>
      </c>
      <c r="Y62">
        <v>18.45</v>
      </c>
      <c r="Z62">
        <v>16.78</v>
      </c>
      <c r="AA62">
        <v>2002</v>
      </c>
      <c r="AB62">
        <v>23681259</v>
      </c>
      <c r="AC62">
        <v>20.79</v>
      </c>
      <c r="AD62">
        <v>25.186457000000001</v>
      </c>
      <c r="AE62">
        <v>75</v>
      </c>
      <c r="AF62">
        <v>294</v>
      </c>
      <c r="AG62">
        <v>3662.7482450000002</v>
      </c>
      <c r="AH62">
        <v>258967.96699300001</v>
      </c>
      <c r="AI62">
        <v>568.98465099999999</v>
      </c>
      <c r="AJ62" s="133">
        <v>54</v>
      </c>
      <c r="AK62" s="133">
        <f>AK61</f>
        <v>52.659828905000005</v>
      </c>
      <c r="AL62" s="580">
        <f t="shared" si="3"/>
        <v>79.999828905000001</v>
      </c>
      <c r="AM62" s="499" t="s">
        <v>1046</v>
      </c>
      <c r="AN62" s="499"/>
      <c r="AQ62" s="499"/>
      <c r="AR62" s="228">
        <v>18.196503</v>
      </c>
      <c r="AS62" s="13">
        <v>159</v>
      </c>
      <c r="AT62" s="13">
        <v>2.3254800000000002</v>
      </c>
      <c r="AU62" s="13">
        <f t="shared" si="47"/>
        <v>0</v>
      </c>
      <c r="AV62" s="13">
        <f t="shared" si="38"/>
        <v>18.196503</v>
      </c>
      <c r="AW62" s="13">
        <f t="shared" si="39"/>
        <v>18.196503</v>
      </c>
      <c r="AX62" s="13">
        <f t="shared" si="40"/>
        <v>18.196503</v>
      </c>
      <c r="AY62" s="13">
        <v>1414.8454019999999</v>
      </c>
      <c r="AZ62" s="13">
        <f t="shared" si="41"/>
        <v>0</v>
      </c>
      <c r="BA62" s="13">
        <f t="shared" si="42"/>
        <v>0</v>
      </c>
      <c r="BB62" s="97">
        <f t="shared" si="43"/>
        <v>0</v>
      </c>
      <c r="BC62" s="499"/>
      <c r="BD62" s="499">
        <v>101.55</v>
      </c>
      <c r="BE62" s="499">
        <v>21.869730443548395</v>
      </c>
      <c r="BF62" s="499">
        <v>21.690107459677424</v>
      </c>
      <c r="BG62" s="499">
        <v>20.680266692243595</v>
      </c>
      <c r="BI62" s="499">
        <f t="shared" ref="BI62:BJ62" si="101">AS65</f>
        <v>361</v>
      </c>
      <c r="BJ62" s="499">
        <f t="shared" si="101"/>
        <v>2.3392330000000001</v>
      </c>
      <c r="BK62" s="5">
        <f t="shared" si="15"/>
        <v>0</v>
      </c>
      <c r="BL62" s="499">
        <f t="shared" si="16"/>
        <v>22.712561000000001</v>
      </c>
      <c r="BM62" s="499">
        <f t="shared" si="17"/>
        <v>838.15813600000001</v>
      </c>
      <c r="BO62" s="499">
        <f t="shared" si="18"/>
        <v>361</v>
      </c>
      <c r="BP62" s="499">
        <f t="shared" si="19"/>
        <v>2.3392330000000001</v>
      </c>
      <c r="BQ62" s="5">
        <f t="shared" si="20"/>
        <v>0</v>
      </c>
      <c r="BR62" s="499">
        <f t="shared" si="21"/>
        <v>22.712561000000001</v>
      </c>
      <c r="BS62" s="499">
        <f t="shared" si="11"/>
        <v>838.15813600000001</v>
      </c>
      <c r="BU62" s="499">
        <f t="shared" si="22"/>
        <v>361</v>
      </c>
      <c r="BV62" s="499">
        <f t="shared" si="23"/>
        <v>2.3392330000000001</v>
      </c>
      <c r="BW62" s="5">
        <f t="shared" si="12"/>
        <v>0</v>
      </c>
      <c r="BX62" s="499">
        <f t="shared" si="24"/>
        <v>22.712561000000001</v>
      </c>
      <c r="BY62" s="499">
        <f t="shared" si="25"/>
        <v>838.15813600000001</v>
      </c>
      <c r="CA62">
        <v>361</v>
      </c>
      <c r="CB62">
        <v>2.3392330000000001</v>
      </c>
      <c r="CC62">
        <v>0</v>
      </c>
      <c r="CD62">
        <v>22.712561000000001</v>
      </c>
      <c r="CE62">
        <v>838.15813600000001</v>
      </c>
      <c r="CG62" s="499">
        <f t="shared" si="26"/>
        <v>0</v>
      </c>
      <c r="CH62" s="499">
        <f t="shared" si="27"/>
        <v>0</v>
      </c>
      <c r="CI62" s="499">
        <f t="shared" si="28"/>
        <v>0</v>
      </c>
      <c r="CJ62" s="499">
        <f t="shared" si="29"/>
        <v>0</v>
      </c>
      <c r="CP62" s="499"/>
      <c r="CQ62" s="65">
        <f t="shared" si="32"/>
        <v>0.97885974906169881</v>
      </c>
      <c r="CR62" s="499">
        <f t="shared" si="33"/>
        <v>0.97885974906169881</v>
      </c>
      <c r="CS62" s="499">
        <f t="shared" si="34"/>
        <v>0.97885974906169881</v>
      </c>
      <c r="CT62" s="38">
        <f t="shared" si="35"/>
        <v>1</v>
      </c>
      <c r="CU62" s="498">
        <f t="shared" si="36"/>
        <v>1</v>
      </c>
    </row>
    <row r="63" spans="1:99">
      <c r="A63" s="499">
        <f t="shared" si="9"/>
        <v>1</v>
      </c>
      <c r="B63">
        <v>85</v>
      </c>
      <c r="C63">
        <v>84</v>
      </c>
      <c r="D63" t="s">
        <v>1043</v>
      </c>
      <c r="E63">
        <v>84</v>
      </c>
      <c r="F63">
        <v>0</v>
      </c>
      <c r="G63">
        <v>0.4</v>
      </c>
      <c r="H63">
        <v>345</v>
      </c>
      <c r="I63">
        <v>2</v>
      </c>
      <c r="J63">
        <v>357583.42282500002</v>
      </c>
      <c r="K63">
        <v>4950182.11094</v>
      </c>
      <c r="L63">
        <v>357276.54796</v>
      </c>
      <c r="M63">
        <v>4950574.8429699996</v>
      </c>
      <c r="N63">
        <v>3632.5</v>
      </c>
      <c r="O63">
        <v>13.500397</v>
      </c>
      <c r="P63">
        <v>13.500397</v>
      </c>
      <c r="Q63">
        <v>1</v>
      </c>
      <c r="R63">
        <v>22.44</v>
      </c>
      <c r="S63">
        <v>20.88</v>
      </c>
      <c r="T63">
        <v>21.86</v>
      </c>
      <c r="U63">
        <v>24.57</v>
      </c>
      <c r="V63">
        <v>18.86</v>
      </c>
      <c r="W63">
        <v>21.87</v>
      </c>
      <c r="X63">
        <v>21.4</v>
      </c>
      <c r="Y63">
        <v>18.45</v>
      </c>
      <c r="Z63">
        <v>16.78</v>
      </c>
      <c r="AA63">
        <v>2002</v>
      </c>
      <c r="AB63">
        <v>23681259</v>
      </c>
      <c r="AC63">
        <v>20.79</v>
      </c>
      <c r="AD63">
        <v>25.186457000000001</v>
      </c>
      <c r="AE63">
        <v>75</v>
      </c>
      <c r="AF63">
        <v>294</v>
      </c>
      <c r="AG63">
        <v>3662.7482450000002</v>
      </c>
      <c r="AH63">
        <v>258967.96699300001</v>
      </c>
      <c r="AI63">
        <v>392.09173099999998</v>
      </c>
      <c r="AJ63">
        <v>55</v>
      </c>
      <c r="AK63" s="499">
        <f t="shared" si="13"/>
        <v>53.228813556000006</v>
      </c>
      <c r="AL63" s="15">
        <f t="shared" si="3"/>
        <v>80.568813556000009</v>
      </c>
      <c r="AM63" s="15"/>
      <c r="AN63" s="499">
        <f t="shared" ref="AN63:AN77" si="102">INDEX($BF$5:$BF$570,MATCH($AL63,$BD$5:$BD$570,-1))</f>
        <v>19.179620766129027</v>
      </c>
      <c r="AO63" s="499">
        <f t="shared" ref="AO63:AO77" si="103">INDEX($BE$5:$BE$570,MATCH($AL63,$BD$5:$BD$570,-1))</f>
        <v>22.307847580645163</v>
      </c>
      <c r="AP63" s="499">
        <f t="shared" ref="AP63:AP77" si="104">INDEX($BG$5:$BG$570,MATCH($AL63,$BD$5:$BD$570,-1))</f>
        <v>21.125734232605311</v>
      </c>
      <c r="AQ63" s="499"/>
      <c r="AR63" s="228">
        <v>19.155049000000002</v>
      </c>
      <c r="AS63" s="13">
        <v>82</v>
      </c>
      <c r="AT63" s="13">
        <v>2.3306390000000001</v>
      </c>
      <c r="AU63" s="13">
        <f t="shared" si="47"/>
        <v>0</v>
      </c>
      <c r="AV63" s="13">
        <f t="shared" si="38"/>
        <v>19.155049000000002</v>
      </c>
      <c r="AW63" s="13">
        <f t="shared" si="39"/>
        <v>19.155049000000002</v>
      </c>
      <c r="AX63" s="13">
        <f t="shared" si="40"/>
        <v>19.155049000000002</v>
      </c>
      <c r="AY63" s="13">
        <v>1106.5522109999999</v>
      </c>
      <c r="AZ63" s="13">
        <f t="shared" si="41"/>
        <v>0</v>
      </c>
      <c r="BA63" s="13">
        <f t="shared" si="42"/>
        <v>0</v>
      </c>
      <c r="BB63" s="97">
        <f t="shared" si="43"/>
        <v>0</v>
      </c>
      <c r="BC63" s="499"/>
      <c r="BD63" s="499">
        <v>101.35</v>
      </c>
      <c r="BE63" s="499">
        <v>21.771130645161286</v>
      </c>
      <c r="BF63" s="499">
        <v>21.646701209677421</v>
      </c>
      <c r="BG63" s="499">
        <v>20.647353903269238</v>
      </c>
      <c r="BI63" s="499">
        <f t="shared" ref="BI63:BJ63" si="105">AS66</f>
        <v>346</v>
      </c>
      <c r="BJ63" s="499">
        <f t="shared" si="105"/>
        <v>2.3460809999999999</v>
      </c>
      <c r="BK63" s="5">
        <f t="shared" si="15"/>
        <v>1</v>
      </c>
      <c r="BL63" s="499">
        <f t="shared" si="16"/>
        <v>24.422453000000001</v>
      </c>
      <c r="BM63" s="499">
        <f t="shared" si="17"/>
        <v>1001.062968</v>
      </c>
      <c r="BO63" s="499">
        <f t="shared" si="18"/>
        <v>346</v>
      </c>
      <c r="BP63" s="499">
        <f t="shared" si="19"/>
        <v>2.3460809999999999</v>
      </c>
      <c r="BQ63" s="5">
        <f t="shared" si="20"/>
        <v>1</v>
      </c>
      <c r="BR63" s="499">
        <f t="shared" si="21"/>
        <v>24.422453000000001</v>
      </c>
      <c r="BS63" s="499">
        <f t="shared" si="11"/>
        <v>1001.062968</v>
      </c>
      <c r="BU63" s="499">
        <f t="shared" si="22"/>
        <v>346</v>
      </c>
      <c r="BV63" s="499">
        <f t="shared" si="23"/>
        <v>2.3460809999999999</v>
      </c>
      <c r="BW63" s="5">
        <f t="shared" si="12"/>
        <v>1</v>
      </c>
      <c r="BX63" s="499">
        <f t="shared" si="24"/>
        <v>24.422453000000001</v>
      </c>
      <c r="BY63" s="499">
        <f t="shared" si="25"/>
        <v>1001.062968</v>
      </c>
      <c r="CA63">
        <v>346</v>
      </c>
      <c r="CB63">
        <v>2.3460809999999999</v>
      </c>
      <c r="CC63">
        <v>1</v>
      </c>
      <c r="CD63">
        <v>24.422453000000001</v>
      </c>
      <c r="CE63">
        <v>1001.062968</v>
      </c>
      <c r="CG63" s="499">
        <f t="shared" si="26"/>
        <v>1</v>
      </c>
      <c r="CH63" s="499">
        <f t="shared" si="27"/>
        <v>1</v>
      </c>
      <c r="CI63" s="499">
        <f t="shared" si="28"/>
        <v>1</v>
      </c>
      <c r="CJ63" s="499">
        <f t="shared" si="29"/>
        <v>1</v>
      </c>
      <c r="CP63" s="499"/>
      <c r="CQ63" s="65">
        <f t="shared" si="32"/>
        <v>0.94266546413629326</v>
      </c>
      <c r="CR63" s="499">
        <f t="shared" si="33"/>
        <v>0.94266546413629326</v>
      </c>
      <c r="CS63" s="499">
        <f t="shared" si="34"/>
        <v>0.94266546413629326</v>
      </c>
      <c r="CT63" s="38">
        <f t="shared" si="35"/>
        <v>1</v>
      </c>
      <c r="CU63" s="498">
        <f t="shared" si="36"/>
        <v>1</v>
      </c>
    </row>
    <row r="64" spans="1:99">
      <c r="A64" s="499">
        <f t="shared" si="9"/>
        <v>1</v>
      </c>
      <c r="B64">
        <v>446</v>
      </c>
      <c r="C64">
        <v>445</v>
      </c>
      <c r="D64" t="s">
        <v>1043</v>
      </c>
      <c r="E64">
        <v>445</v>
      </c>
      <c r="F64">
        <v>0</v>
      </c>
      <c r="G64">
        <v>0.8</v>
      </c>
      <c r="H64">
        <v>326</v>
      </c>
      <c r="I64">
        <v>1</v>
      </c>
      <c r="J64">
        <v>357713.52253999998</v>
      </c>
      <c r="K64">
        <v>4950131.7139299996</v>
      </c>
      <c r="L64">
        <v>358013.63897000003</v>
      </c>
      <c r="M64">
        <v>4950531.5318299998</v>
      </c>
      <c r="N64">
        <v>3594</v>
      </c>
      <c r="O64">
        <v>13.150460000000001</v>
      </c>
      <c r="P64">
        <v>13.150460000000001</v>
      </c>
      <c r="Q64">
        <v>5</v>
      </c>
      <c r="R64">
        <v>19.277999999999999</v>
      </c>
      <c r="S64">
        <v>18.457999999999998</v>
      </c>
      <c r="T64">
        <v>19.254000000000001</v>
      </c>
      <c r="U64">
        <v>21.584</v>
      </c>
      <c r="V64">
        <v>17.052</v>
      </c>
      <c r="W64">
        <v>19.117999999999999</v>
      </c>
      <c r="X64">
        <v>18.925999999999998</v>
      </c>
      <c r="Y64">
        <v>16.256</v>
      </c>
      <c r="Z64">
        <v>15.162000000000001</v>
      </c>
      <c r="AA64">
        <v>1480.6</v>
      </c>
      <c r="AB64">
        <v>23681285.399999999</v>
      </c>
      <c r="AC64">
        <v>18.343111</v>
      </c>
      <c r="AD64">
        <v>22.958390999999999</v>
      </c>
      <c r="AE64">
        <v>75</v>
      </c>
      <c r="AF64">
        <v>290</v>
      </c>
      <c r="AG64">
        <v>5192.0747389999997</v>
      </c>
      <c r="AH64">
        <v>374308.55307099997</v>
      </c>
      <c r="AI64">
        <v>824.09269700000004</v>
      </c>
      <c r="AJ64">
        <v>56</v>
      </c>
      <c r="AK64" s="499">
        <f t="shared" si="13"/>
        <v>53.620905287000006</v>
      </c>
      <c r="AL64" s="15">
        <f t="shared" si="3"/>
        <v>80.960905287000003</v>
      </c>
      <c r="AM64" s="15"/>
      <c r="AN64" s="499">
        <f t="shared" si="102"/>
        <v>19.153517338709673</v>
      </c>
      <c r="AO64" s="499">
        <f t="shared" si="103"/>
        <v>22.495841330645153</v>
      </c>
      <c r="AP64" s="499">
        <f t="shared" si="104"/>
        <v>21.122499601895605</v>
      </c>
      <c r="AQ64" s="499"/>
      <c r="AR64" s="228">
        <v>16.714791000000002</v>
      </c>
      <c r="AS64" s="13">
        <v>278</v>
      </c>
      <c r="AT64" s="13">
        <v>2.3313809999999999</v>
      </c>
      <c r="AU64" s="13">
        <f t="shared" si="47"/>
        <v>0</v>
      </c>
      <c r="AV64" s="13">
        <f t="shared" si="38"/>
        <v>16.714791000000002</v>
      </c>
      <c r="AW64" s="13">
        <f t="shared" si="39"/>
        <v>16.714791000000002</v>
      </c>
      <c r="AX64" s="13">
        <f t="shared" si="40"/>
        <v>16.714791000000002</v>
      </c>
      <c r="AY64" s="13">
        <v>1111.873971</v>
      </c>
      <c r="AZ64" s="13">
        <f t="shared" si="41"/>
        <v>0</v>
      </c>
      <c r="BA64" s="13">
        <f t="shared" si="42"/>
        <v>0</v>
      </c>
      <c r="BB64" s="97">
        <f t="shared" si="43"/>
        <v>0</v>
      </c>
      <c r="BC64" s="499"/>
      <c r="BD64" s="499">
        <v>101.15</v>
      </c>
      <c r="BE64" s="499">
        <v>21.751736693548395</v>
      </c>
      <c r="BF64" s="499">
        <v>21.625073588709679</v>
      </c>
      <c r="BG64" s="499">
        <v>20.751812375549445</v>
      </c>
      <c r="BI64" s="499">
        <f t="shared" ref="BI64:BJ64" si="106">AS67</f>
        <v>27</v>
      </c>
      <c r="BJ64" s="499">
        <f t="shared" si="106"/>
        <v>2.3466010000000002</v>
      </c>
      <c r="BK64" s="5">
        <f t="shared" si="15"/>
        <v>0</v>
      </c>
      <c r="BL64" s="499">
        <f t="shared" si="16"/>
        <v>20.523961</v>
      </c>
      <c r="BM64" s="499">
        <f t="shared" si="17"/>
        <v>640.74465299999997</v>
      </c>
      <c r="BO64" s="499">
        <f t="shared" si="18"/>
        <v>27</v>
      </c>
      <c r="BP64" s="499">
        <f t="shared" si="19"/>
        <v>2.3466010000000002</v>
      </c>
      <c r="BQ64" s="5">
        <f t="shared" si="20"/>
        <v>0</v>
      </c>
      <c r="BR64" s="499">
        <f t="shared" si="21"/>
        <v>20.523961</v>
      </c>
      <c r="BS64" s="499">
        <f t="shared" si="11"/>
        <v>640.74465299999997</v>
      </c>
      <c r="BU64" s="499">
        <f t="shared" si="22"/>
        <v>27</v>
      </c>
      <c r="BV64" s="499">
        <f t="shared" si="23"/>
        <v>2.3466010000000002</v>
      </c>
      <c r="BW64" s="5">
        <f t="shared" si="12"/>
        <v>0</v>
      </c>
      <c r="BX64" s="499">
        <f t="shared" si="24"/>
        <v>20.523961</v>
      </c>
      <c r="BY64" s="499">
        <f t="shared" si="25"/>
        <v>640.74465299999997</v>
      </c>
      <c r="CA64">
        <v>27</v>
      </c>
      <c r="CB64">
        <v>2.3466010000000002</v>
      </c>
      <c r="CC64">
        <v>0</v>
      </c>
      <c r="CD64">
        <v>20.523961</v>
      </c>
      <c r="CE64">
        <v>640.74465299999997</v>
      </c>
      <c r="CG64" s="499">
        <f t="shared" si="26"/>
        <v>0</v>
      </c>
      <c r="CH64" s="499">
        <f t="shared" si="27"/>
        <v>0</v>
      </c>
      <c r="CI64" s="499">
        <f t="shared" si="28"/>
        <v>0</v>
      </c>
      <c r="CJ64" s="499">
        <f t="shared" si="29"/>
        <v>0</v>
      </c>
      <c r="CP64" s="499"/>
      <c r="CQ64" s="65">
        <f t="shared" si="32"/>
        <v>0.45582044615529926</v>
      </c>
      <c r="CR64" s="499">
        <f t="shared" si="33"/>
        <v>0.45582044615529926</v>
      </c>
      <c r="CS64" s="499">
        <f t="shared" si="34"/>
        <v>0.45582044615529926</v>
      </c>
      <c r="CT64" s="38">
        <f t="shared" si="35"/>
        <v>1</v>
      </c>
      <c r="CU64" s="498">
        <f t="shared" si="36"/>
        <v>1</v>
      </c>
    </row>
    <row r="65" spans="1:99">
      <c r="A65" s="499">
        <f t="shared" si="9"/>
        <v>1</v>
      </c>
      <c r="B65">
        <v>465</v>
      </c>
      <c r="C65">
        <v>464</v>
      </c>
      <c r="D65" t="s">
        <v>1043</v>
      </c>
      <c r="E65">
        <v>464</v>
      </c>
      <c r="F65">
        <v>0</v>
      </c>
      <c r="G65">
        <v>1</v>
      </c>
      <c r="H65">
        <v>327</v>
      </c>
      <c r="I65">
        <v>4</v>
      </c>
      <c r="J65">
        <v>358252.41283699998</v>
      </c>
      <c r="K65">
        <v>4949854.8222030001</v>
      </c>
      <c r="L65">
        <v>358603.39564800001</v>
      </c>
      <c r="M65">
        <v>4950196.1551480005</v>
      </c>
      <c r="N65">
        <v>3269.5</v>
      </c>
      <c r="O65">
        <v>13.124148999999999</v>
      </c>
      <c r="P65">
        <v>13.124148999999999</v>
      </c>
      <c r="Q65">
        <v>1</v>
      </c>
      <c r="R65">
        <v>18.829999999999998</v>
      </c>
      <c r="S65">
        <v>18.63</v>
      </c>
      <c r="T65">
        <v>19.38</v>
      </c>
      <c r="U65">
        <v>21.71</v>
      </c>
      <c r="V65">
        <v>17.73</v>
      </c>
      <c r="W65">
        <v>19.14</v>
      </c>
      <c r="X65">
        <v>19</v>
      </c>
      <c r="Y65">
        <v>16.149999999999999</v>
      </c>
      <c r="Z65">
        <v>15.56</v>
      </c>
      <c r="AA65">
        <v>579</v>
      </c>
      <c r="AB65">
        <v>23681321</v>
      </c>
      <c r="AC65">
        <v>18.458888999999999</v>
      </c>
      <c r="AD65">
        <v>23.115731</v>
      </c>
      <c r="AE65">
        <v>75</v>
      </c>
      <c r="AF65">
        <v>283</v>
      </c>
      <c r="AG65">
        <v>6562.6614490000002</v>
      </c>
      <c r="AH65">
        <v>483964.69760100002</v>
      </c>
      <c r="AI65">
        <v>999.78151000000003</v>
      </c>
      <c r="AJ65">
        <v>57</v>
      </c>
      <c r="AK65" s="499">
        <f t="shared" si="13"/>
        <v>54.444997984000004</v>
      </c>
      <c r="AL65" s="15">
        <f t="shared" si="3"/>
        <v>81.784997984</v>
      </c>
      <c r="AM65" s="15"/>
      <c r="AN65" s="499">
        <f t="shared" si="102"/>
        <v>19.182695161290322</v>
      </c>
      <c r="AO65" s="499">
        <f t="shared" si="103"/>
        <v>22.487957258064512</v>
      </c>
      <c r="AP65" s="499">
        <f t="shared" si="104"/>
        <v>21.038576348969787</v>
      </c>
      <c r="AQ65" s="499"/>
      <c r="AR65" s="228">
        <v>22.712561000000001</v>
      </c>
      <c r="AS65" s="13">
        <v>361</v>
      </c>
      <c r="AT65" s="13">
        <v>2.3392330000000001</v>
      </c>
      <c r="AU65" s="13">
        <f t="shared" si="47"/>
        <v>0</v>
      </c>
      <c r="AV65" s="13">
        <f t="shared" si="38"/>
        <v>22.712561000000001</v>
      </c>
      <c r="AW65" s="13">
        <f t="shared" si="39"/>
        <v>22.712561000000001</v>
      </c>
      <c r="AX65" s="13">
        <f t="shared" si="40"/>
        <v>22.712561000000001</v>
      </c>
      <c r="AY65" s="13">
        <v>838.15813600000001</v>
      </c>
      <c r="AZ65" s="13">
        <f t="shared" si="41"/>
        <v>0</v>
      </c>
      <c r="BA65" s="13">
        <f t="shared" si="42"/>
        <v>0</v>
      </c>
      <c r="BB65" s="97">
        <f t="shared" si="43"/>
        <v>0</v>
      </c>
      <c r="BC65" s="499"/>
      <c r="BD65" s="499">
        <v>100.95</v>
      </c>
      <c r="BE65" s="499">
        <v>21.682342741935479</v>
      </c>
      <c r="BF65" s="499">
        <v>21.585589717741932</v>
      </c>
      <c r="BG65" s="499">
        <v>20.820214856620883</v>
      </c>
      <c r="BI65" s="499">
        <f t="shared" ref="BI65:BJ65" si="107">AS68</f>
        <v>191</v>
      </c>
      <c r="BJ65" s="499">
        <f t="shared" si="107"/>
        <v>2.3559030000000001</v>
      </c>
      <c r="BK65" s="5">
        <f t="shared" si="15"/>
        <v>1</v>
      </c>
      <c r="BL65" s="499">
        <f t="shared" si="16"/>
        <v>24.422453000000001</v>
      </c>
      <c r="BM65" s="499">
        <f t="shared" si="17"/>
        <v>1275.4891689999999</v>
      </c>
      <c r="BO65" s="499">
        <f t="shared" si="18"/>
        <v>191</v>
      </c>
      <c r="BP65" s="499">
        <f t="shared" si="19"/>
        <v>2.3559030000000001</v>
      </c>
      <c r="BQ65" s="5">
        <f t="shared" si="20"/>
        <v>1</v>
      </c>
      <c r="BR65" s="499">
        <f t="shared" si="21"/>
        <v>24.422453000000001</v>
      </c>
      <c r="BS65" s="499">
        <f t="shared" si="11"/>
        <v>1275.4891689999999</v>
      </c>
      <c r="BU65" s="499">
        <f t="shared" si="22"/>
        <v>191</v>
      </c>
      <c r="BV65" s="499">
        <f t="shared" si="23"/>
        <v>2.3559030000000001</v>
      </c>
      <c r="BW65" s="5">
        <f t="shared" si="12"/>
        <v>1</v>
      </c>
      <c r="BX65" s="499">
        <f t="shared" si="24"/>
        <v>24.422453000000001</v>
      </c>
      <c r="BY65" s="499">
        <f t="shared" si="25"/>
        <v>1275.4891689999999</v>
      </c>
      <c r="CA65">
        <v>191</v>
      </c>
      <c r="CB65">
        <v>2.3559030000000001</v>
      </c>
      <c r="CC65">
        <v>1</v>
      </c>
      <c r="CD65">
        <v>24.422453000000001</v>
      </c>
      <c r="CE65">
        <v>1275.4891689999999</v>
      </c>
      <c r="CG65" s="499">
        <f t="shared" si="26"/>
        <v>1</v>
      </c>
      <c r="CH65" s="499">
        <f t="shared" si="27"/>
        <v>1</v>
      </c>
      <c r="CI65" s="499">
        <f t="shared" si="28"/>
        <v>1</v>
      </c>
      <c r="CJ65" s="499">
        <f t="shared" si="29"/>
        <v>1</v>
      </c>
      <c r="CP65" s="499"/>
      <c r="CQ65" s="65">
        <f t="shared" si="32"/>
        <v>0.97837441977350947</v>
      </c>
      <c r="CR65" s="499">
        <f t="shared" si="33"/>
        <v>0.97837441977350947</v>
      </c>
      <c r="CS65" s="499">
        <f t="shared" si="34"/>
        <v>0.97837441977350947</v>
      </c>
      <c r="CT65" s="38">
        <f t="shared" si="35"/>
        <v>1</v>
      </c>
      <c r="CU65" s="498">
        <f t="shared" si="36"/>
        <v>1</v>
      </c>
    </row>
    <row r="66" spans="1:99">
      <c r="A66" s="499">
        <f t="shared" si="9"/>
        <v>1</v>
      </c>
      <c r="B66">
        <v>149</v>
      </c>
      <c r="C66">
        <v>148</v>
      </c>
      <c r="D66" t="s">
        <v>1043</v>
      </c>
      <c r="E66">
        <v>148</v>
      </c>
      <c r="F66">
        <v>0</v>
      </c>
      <c r="G66">
        <v>1</v>
      </c>
      <c r="H66">
        <v>328</v>
      </c>
      <c r="I66">
        <v>4</v>
      </c>
      <c r="J66">
        <v>359090.43272500002</v>
      </c>
      <c r="K66">
        <v>4949301.2223349996</v>
      </c>
      <c r="L66">
        <v>359355.67371800001</v>
      </c>
      <c r="M66">
        <v>4949721.1685830001</v>
      </c>
      <c r="N66">
        <v>3265.5</v>
      </c>
      <c r="O66">
        <v>13.319471</v>
      </c>
      <c r="P66">
        <v>13.319471</v>
      </c>
      <c r="Q66">
        <v>1</v>
      </c>
      <c r="R66">
        <v>18.829999999999998</v>
      </c>
      <c r="S66">
        <v>18.63</v>
      </c>
      <c r="T66">
        <v>19.38</v>
      </c>
      <c r="U66">
        <v>21.71</v>
      </c>
      <c r="V66">
        <v>17.73</v>
      </c>
      <c r="W66">
        <v>19.14</v>
      </c>
      <c r="X66">
        <v>19</v>
      </c>
      <c r="Y66">
        <v>16.149999999999999</v>
      </c>
      <c r="Z66">
        <v>15.56</v>
      </c>
      <c r="AA66">
        <v>579</v>
      </c>
      <c r="AB66">
        <v>23681321</v>
      </c>
      <c r="AC66">
        <v>18.458888999999999</v>
      </c>
      <c r="AD66">
        <v>23.115731</v>
      </c>
      <c r="AE66">
        <v>75</v>
      </c>
      <c r="AF66">
        <v>283</v>
      </c>
      <c r="AG66">
        <v>6562.6614490000002</v>
      </c>
      <c r="AH66">
        <v>483964.69760100002</v>
      </c>
      <c r="AI66">
        <v>999.28893800000003</v>
      </c>
      <c r="AJ66">
        <v>58</v>
      </c>
      <c r="AK66" s="499">
        <f t="shared" si="13"/>
        <v>55.444779494000002</v>
      </c>
      <c r="AL66" s="15">
        <f t="shared" si="3"/>
        <v>82.784779494000006</v>
      </c>
      <c r="AM66" s="15"/>
      <c r="AN66" s="499">
        <f t="shared" si="102"/>
        <v>19.129094758064515</v>
      </c>
      <c r="AO66" s="499">
        <f t="shared" si="103"/>
        <v>22.664635483870963</v>
      </c>
      <c r="AP66" s="499">
        <f t="shared" si="104"/>
        <v>21.261467457458792</v>
      </c>
      <c r="AQ66" s="499"/>
      <c r="AR66" s="228">
        <v>24.422453000000001</v>
      </c>
      <c r="AS66" s="13">
        <v>346</v>
      </c>
      <c r="AT66" s="13">
        <v>2.3460809999999999</v>
      </c>
      <c r="AU66" s="13">
        <f t="shared" si="47"/>
        <v>1</v>
      </c>
      <c r="AV66" s="13">
        <f t="shared" si="38"/>
        <v>24.422453000000001</v>
      </c>
      <c r="AW66" s="13">
        <f t="shared" si="39"/>
        <v>24.422453000000001</v>
      </c>
      <c r="AX66" s="13">
        <f t="shared" si="40"/>
        <v>24.422453000000001</v>
      </c>
      <c r="AY66" s="13">
        <v>1001.062968</v>
      </c>
      <c r="AZ66" s="13">
        <f t="shared" si="41"/>
        <v>0</v>
      </c>
      <c r="BA66" s="13">
        <f t="shared" si="42"/>
        <v>0</v>
      </c>
      <c r="BB66" s="97">
        <f t="shared" si="43"/>
        <v>0</v>
      </c>
      <c r="BC66" s="499"/>
      <c r="BD66" s="499">
        <v>100.75</v>
      </c>
      <c r="BE66" s="499">
        <v>21.63479012096774</v>
      </c>
      <c r="BF66" s="499">
        <v>21.548789919354835</v>
      </c>
      <c r="BG66" s="499">
        <v>20.856952334940473</v>
      </c>
      <c r="BI66" s="499">
        <f t="shared" ref="BI66:BJ66" si="108">AS69</f>
        <v>65</v>
      </c>
      <c r="BJ66" s="499">
        <f t="shared" si="108"/>
        <v>2.401548</v>
      </c>
      <c r="BK66" s="5">
        <f t="shared" si="15"/>
        <v>0</v>
      </c>
      <c r="BL66" s="499">
        <f t="shared" si="16"/>
        <v>16.994494</v>
      </c>
      <c r="BM66" s="499">
        <f t="shared" si="17"/>
        <v>1001.972769</v>
      </c>
      <c r="BO66" s="499">
        <f t="shared" si="18"/>
        <v>65</v>
      </c>
      <c r="BP66" s="499">
        <f t="shared" si="19"/>
        <v>2.401548</v>
      </c>
      <c r="BQ66" s="5">
        <f t="shared" si="20"/>
        <v>0</v>
      </c>
      <c r="BR66" s="499">
        <f t="shared" si="21"/>
        <v>16.994494</v>
      </c>
      <c r="BS66" s="499">
        <f t="shared" si="11"/>
        <v>1001.972769</v>
      </c>
      <c r="BU66" s="499">
        <f t="shared" si="22"/>
        <v>65</v>
      </c>
      <c r="BV66" s="499">
        <f t="shared" si="23"/>
        <v>2.401548</v>
      </c>
      <c r="BW66" s="5">
        <f t="shared" si="12"/>
        <v>0</v>
      </c>
      <c r="BX66" s="499">
        <f t="shared" si="24"/>
        <v>16.994494</v>
      </c>
      <c r="BY66" s="499">
        <f t="shared" si="25"/>
        <v>1001.972769</v>
      </c>
      <c r="CA66">
        <v>65</v>
      </c>
      <c r="CB66">
        <v>2.401548</v>
      </c>
      <c r="CC66">
        <v>0</v>
      </c>
      <c r="CD66">
        <v>16.994494</v>
      </c>
      <c r="CE66">
        <v>1001.972769</v>
      </c>
      <c r="CG66" s="499">
        <f t="shared" si="26"/>
        <v>0</v>
      </c>
      <c r="CH66" s="499">
        <f t="shared" si="27"/>
        <v>0</v>
      </c>
      <c r="CI66" s="499">
        <f t="shared" si="28"/>
        <v>0</v>
      </c>
      <c r="CJ66" s="499">
        <f t="shared" si="29"/>
        <v>0</v>
      </c>
      <c r="CP66" s="499"/>
      <c r="CQ66" s="65">
        <f t="shared" si="32"/>
        <v>0.45582044615529926</v>
      </c>
      <c r="CR66" s="499">
        <f t="shared" si="33"/>
        <v>0.45582044615529926</v>
      </c>
      <c r="CS66" s="499">
        <f t="shared" si="34"/>
        <v>0.45582044615529926</v>
      </c>
      <c r="CT66" s="38">
        <f t="shared" si="35"/>
        <v>1</v>
      </c>
      <c r="CU66" s="498">
        <f t="shared" si="36"/>
        <v>1</v>
      </c>
    </row>
    <row r="67" spans="1:99">
      <c r="A67" s="499">
        <f t="shared" si="9"/>
        <v>1</v>
      </c>
      <c r="B67">
        <v>308</v>
      </c>
      <c r="C67">
        <v>307</v>
      </c>
      <c r="D67" t="s">
        <v>1043</v>
      </c>
      <c r="E67">
        <v>307</v>
      </c>
      <c r="F67">
        <v>0</v>
      </c>
      <c r="G67">
        <v>0.8</v>
      </c>
      <c r="H67">
        <v>325</v>
      </c>
      <c r="I67">
        <v>3</v>
      </c>
      <c r="J67">
        <v>359853.822117</v>
      </c>
      <c r="K67">
        <v>4948929.9613570003</v>
      </c>
      <c r="L67">
        <v>360022.97639999999</v>
      </c>
      <c r="M67">
        <v>4949391.1319800001</v>
      </c>
      <c r="N67">
        <v>3262</v>
      </c>
      <c r="O67">
        <v>14.178115</v>
      </c>
      <c r="P67">
        <v>14.178115</v>
      </c>
      <c r="Q67">
        <v>5</v>
      </c>
      <c r="R67">
        <v>18.684000000000001</v>
      </c>
      <c r="S67">
        <v>18.242000000000001</v>
      </c>
      <c r="T67">
        <v>19.187999999999999</v>
      </c>
      <c r="U67">
        <v>21.527999999999999</v>
      </c>
      <c r="V67">
        <v>16.940000000000001</v>
      </c>
      <c r="W67">
        <v>18.626000000000001</v>
      </c>
      <c r="X67">
        <v>18.95</v>
      </c>
      <c r="Y67">
        <v>15.928000000000001</v>
      </c>
      <c r="Z67">
        <v>14.954000000000001</v>
      </c>
      <c r="AA67">
        <v>1253</v>
      </c>
      <c r="AB67">
        <v>23681631.399999999</v>
      </c>
      <c r="AC67">
        <v>18.115556000000002</v>
      </c>
      <c r="AD67">
        <v>22.848009999999999</v>
      </c>
      <c r="AE67">
        <v>75</v>
      </c>
      <c r="AF67">
        <v>276.39999999999998</v>
      </c>
      <c r="AG67">
        <v>5344.2313039999999</v>
      </c>
      <c r="AH67">
        <v>385321.414781</v>
      </c>
      <c r="AI67">
        <v>751.61806000000001</v>
      </c>
      <c r="AJ67">
        <v>59</v>
      </c>
      <c r="AK67" s="499">
        <f t="shared" si="13"/>
        <v>56.444068432000002</v>
      </c>
      <c r="AL67" s="15">
        <f t="shared" ref="AL67:AL100" si="109">AK67+27.34</f>
        <v>83.784068431999998</v>
      </c>
      <c r="AM67" s="15"/>
      <c r="AN67" s="499">
        <f t="shared" si="102"/>
        <v>19.189412298387097</v>
      </c>
      <c r="AO67" s="499">
        <f t="shared" si="103"/>
        <v>22.993319354838714</v>
      </c>
      <c r="AP67" s="499">
        <f t="shared" si="104"/>
        <v>21.60005323687729</v>
      </c>
      <c r="AQ67" s="499"/>
      <c r="AR67" s="228">
        <v>20.523961</v>
      </c>
      <c r="AS67" s="13">
        <v>27</v>
      </c>
      <c r="AT67" s="13">
        <v>2.3466010000000002</v>
      </c>
      <c r="AU67" s="13">
        <f t="shared" si="47"/>
        <v>0</v>
      </c>
      <c r="AV67" s="13">
        <f t="shared" si="38"/>
        <v>20.523961</v>
      </c>
      <c r="AW67" s="13">
        <f t="shared" si="39"/>
        <v>20.523961</v>
      </c>
      <c r="AX67" s="13">
        <f t="shared" si="40"/>
        <v>20.523961</v>
      </c>
      <c r="AY67" s="13">
        <v>640.74465299999997</v>
      </c>
      <c r="AZ67" s="13">
        <f t="shared" si="41"/>
        <v>0</v>
      </c>
      <c r="BA67" s="13">
        <f t="shared" si="42"/>
        <v>0</v>
      </c>
      <c r="BB67" s="97">
        <f t="shared" si="43"/>
        <v>0</v>
      </c>
      <c r="BC67" s="499"/>
      <c r="BD67" s="499">
        <v>100.55</v>
      </c>
      <c r="BE67" s="499">
        <v>21.564310887096774</v>
      </c>
      <c r="BF67" s="499">
        <v>21.522150403225805</v>
      </c>
      <c r="BG67" s="499">
        <v>20.807311516153842</v>
      </c>
      <c r="BI67" s="499">
        <f t="shared" ref="BI67:BJ67" si="110">AS70</f>
        <v>56</v>
      </c>
      <c r="BJ67" s="499">
        <f t="shared" si="110"/>
        <v>2.4063629999999998</v>
      </c>
      <c r="BK67" s="5">
        <f t="shared" si="15"/>
        <v>0</v>
      </c>
      <c r="BL67" s="499">
        <f t="shared" si="16"/>
        <v>20.73527</v>
      </c>
      <c r="BM67" s="499">
        <f t="shared" si="17"/>
        <v>1000.871273</v>
      </c>
      <c r="BO67" s="499">
        <f t="shared" si="18"/>
        <v>56</v>
      </c>
      <c r="BP67" s="499">
        <f t="shared" si="19"/>
        <v>2.4063629999999998</v>
      </c>
      <c r="BQ67" s="5">
        <f t="shared" si="20"/>
        <v>0</v>
      </c>
      <c r="BR67" s="499">
        <f t="shared" si="21"/>
        <v>20.73527</v>
      </c>
      <c r="BS67" s="499">
        <f t="shared" si="11"/>
        <v>1000.871273</v>
      </c>
      <c r="BU67" s="499">
        <f t="shared" si="22"/>
        <v>56</v>
      </c>
      <c r="BV67" s="499">
        <f t="shared" si="23"/>
        <v>2.4063629999999998</v>
      </c>
      <c r="BW67" s="5">
        <f t="shared" si="12"/>
        <v>0</v>
      </c>
      <c r="BX67" s="499">
        <f t="shared" si="24"/>
        <v>20.73527</v>
      </c>
      <c r="BY67" s="499">
        <f t="shared" si="25"/>
        <v>1000.871273</v>
      </c>
      <c r="CA67">
        <v>56</v>
      </c>
      <c r="CB67">
        <v>2.4063629999999998</v>
      </c>
      <c r="CC67">
        <v>0</v>
      </c>
      <c r="CD67">
        <v>20.73527</v>
      </c>
      <c r="CE67">
        <v>1000.871273</v>
      </c>
      <c r="CG67" s="499">
        <f t="shared" si="26"/>
        <v>0</v>
      </c>
      <c r="CH67" s="499">
        <f t="shared" si="27"/>
        <v>0</v>
      </c>
      <c r="CI67" s="499">
        <f t="shared" si="28"/>
        <v>0</v>
      </c>
      <c r="CJ67" s="499">
        <f t="shared" si="29"/>
        <v>0</v>
      </c>
      <c r="CP67" s="499"/>
      <c r="CQ67" s="65">
        <f t="shared" si="32"/>
        <v>0.97885956255760231</v>
      </c>
      <c r="CR67" s="499">
        <f t="shared" si="33"/>
        <v>0.97885956255760231</v>
      </c>
      <c r="CS67" s="499">
        <f t="shared" si="34"/>
        <v>0.97885956255760231</v>
      </c>
      <c r="CT67" s="38">
        <f t="shared" si="35"/>
        <v>1</v>
      </c>
      <c r="CU67" s="498">
        <f t="shared" si="36"/>
        <v>1</v>
      </c>
    </row>
    <row r="68" spans="1:99">
      <c r="A68" s="499">
        <f t="shared" si="9"/>
        <v>1</v>
      </c>
      <c r="B68">
        <v>379</v>
      </c>
      <c r="C68">
        <v>378</v>
      </c>
      <c r="D68" t="s">
        <v>1043</v>
      </c>
      <c r="E68">
        <v>378</v>
      </c>
      <c r="F68">
        <v>0</v>
      </c>
      <c r="G68">
        <v>1.4</v>
      </c>
      <c r="H68">
        <v>305</v>
      </c>
      <c r="I68">
        <v>5</v>
      </c>
      <c r="J68">
        <v>360559.391664</v>
      </c>
      <c r="K68">
        <v>4948383.3995380001</v>
      </c>
      <c r="L68">
        <v>360825.86532600003</v>
      </c>
      <c r="M68">
        <v>4948790.9113360001</v>
      </c>
      <c r="N68">
        <v>3132.6</v>
      </c>
      <c r="O68">
        <v>12.926339</v>
      </c>
      <c r="P68">
        <v>12.926339</v>
      </c>
      <c r="Q68">
        <v>9</v>
      </c>
      <c r="R68">
        <v>18.772221999999999</v>
      </c>
      <c r="S68">
        <v>18.066666999999999</v>
      </c>
      <c r="T68">
        <v>19.171111</v>
      </c>
      <c r="U68">
        <v>21.397777999999999</v>
      </c>
      <c r="V68">
        <v>17.061111</v>
      </c>
      <c r="W68">
        <v>18.477778000000001</v>
      </c>
      <c r="X68">
        <v>18.897777999999999</v>
      </c>
      <c r="Y68">
        <v>15.848889</v>
      </c>
      <c r="Z68">
        <v>15.028888999999999</v>
      </c>
      <c r="AA68">
        <v>1328.7777779999999</v>
      </c>
      <c r="AB68">
        <v>23681584.555555999</v>
      </c>
      <c r="AC68">
        <v>18.080247</v>
      </c>
      <c r="AD68">
        <v>22.765698</v>
      </c>
      <c r="AE68">
        <v>75</v>
      </c>
      <c r="AF68">
        <v>268.77777800000001</v>
      </c>
      <c r="AG68">
        <v>5012.7685879999999</v>
      </c>
      <c r="AH68">
        <v>359601.32698100002</v>
      </c>
      <c r="AI68">
        <v>1414.774825</v>
      </c>
      <c r="AJ68">
        <v>60</v>
      </c>
      <c r="AK68" s="499">
        <f t="shared" si="13"/>
        <v>57.195686492</v>
      </c>
      <c r="AL68" s="15">
        <f t="shared" si="109"/>
        <v>84.535686491999996</v>
      </c>
      <c r="AM68" s="15"/>
      <c r="AN68" s="499">
        <f t="shared" si="102"/>
        <v>19.04397116935484</v>
      </c>
      <c r="AO68" s="499">
        <f t="shared" si="103"/>
        <v>22.679891532258072</v>
      </c>
      <c r="AP68" s="499">
        <f t="shared" si="104"/>
        <v>21.488440634903849</v>
      </c>
      <c r="AQ68" s="499"/>
      <c r="AR68" s="228">
        <v>24.422453000000001</v>
      </c>
      <c r="AS68" s="13">
        <v>191</v>
      </c>
      <c r="AT68" s="13">
        <v>2.3559030000000001</v>
      </c>
      <c r="AU68" s="13">
        <f t="shared" si="47"/>
        <v>1</v>
      </c>
      <c r="AV68" s="13">
        <f t="shared" si="38"/>
        <v>24.422453000000001</v>
      </c>
      <c r="AW68" s="13">
        <f t="shared" si="39"/>
        <v>24.422453000000001</v>
      </c>
      <c r="AX68" s="13">
        <f t="shared" si="40"/>
        <v>24.422453000000001</v>
      </c>
      <c r="AY68" s="13">
        <v>1275.4891689999999</v>
      </c>
      <c r="AZ68" s="13">
        <f t="shared" si="41"/>
        <v>0</v>
      </c>
      <c r="BA68" s="13">
        <f t="shared" si="42"/>
        <v>0</v>
      </c>
      <c r="BB68" s="97">
        <f t="shared" si="43"/>
        <v>0</v>
      </c>
      <c r="BC68" s="499"/>
      <c r="BD68" s="499">
        <v>100.35</v>
      </c>
      <c r="BE68" s="499">
        <v>21.557761491935473</v>
      </c>
      <c r="BF68" s="499">
        <v>21.494979032258062</v>
      </c>
      <c r="BG68" s="499">
        <v>20.89639766791209</v>
      </c>
      <c r="BI68" s="499">
        <f t="shared" ref="BI68:BJ68" si="111">AS71</f>
        <v>11</v>
      </c>
      <c r="BJ68" s="499">
        <f t="shared" si="111"/>
        <v>2.4081899999999998</v>
      </c>
      <c r="BK68" s="5">
        <f t="shared" si="15"/>
        <v>0</v>
      </c>
      <c r="BL68" s="499">
        <f t="shared" si="16"/>
        <v>16.994494</v>
      </c>
      <c r="BM68" s="499">
        <f t="shared" si="17"/>
        <v>1527.9393500000001</v>
      </c>
      <c r="BO68" s="499">
        <f t="shared" si="18"/>
        <v>11</v>
      </c>
      <c r="BP68" s="499">
        <f t="shared" si="19"/>
        <v>2.4081899999999998</v>
      </c>
      <c r="BQ68" s="5">
        <f t="shared" si="20"/>
        <v>0</v>
      </c>
      <c r="BR68" s="499">
        <f t="shared" si="21"/>
        <v>16.994494</v>
      </c>
      <c r="BS68" s="499">
        <f t="shared" si="11"/>
        <v>1527.9393500000001</v>
      </c>
      <c r="BU68" s="499">
        <f t="shared" si="22"/>
        <v>11</v>
      </c>
      <c r="BV68" s="499">
        <f t="shared" si="23"/>
        <v>2.4081899999999998</v>
      </c>
      <c r="BW68" s="5">
        <f t="shared" si="12"/>
        <v>0</v>
      </c>
      <c r="BX68" s="499">
        <f t="shared" si="24"/>
        <v>16.994494</v>
      </c>
      <c r="BY68" s="499">
        <f t="shared" si="25"/>
        <v>1527.9393500000001</v>
      </c>
      <c r="CA68">
        <v>11</v>
      </c>
      <c r="CB68">
        <v>2.4081899999999998</v>
      </c>
      <c r="CC68">
        <v>0</v>
      </c>
      <c r="CD68">
        <v>16.994494</v>
      </c>
      <c r="CE68">
        <v>1527.9393500000001</v>
      </c>
      <c r="CG68" s="499">
        <f t="shared" si="26"/>
        <v>0</v>
      </c>
      <c r="CH68" s="499">
        <f t="shared" si="27"/>
        <v>0</v>
      </c>
      <c r="CI68" s="499">
        <f t="shared" si="28"/>
        <v>0</v>
      </c>
      <c r="CJ68" s="499">
        <f t="shared" si="29"/>
        <v>0</v>
      </c>
      <c r="CP68" s="499"/>
      <c r="CQ68" s="65">
        <f t="shared" si="32"/>
        <v>0.97812126981210734</v>
      </c>
      <c r="CR68" s="499">
        <f t="shared" si="33"/>
        <v>0.97812126981210734</v>
      </c>
      <c r="CS68" s="499">
        <f t="shared" si="34"/>
        <v>0.97812126981210734</v>
      </c>
      <c r="CT68" s="38">
        <f t="shared" si="35"/>
        <v>1</v>
      </c>
      <c r="CU68" s="498">
        <f t="shared" si="36"/>
        <v>1</v>
      </c>
    </row>
    <row r="69" spans="1:99">
      <c r="A69" s="499">
        <f t="shared" ref="A69:A102" si="112">B69-C69</f>
        <v>1</v>
      </c>
      <c r="B69">
        <v>49</v>
      </c>
      <c r="C69">
        <v>48</v>
      </c>
      <c r="D69" t="s">
        <v>1043</v>
      </c>
      <c r="E69">
        <v>48</v>
      </c>
      <c r="F69">
        <v>0</v>
      </c>
      <c r="G69">
        <v>0.9</v>
      </c>
      <c r="H69">
        <v>272</v>
      </c>
      <c r="I69">
        <v>3</v>
      </c>
      <c r="J69">
        <v>361780.87376300001</v>
      </c>
      <c r="K69">
        <v>4948172.9400129998</v>
      </c>
      <c r="L69">
        <v>361693.60833000002</v>
      </c>
      <c r="M69">
        <v>4948662.6638630005</v>
      </c>
      <c r="N69">
        <v>2930</v>
      </c>
      <c r="O69">
        <v>12.885662</v>
      </c>
      <c r="P69">
        <v>12.885662</v>
      </c>
      <c r="Q69">
        <v>3</v>
      </c>
      <c r="R69">
        <v>19.453333000000001</v>
      </c>
      <c r="S69">
        <v>18.536667000000001</v>
      </c>
      <c r="T69">
        <v>19.873332999999999</v>
      </c>
      <c r="U69">
        <v>22.033332999999999</v>
      </c>
      <c r="V69">
        <v>18.03</v>
      </c>
      <c r="W69">
        <v>19.03</v>
      </c>
      <c r="X69">
        <v>19.693332999999999</v>
      </c>
      <c r="Y69">
        <v>16.353332999999999</v>
      </c>
      <c r="Z69">
        <v>15.663333</v>
      </c>
      <c r="AA69">
        <v>1139.666667</v>
      </c>
      <c r="AB69">
        <v>23681328.333333001</v>
      </c>
      <c r="AC69">
        <v>18.740741</v>
      </c>
      <c r="AD69">
        <v>23.549806</v>
      </c>
      <c r="AE69">
        <v>75</v>
      </c>
      <c r="AF69">
        <v>261</v>
      </c>
      <c r="AG69">
        <v>3469.6879669999998</v>
      </c>
      <c r="AH69">
        <v>242721.73642299999</v>
      </c>
      <c r="AI69">
        <v>895.95424500000001</v>
      </c>
      <c r="AJ69">
        <v>61</v>
      </c>
      <c r="AK69" s="499">
        <f t="shared" si="13"/>
        <v>58.610461317000002</v>
      </c>
      <c r="AL69" s="15">
        <f t="shared" si="109"/>
        <v>85.950461317000006</v>
      </c>
      <c r="AM69" s="15"/>
      <c r="AN69" s="499">
        <f t="shared" si="102"/>
        <v>19.154557056451619</v>
      </c>
      <c r="AO69" s="499">
        <f t="shared" si="103"/>
        <v>22.241778629032265</v>
      </c>
      <c r="AP69" s="499">
        <f t="shared" si="104"/>
        <v>21.268523853264657</v>
      </c>
      <c r="AQ69" s="499"/>
      <c r="AR69" s="228">
        <v>16.994494</v>
      </c>
      <c r="AS69" s="13">
        <v>65</v>
      </c>
      <c r="AT69" s="13">
        <v>2.401548</v>
      </c>
      <c r="AU69" s="13">
        <f t="shared" si="47"/>
        <v>0</v>
      </c>
      <c r="AV69" s="13">
        <f t="shared" si="38"/>
        <v>16.994494</v>
      </c>
      <c r="AW69" s="13">
        <f t="shared" si="39"/>
        <v>16.994494</v>
      </c>
      <c r="AX69" s="13">
        <f t="shared" si="40"/>
        <v>16.994494</v>
      </c>
      <c r="AY69" s="13">
        <v>1001.972769</v>
      </c>
      <c r="AZ69" s="13">
        <f t="shared" si="41"/>
        <v>0</v>
      </c>
      <c r="BA69" s="13">
        <f t="shared" si="42"/>
        <v>0</v>
      </c>
      <c r="BB69" s="97">
        <f t="shared" si="43"/>
        <v>0</v>
      </c>
      <c r="BC69" s="499"/>
      <c r="BD69" s="499">
        <v>100.15</v>
      </c>
      <c r="BE69" s="499">
        <v>21.482503629032255</v>
      </c>
      <c r="BF69" s="499">
        <v>21.455885483870965</v>
      </c>
      <c r="BG69" s="499">
        <v>20.838870743333338</v>
      </c>
      <c r="BI69" s="499">
        <f t="shared" ref="BI69:BJ69" si="113">AS72</f>
        <v>86</v>
      </c>
      <c r="BJ69" s="499">
        <f t="shared" si="113"/>
        <v>2.4083869999999998</v>
      </c>
      <c r="BK69" s="5">
        <f t="shared" si="15"/>
        <v>0</v>
      </c>
      <c r="BL69" s="499">
        <f t="shared" si="16"/>
        <v>19.297452</v>
      </c>
      <c r="BM69" s="499">
        <f t="shared" si="17"/>
        <v>998.96324900000002</v>
      </c>
      <c r="BO69" s="499">
        <f t="shared" si="18"/>
        <v>86</v>
      </c>
      <c r="BP69" s="499">
        <f t="shared" si="19"/>
        <v>2.4083869999999998</v>
      </c>
      <c r="BQ69" s="5">
        <f t="shared" ref="BQ69:BQ132" si="114">IF(BR69&gt;=24.4,1,0)</f>
        <v>0</v>
      </c>
      <c r="BR69" s="499">
        <f t="shared" si="21"/>
        <v>19.297452</v>
      </c>
      <c r="BS69" s="499">
        <f t="shared" si="11"/>
        <v>998.96324900000002</v>
      </c>
      <c r="BU69" s="499">
        <f t="shared" si="22"/>
        <v>86</v>
      </c>
      <c r="BV69" s="499">
        <f t="shared" si="23"/>
        <v>2.4083869999999998</v>
      </c>
      <c r="BW69" s="5">
        <f t="shared" ref="BW69:BW132" si="115">IF(BX69&gt;=24.4,1,0)</f>
        <v>0</v>
      </c>
      <c r="BX69" s="499">
        <f t="shared" si="24"/>
        <v>19.297452</v>
      </c>
      <c r="BY69" s="499">
        <f t="shared" si="25"/>
        <v>998.96324900000002</v>
      </c>
      <c r="CA69">
        <v>86</v>
      </c>
      <c r="CB69">
        <v>2.4083869999999998</v>
      </c>
      <c r="CC69">
        <v>0</v>
      </c>
      <c r="CD69">
        <v>19.297452</v>
      </c>
      <c r="CE69">
        <v>998.96324900000002</v>
      </c>
      <c r="CG69" s="499">
        <f t="shared" si="26"/>
        <v>0</v>
      </c>
      <c r="CH69" s="499">
        <f t="shared" si="27"/>
        <v>0</v>
      </c>
      <c r="CI69" s="499">
        <f t="shared" si="28"/>
        <v>0</v>
      </c>
      <c r="CJ69" s="499">
        <f t="shared" si="29"/>
        <v>0</v>
      </c>
      <c r="CP69" s="499"/>
      <c r="CQ69" s="65">
        <f t="shared" si="32"/>
        <v>0.97885956255760231</v>
      </c>
      <c r="CR69" s="499">
        <f t="shared" si="33"/>
        <v>0.97885956255760231</v>
      </c>
      <c r="CS69" s="499">
        <f t="shared" si="34"/>
        <v>0.97885956255760231</v>
      </c>
      <c r="CT69" s="38">
        <f t="shared" si="35"/>
        <v>1</v>
      </c>
      <c r="CU69" s="498">
        <f t="shared" si="36"/>
        <v>1</v>
      </c>
    </row>
    <row r="70" spans="1:99">
      <c r="A70" s="499">
        <f t="shared" si="112"/>
        <v>1</v>
      </c>
      <c r="B70">
        <v>53</v>
      </c>
      <c r="C70">
        <v>52</v>
      </c>
      <c r="D70" t="s">
        <v>1043</v>
      </c>
      <c r="E70">
        <v>52</v>
      </c>
      <c r="F70">
        <v>0</v>
      </c>
      <c r="G70">
        <v>1</v>
      </c>
      <c r="H70">
        <v>273</v>
      </c>
      <c r="I70">
        <v>4</v>
      </c>
      <c r="J70">
        <v>362465.14847000001</v>
      </c>
      <c r="K70">
        <v>4948176.7745249998</v>
      </c>
      <c r="L70">
        <v>362637.11011499999</v>
      </c>
      <c r="M70">
        <v>4948619.0649420004</v>
      </c>
      <c r="N70">
        <v>2926.5</v>
      </c>
      <c r="O70">
        <v>12.719264000000001</v>
      </c>
      <c r="P70">
        <v>12.719264000000001</v>
      </c>
      <c r="Q70">
        <v>1</v>
      </c>
      <c r="R70">
        <v>19.510000000000002</v>
      </c>
      <c r="S70">
        <v>18.440000000000001</v>
      </c>
      <c r="T70">
        <v>20.3</v>
      </c>
      <c r="U70">
        <v>22.21</v>
      </c>
      <c r="V70">
        <v>18.329999999999998</v>
      </c>
      <c r="W70">
        <v>19.23</v>
      </c>
      <c r="X70">
        <v>20.13</v>
      </c>
      <c r="Y70">
        <v>16.600000000000001</v>
      </c>
      <c r="Z70">
        <v>16.47</v>
      </c>
      <c r="AA70">
        <v>583</v>
      </c>
      <c r="AB70">
        <v>23681329</v>
      </c>
      <c r="AC70">
        <v>19.024443999999999</v>
      </c>
      <c r="AD70">
        <v>23.618113999999998</v>
      </c>
      <c r="AE70">
        <v>75</v>
      </c>
      <c r="AF70">
        <v>258</v>
      </c>
      <c r="AG70">
        <v>7114.2248630000004</v>
      </c>
      <c r="AH70">
        <v>516217.73077299999</v>
      </c>
      <c r="AI70">
        <v>999.04299900000001</v>
      </c>
      <c r="AJ70">
        <v>62</v>
      </c>
      <c r="AK70" s="499">
        <f t="shared" ref="AK70:AK101" si="116">AK69+AI69/1000</f>
        <v>59.506415562000001</v>
      </c>
      <c r="AL70" s="15">
        <f t="shared" si="109"/>
        <v>86.846415562000004</v>
      </c>
      <c r="AM70" s="15"/>
      <c r="AN70" s="499">
        <f t="shared" si="102"/>
        <v>19.273188104838713</v>
      </c>
      <c r="AO70" s="499">
        <f t="shared" si="103"/>
        <v>22.396041532258064</v>
      </c>
      <c r="AP70" s="499">
        <f t="shared" si="104"/>
        <v>21.658947522051285</v>
      </c>
      <c r="AQ70" s="499"/>
      <c r="AR70" s="228">
        <v>20.73527</v>
      </c>
      <c r="AS70" s="13">
        <v>56</v>
      </c>
      <c r="AT70" s="13">
        <v>2.4063629999999998</v>
      </c>
      <c r="AU70" s="13">
        <f t="shared" si="47"/>
        <v>0</v>
      </c>
      <c r="AV70" s="13">
        <f t="shared" si="38"/>
        <v>20.73527</v>
      </c>
      <c r="AW70" s="13">
        <f t="shared" si="39"/>
        <v>20.73527</v>
      </c>
      <c r="AX70" s="13">
        <f t="shared" si="40"/>
        <v>20.73527</v>
      </c>
      <c r="AY70" s="13">
        <v>1000.871273</v>
      </c>
      <c r="AZ70" s="13">
        <f t="shared" si="41"/>
        <v>0</v>
      </c>
      <c r="BA70" s="13">
        <f t="shared" si="42"/>
        <v>0</v>
      </c>
      <c r="BB70" s="97">
        <f t="shared" si="43"/>
        <v>0</v>
      </c>
      <c r="BC70" s="499"/>
      <c r="BD70" s="499">
        <v>99.95</v>
      </c>
      <c r="BE70" s="499">
        <v>21.479751411290312</v>
      </c>
      <c r="BF70" s="499">
        <v>21.416964717741934</v>
      </c>
      <c r="BG70" s="499">
        <v>20.90372391707875</v>
      </c>
      <c r="BI70" s="499">
        <f t="shared" ref="BI70:BJ70" si="117">AS73</f>
        <v>221</v>
      </c>
      <c r="BJ70" s="499">
        <f t="shared" si="117"/>
        <v>2.4119389999999998</v>
      </c>
      <c r="BK70" s="5">
        <f t="shared" ref="BK70:BK133" si="118">IF(BL70&gt;=24.4,1,0)</f>
        <v>0</v>
      </c>
      <c r="BL70" s="499">
        <f t="shared" ref="BL70:BL133" si="119">AR73</f>
        <v>19.727077000000001</v>
      </c>
      <c r="BM70" s="499">
        <f t="shared" ref="BM70:BM133" si="120">AY73</f>
        <v>683.84576000000004</v>
      </c>
      <c r="BO70" s="499">
        <f t="shared" ref="BO70:BO133" si="121">BI70</f>
        <v>221</v>
      </c>
      <c r="BP70" s="499">
        <f t="shared" ref="BP70:BP133" si="122">BJ70</f>
        <v>2.4119389999999998</v>
      </c>
      <c r="BQ70" s="5">
        <f t="shared" si="114"/>
        <v>0</v>
      </c>
      <c r="BR70" s="499">
        <f t="shared" ref="BR70:BR133" si="123">$BL70-AZ73</f>
        <v>19.727077000000001</v>
      </c>
      <c r="BS70" s="499">
        <f t="shared" ref="BS70:BS133" si="124">BM70</f>
        <v>683.84576000000004</v>
      </c>
      <c r="BU70" s="499">
        <f t="shared" ref="BU70:BU133" si="125">BI70</f>
        <v>221</v>
      </c>
      <c r="BV70" s="499">
        <f t="shared" ref="BV70:BV133" si="126">BJ70</f>
        <v>2.4119389999999998</v>
      </c>
      <c r="BW70" s="5">
        <f t="shared" si="115"/>
        <v>0</v>
      </c>
      <c r="BX70" s="499">
        <f t="shared" ref="BX70:BX133" si="127">$BL70-BA73</f>
        <v>19.727077000000001</v>
      </c>
      <c r="BY70" s="499">
        <f t="shared" ref="BY70:BY133" si="128">BM70</f>
        <v>683.84576000000004</v>
      </c>
      <c r="CA70">
        <v>221</v>
      </c>
      <c r="CB70">
        <v>2.4119389999999998</v>
      </c>
      <c r="CC70">
        <v>0</v>
      </c>
      <c r="CD70">
        <v>19.727077000000001</v>
      </c>
      <c r="CE70">
        <v>683.84576000000004</v>
      </c>
      <c r="CG70" s="499">
        <f t="shared" ref="CG70:CG133" si="129">BK70</f>
        <v>0</v>
      </c>
      <c r="CH70" s="499">
        <f t="shared" ref="CH70:CH133" si="130">BQ70</f>
        <v>0</v>
      </c>
      <c r="CI70" s="499">
        <f t="shared" ref="CI70:CI133" si="131">BW70</f>
        <v>0</v>
      </c>
      <c r="CJ70" s="499">
        <f t="shared" ref="CJ70:CJ133" si="132">CC70</f>
        <v>0</v>
      </c>
      <c r="CP70" s="499"/>
      <c r="CQ70" s="65">
        <f t="shared" si="32"/>
        <v>0.97881752723341475</v>
      </c>
      <c r="CR70" s="499">
        <f t="shared" si="33"/>
        <v>0.97881752723341475</v>
      </c>
      <c r="CS70" s="499">
        <f t="shared" si="34"/>
        <v>0.97881752723341475</v>
      </c>
      <c r="CT70" s="38">
        <f t="shared" si="35"/>
        <v>1</v>
      </c>
      <c r="CU70" s="498">
        <f t="shared" si="36"/>
        <v>1</v>
      </c>
    </row>
    <row r="71" spans="1:99">
      <c r="A71" s="499">
        <f t="shared" si="112"/>
        <v>1</v>
      </c>
      <c r="B71">
        <v>339</v>
      </c>
      <c r="C71">
        <v>338</v>
      </c>
      <c r="D71" t="s">
        <v>1043</v>
      </c>
      <c r="E71">
        <v>338</v>
      </c>
      <c r="F71">
        <v>0</v>
      </c>
      <c r="G71">
        <v>1.4</v>
      </c>
      <c r="H71">
        <v>271</v>
      </c>
      <c r="I71">
        <v>5</v>
      </c>
      <c r="J71">
        <v>363218.65197200002</v>
      </c>
      <c r="K71">
        <v>4947512.121704</v>
      </c>
      <c r="L71">
        <v>363530.77123800002</v>
      </c>
      <c r="M71">
        <v>4947838.0317860004</v>
      </c>
      <c r="N71">
        <v>2922</v>
      </c>
      <c r="O71">
        <v>12.653587999999999</v>
      </c>
      <c r="P71">
        <v>12.653587999999999</v>
      </c>
      <c r="Q71">
        <v>3</v>
      </c>
      <c r="R71">
        <v>19.823333000000002</v>
      </c>
      <c r="S71">
        <v>19.11</v>
      </c>
      <c r="T71">
        <v>20.97</v>
      </c>
      <c r="U71">
        <v>22.706666999999999</v>
      </c>
      <c r="V71">
        <v>19.093333000000001</v>
      </c>
      <c r="W71">
        <v>19.896667000000001</v>
      </c>
      <c r="X71">
        <v>20.773333000000001</v>
      </c>
      <c r="Y71">
        <v>17.316666999999999</v>
      </c>
      <c r="Z71">
        <v>17.033332999999999</v>
      </c>
      <c r="AA71">
        <v>1159.666667</v>
      </c>
      <c r="AB71">
        <v>23681330.333333001</v>
      </c>
      <c r="AC71">
        <v>19.635926000000001</v>
      </c>
      <c r="AD71">
        <v>24.738108</v>
      </c>
      <c r="AE71">
        <v>75</v>
      </c>
      <c r="AF71">
        <v>258.33333299999998</v>
      </c>
      <c r="AG71">
        <v>4971.5211959999997</v>
      </c>
      <c r="AH71">
        <v>355418.01172800001</v>
      </c>
      <c r="AI71">
        <v>1449.1924409999999</v>
      </c>
      <c r="AJ71">
        <v>63</v>
      </c>
      <c r="AK71" s="499">
        <f t="shared" si="116"/>
        <v>60.505458560999998</v>
      </c>
      <c r="AL71" s="15">
        <f t="shared" si="109"/>
        <v>87.845458561000001</v>
      </c>
      <c r="AM71" s="15"/>
      <c r="AN71" s="499">
        <f t="shared" si="102"/>
        <v>19.413302419354839</v>
      </c>
      <c r="AO71" s="499">
        <f t="shared" si="103"/>
        <v>22.935141935483877</v>
      </c>
      <c r="AP71" s="499">
        <f t="shared" si="104"/>
        <v>21.616044675760076</v>
      </c>
      <c r="AQ71" s="499"/>
      <c r="AR71" s="228">
        <v>16.994494</v>
      </c>
      <c r="AS71" s="13">
        <v>11</v>
      </c>
      <c r="AT71" s="13">
        <v>2.4081899999999998</v>
      </c>
      <c r="AU71" s="13">
        <f t="shared" si="47"/>
        <v>0</v>
      </c>
      <c r="AV71" s="13">
        <f t="shared" si="38"/>
        <v>16.994494</v>
      </c>
      <c r="AW71" s="13">
        <f t="shared" si="39"/>
        <v>16.994494</v>
      </c>
      <c r="AX71" s="13">
        <f t="shared" si="40"/>
        <v>16.994494</v>
      </c>
      <c r="AY71" s="13">
        <v>1527.9393500000001</v>
      </c>
      <c r="AZ71" s="13">
        <f t="shared" si="41"/>
        <v>0</v>
      </c>
      <c r="BA71" s="13">
        <f t="shared" si="42"/>
        <v>0</v>
      </c>
      <c r="BB71" s="97">
        <f t="shared" si="43"/>
        <v>0</v>
      </c>
      <c r="BC71" s="499"/>
      <c r="BD71" s="499">
        <v>99.75</v>
      </c>
      <c r="BE71" s="499">
        <v>21.441713306451607</v>
      </c>
      <c r="BF71" s="499">
        <v>21.418036088709673</v>
      </c>
      <c r="BG71" s="499">
        <v>20.925499703415749</v>
      </c>
      <c r="BI71" s="499">
        <f t="shared" ref="BI71:BJ71" si="133">AS74</f>
        <v>241</v>
      </c>
      <c r="BJ71" s="499">
        <f t="shared" si="133"/>
        <v>2.4142130000000002</v>
      </c>
      <c r="BK71" s="5">
        <f t="shared" si="118"/>
        <v>0</v>
      </c>
      <c r="BL71" s="499">
        <f t="shared" si="119"/>
        <v>16.87659</v>
      </c>
      <c r="BM71" s="499">
        <f t="shared" si="120"/>
        <v>1215.176682</v>
      </c>
      <c r="BO71" s="499">
        <f t="shared" si="121"/>
        <v>241</v>
      </c>
      <c r="BP71" s="499">
        <f t="shared" si="122"/>
        <v>2.4142130000000002</v>
      </c>
      <c r="BQ71" s="5">
        <f t="shared" si="114"/>
        <v>0</v>
      </c>
      <c r="BR71" s="499">
        <f t="shared" si="123"/>
        <v>16.87659</v>
      </c>
      <c r="BS71" s="499">
        <f t="shared" si="124"/>
        <v>1215.176682</v>
      </c>
      <c r="BU71" s="499">
        <f t="shared" si="125"/>
        <v>241</v>
      </c>
      <c r="BV71" s="499">
        <f t="shared" si="126"/>
        <v>2.4142130000000002</v>
      </c>
      <c r="BW71" s="5">
        <f t="shared" si="115"/>
        <v>0</v>
      </c>
      <c r="BX71" s="499">
        <f t="shared" si="127"/>
        <v>16.87659</v>
      </c>
      <c r="BY71" s="499">
        <f t="shared" si="128"/>
        <v>1215.176682</v>
      </c>
      <c r="CA71">
        <v>241</v>
      </c>
      <c r="CB71">
        <v>2.4142130000000002</v>
      </c>
      <c r="CC71">
        <v>0</v>
      </c>
      <c r="CD71">
        <v>16.87659</v>
      </c>
      <c r="CE71">
        <v>1215.176682</v>
      </c>
      <c r="CG71" s="499">
        <f t="shared" si="129"/>
        <v>0</v>
      </c>
      <c r="CH71" s="499">
        <f t="shared" si="130"/>
        <v>0</v>
      </c>
      <c r="CI71" s="499">
        <f t="shared" si="131"/>
        <v>0</v>
      </c>
      <c r="CJ71" s="499">
        <f t="shared" si="132"/>
        <v>0</v>
      </c>
      <c r="CP71" s="499"/>
      <c r="CQ71" s="65">
        <f t="shared" ref="CQ71:CQ134" si="134">(97.886/(1+EXP(-((BL70-24.35322)/-0.5033))))/100</f>
        <v>0.97876027456852288</v>
      </c>
      <c r="CR71" s="499">
        <f t="shared" ref="CR71:CR134" si="135">(97.886/(1+EXP(-((BR70-24.35322)/-0.5033))))/100</f>
        <v>0.97876027456852288</v>
      </c>
      <c r="CS71" s="499">
        <f t="shared" ref="CS71:CS134" si="136">(97.886/(1+EXP(-((BX70-24.35322)/-0.5033))))/100</f>
        <v>0.97876027456852288</v>
      </c>
      <c r="CT71" s="38">
        <f t="shared" ref="CT71:CT134" si="137">CR71/CQ71</f>
        <v>1</v>
      </c>
      <c r="CU71" s="498">
        <f t="shared" ref="CU71:CU134" si="138">CS71/CQ71</f>
        <v>1</v>
      </c>
    </row>
    <row r="72" spans="1:99">
      <c r="A72" s="499">
        <f t="shared" si="112"/>
        <v>1</v>
      </c>
      <c r="B72">
        <v>377</v>
      </c>
      <c r="C72">
        <v>376</v>
      </c>
      <c r="D72" t="s">
        <v>1043</v>
      </c>
      <c r="E72">
        <v>376</v>
      </c>
      <c r="F72">
        <v>0</v>
      </c>
      <c r="G72">
        <v>1.6</v>
      </c>
      <c r="H72">
        <v>270</v>
      </c>
      <c r="I72">
        <v>5</v>
      </c>
      <c r="J72">
        <v>364652.45013000001</v>
      </c>
      <c r="K72">
        <v>4947087.85439</v>
      </c>
      <c r="L72">
        <v>364765.68036400003</v>
      </c>
      <c r="M72">
        <v>4947508.9547359999</v>
      </c>
      <c r="N72">
        <v>2890</v>
      </c>
      <c r="O72">
        <v>12.29955</v>
      </c>
      <c r="P72">
        <v>12.29955</v>
      </c>
      <c r="Q72">
        <v>5</v>
      </c>
      <c r="R72">
        <v>20.024000000000001</v>
      </c>
      <c r="S72">
        <v>19.518000000000001</v>
      </c>
      <c r="T72">
        <v>21.16</v>
      </c>
      <c r="U72">
        <v>22.902000000000001</v>
      </c>
      <c r="V72">
        <v>19.344000000000001</v>
      </c>
      <c r="W72">
        <v>20.102</v>
      </c>
      <c r="X72">
        <v>21.064</v>
      </c>
      <c r="Y72">
        <v>17.670000000000002</v>
      </c>
      <c r="Z72">
        <v>17.132000000000001</v>
      </c>
      <c r="AA72">
        <v>1266</v>
      </c>
      <c r="AB72">
        <v>23681331.399999999</v>
      </c>
      <c r="AC72">
        <v>19.879556000000001</v>
      </c>
      <c r="AD72">
        <v>25.116909</v>
      </c>
      <c r="AE72">
        <v>75</v>
      </c>
      <c r="AF72">
        <v>258.60000000000002</v>
      </c>
      <c r="AG72">
        <v>4586.773811</v>
      </c>
      <c r="AH72">
        <v>326600.666868</v>
      </c>
      <c r="AI72">
        <v>1649.366117</v>
      </c>
      <c r="AJ72">
        <v>64</v>
      </c>
      <c r="AK72" s="499">
        <f t="shared" si="116"/>
        <v>61.954651001999999</v>
      </c>
      <c r="AL72" s="15">
        <f t="shared" si="109"/>
        <v>89.294651001999995</v>
      </c>
      <c r="AM72" s="15"/>
      <c r="AN72" s="499">
        <f t="shared" si="102"/>
        <v>19.632381854838719</v>
      </c>
      <c r="AO72" s="499">
        <f t="shared" si="103"/>
        <v>23.366787701612907</v>
      </c>
      <c r="AP72" s="499">
        <f t="shared" si="104"/>
        <v>21.48065861410257</v>
      </c>
      <c r="AQ72" s="499"/>
      <c r="AR72" s="228">
        <v>19.297452</v>
      </c>
      <c r="AS72" s="13">
        <v>86</v>
      </c>
      <c r="AT72" s="13">
        <v>2.4083869999999998</v>
      </c>
      <c r="AU72" s="13">
        <f t="shared" si="47"/>
        <v>0</v>
      </c>
      <c r="AV72" s="13">
        <f t="shared" si="38"/>
        <v>19.297452</v>
      </c>
      <c r="AW72" s="13">
        <f t="shared" si="39"/>
        <v>19.297452</v>
      </c>
      <c r="AX72" s="13">
        <f t="shared" si="40"/>
        <v>19.297452</v>
      </c>
      <c r="AY72" s="13">
        <v>998.96324900000002</v>
      </c>
      <c r="AZ72" s="13">
        <f t="shared" si="41"/>
        <v>0</v>
      </c>
      <c r="BA72" s="13">
        <f t="shared" si="42"/>
        <v>0</v>
      </c>
      <c r="BB72" s="97">
        <f t="shared" si="43"/>
        <v>0</v>
      </c>
      <c r="BC72" s="499"/>
      <c r="BD72" s="499">
        <v>99.55</v>
      </c>
      <c r="BE72" s="499">
        <v>21.371094556451613</v>
      </c>
      <c r="BF72" s="499">
        <v>21.38056995967742</v>
      </c>
      <c r="BG72" s="499">
        <v>20.857304387115384</v>
      </c>
      <c r="BI72" s="499">
        <f t="shared" ref="BI72:BJ72" si="139">AS75</f>
        <v>114</v>
      </c>
      <c r="BJ72" s="499">
        <f t="shared" si="139"/>
        <v>2.4208690000000002</v>
      </c>
      <c r="BK72" s="5">
        <f t="shared" si="118"/>
        <v>0</v>
      </c>
      <c r="BL72" s="499">
        <f t="shared" si="119"/>
        <v>18.622183</v>
      </c>
      <c r="BM72" s="499">
        <f t="shared" si="120"/>
        <v>1418.616021</v>
      </c>
      <c r="BO72" s="499">
        <f t="shared" si="121"/>
        <v>114</v>
      </c>
      <c r="BP72" s="499">
        <f t="shared" si="122"/>
        <v>2.4208690000000002</v>
      </c>
      <c r="BQ72" s="5">
        <f t="shared" si="114"/>
        <v>0</v>
      </c>
      <c r="BR72" s="499">
        <f t="shared" si="123"/>
        <v>18.622183</v>
      </c>
      <c r="BS72" s="499">
        <f t="shared" si="124"/>
        <v>1418.616021</v>
      </c>
      <c r="BU72" s="499">
        <f t="shared" si="125"/>
        <v>114</v>
      </c>
      <c r="BV72" s="499">
        <f t="shared" si="126"/>
        <v>2.4208690000000002</v>
      </c>
      <c r="BW72" s="5">
        <f t="shared" si="115"/>
        <v>0</v>
      </c>
      <c r="BX72" s="499">
        <f t="shared" si="127"/>
        <v>18.622183</v>
      </c>
      <c r="BY72" s="499">
        <f t="shared" si="128"/>
        <v>1418.616021</v>
      </c>
      <c r="CA72">
        <v>114</v>
      </c>
      <c r="CB72">
        <v>2.4208690000000002</v>
      </c>
      <c r="CC72">
        <v>0</v>
      </c>
      <c r="CD72">
        <v>18.622183</v>
      </c>
      <c r="CE72">
        <v>1418.616021</v>
      </c>
      <c r="CG72" s="499">
        <f t="shared" si="129"/>
        <v>0</v>
      </c>
      <c r="CH72" s="499">
        <f t="shared" si="130"/>
        <v>0</v>
      </c>
      <c r="CI72" s="499">
        <f t="shared" si="131"/>
        <v>0</v>
      </c>
      <c r="CJ72" s="499">
        <f t="shared" si="132"/>
        <v>0</v>
      </c>
      <c r="CP72" s="499"/>
      <c r="CQ72" s="65">
        <f t="shared" si="134"/>
        <v>0.97885965391539909</v>
      </c>
      <c r="CR72" s="499">
        <f t="shared" si="135"/>
        <v>0.97885965391539909</v>
      </c>
      <c r="CS72" s="499">
        <f t="shared" si="136"/>
        <v>0.97885965391539909</v>
      </c>
      <c r="CT72" s="38">
        <f t="shared" si="137"/>
        <v>1</v>
      </c>
      <c r="CU72" s="498">
        <f t="shared" si="138"/>
        <v>1</v>
      </c>
    </row>
    <row r="73" spans="1:99">
      <c r="A73" s="499">
        <f t="shared" si="112"/>
        <v>1</v>
      </c>
      <c r="B73">
        <v>47</v>
      </c>
      <c r="C73">
        <v>46</v>
      </c>
      <c r="D73" t="s">
        <v>1043</v>
      </c>
      <c r="E73">
        <v>46</v>
      </c>
      <c r="F73">
        <v>0</v>
      </c>
      <c r="G73">
        <v>0.3</v>
      </c>
      <c r="H73">
        <v>257</v>
      </c>
      <c r="I73">
        <v>1</v>
      </c>
      <c r="J73">
        <v>365106.51309000002</v>
      </c>
      <c r="K73">
        <v>4946966.4083799999</v>
      </c>
      <c r="L73">
        <v>365560.84473999997</v>
      </c>
      <c r="M73">
        <v>4947174.96117</v>
      </c>
      <c r="N73">
        <v>2812</v>
      </c>
      <c r="O73">
        <v>12.387271999999999</v>
      </c>
      <c r="P73">
        <v>12.387271999999999</v>
      </c>
      <c r="Q73">
        <v>5</v>
      </c>
      <c r="R73">
        <v>19.393999999999998</v>
      </c>
      <c r="S73">
        <v>18.603999999999999</v>
      </c>
      <c r="T73">
        <v>20.071999999999999</v>
      </c>
      <c r="U73">
        <v>21.736000000000001</v>
      </c>
      <c r="V73">
        <v>18.192</v>
      </c>
      <c r="W73">
        <v>19.132000000000001</v>
      </c>
      <c r="X73">
        <v>19.878</v>
      </c>
      <c r="Y73">
        <v>16.88</v>
      </c>
      <c r="Z73">
        <v>16.396000000000001</v>
      </c>
      <c r="AA73">
        <v>1258</v>
      </c>
      <c r="AB73">
        <v>23681333</v>
      </c>
      <c r="AC73">
        <v>18.920444</v>
      </c>
      <c r="AD73">
        <v>23.879076999999999</v>
      </c>
      <c r="AE73">
        <v>75</v>
      </c>
      <c r="AF73">
        <v>249</v>
      </c>
      <c r="AG73">
        <v>3698.7115859999999</v>
      </c>
      <c r="AH73">
        <v>260043.45146099999</v>
      </c>
      <c r="AI73">
        <v>279.79364500000003</v>
      </c>
      <c r="AJ73">
        <v>65</v>
      </c>
      <c r="AK73" s="499">
        <f t="shared" si="116"/>
        <v>63.604017118999998</v>
      </c>
      <c r="AL73" s="15">
        <f t="shared" si="109"/>
        <v>90.944017118999994</v>
      </c>
      <c r="AM73" s="15"/>
      <c r="AN73" s="499">
        <f t="shared" si="102"/>
        <v>19.792959475806452</v>
      </c>
      <c r="AO73" s="499">
        <f t="shared" si="103"/>
        <v>23.241518548387088</v>
      </c>
      <c r="AP73" s="499">
        <f t="shared" si="104"/>
        <v>20.629669324166667</v>
      </c>
      <c r="AQ73" s="499"/>
      <c r="AR73" s="228">
        <v>19.727077000000001</v>
      </c>
      <c r="AS73" s="13">
        <v>221</v>
      </c>
      <c r="AT73" s="13">
        <v>2.4119389999999998</v>
      </c>
      <c r="AU73" s="13">
        <f t="shared" si="47"/>
        <v>0</v>
      </c>
      <c r="AV73" s="13">
        <f t="shared" ref="AV73:AV136" si="140">IF(ISERROR(VLOOKUP(AS73,B$3:AP$102,40,FALSE))=TRUE,AR73,VLOOKUP(AS73,B$3:AP$102,40,FALSE))</f>
        <v>19.727077000000001</v>
      </c>
      <c r="AW73" s="13">
        <f t="shared" ref="AW73:AW136" si="141">IF(ISERROR(VLOOKUP(AS73,B$3:AP$102,39,FALSE))=TRUE,AR73,VLOOKUP(AS73,B$3:AP$102,39,FALSE))</f>
        <v>19.727077000000001</v>
      </c>
      <c r="AX73" s="13">
        <f t="shared" ref="AX73:AX136" si="142">IF(ISERROR(VLOOKUP(AS73,B$3:AP$102,41,FALSE))=TRUE,AR73,VLOOKUP(AS73,B$3:AP$102,41,FALSE))</f>
        <v>19.727077000000001</v>
      </c>
      <c r="AY73" s="13">
        <v>683.84576000000004</v>
      </c>
      <c r="AZ73" s="13">
        <f t="shared" ref="AZ73:AZ136" si="143">IF($AV73=0,0,$AV73-AW73)</f>
        <v>0</v>
      </c>
      <c r="BA73" s="13">
        <f t="shared" ref="BA73:BA136" si="144">IF($AV73=0,0,$AV73-AX73)</f>
        <v>0</v>
      </c>
      <c r="BB73" s="97">
        <f t="shared" ref="BB73:BB136" si="145">IF(AV73=0,0,$AR73-AV73)</f>
        <v>0</v>
      </c>
      <c r="BC73" s="499"/>
      <c r="BD73" s="499">
        <v>99.35</v>
      </c>
      <c r="BE73" s="499">
        <v>21.383497580645169</v>
      </c>
      <c r="BF73" s="499">
        <v>21.368616733870962</v>
      </c>
      <c r="BG73" s="499">
        <v>20.930624587010076</v>
      </c>
      <c r="BI73" s="499">
        <f t="shared" ref="BI73:BJ73" si="146">AS76</f>
        <v>141</v>
      </c>
      <c r="BJ73" s="499">
        <f t="shared" si="146"/>
        <v>2.4225349999999999</v>
      </c>
      <c r="BK73" s="5">
        <f t="shared" si="118"/>
        <v>1</v>
      </c>
      <c r="BL73" s="499">
        <f t="shared" si="119"/>
        <v>24.422453000000001</v>
      </c>
      <c r="BM73" s="499">
        <f t="shared" si="120"/>
        <v>738.84621000000004</v>
      </c>
      <c r="BO73" s="499">
        <f t="shared" si="121"/>
        <v>141</v>
      </c>
      <c r="BP73" s="499">
        <f t="shared" si="122"/>
        <v>2.4225349999999999</v>
      </c>
      <c r="BQ73" s="5">
        <f t="shared" si="114"/>
        <v>1</v>
      </c>
      <c r="BR73" s="499">
        <f t="shared" si="123"/>
        <v>24.422453000000001</v>
      </c>
      <c r="BS73" s="499">
        <f t="shared" si="124"/>
        <v>738.84621000000004</v>
      </c>
      <c r="BU73" s="499">
        <f t="shared" si="125"/>
        <v>141</v>
      </c>
      <c r="BV73" s="499">
        <f t="shared" si="126"/>
        <v>2.4225349999999999</v>
      </c>
      <c r="BW73" s="5">
        <f t="shared" si="115"/>
        <v>1</v>
      </c>
      <c r="BX73" s="499">
        <f t="shared" si="127"/>
        <v>24.422453000000001</v>
      </c>
      <c r="BY73" s="499">
        <f t="shared" si="128"/>
        <v>738.84621000000004</v>
      </c>
      <c r="CA73">
        <v>141</v>
      </c>
      <c r="CB73">
        <v>2.4225349999999999</v>
      </c>
      <c r="CC73">
        <v>1</v>
      </c>
      <c r="CD73">
        <v>24.422453000000001</v>
      </c>
      <c r="CE73">
        <v>738.84621000000004</v>
      </c>
      <c r="CG73" s="499">
        <f t="shared" si="129"/>
        <v>1</v>
      </c>
      <c r="CH73" s="499">
        <f t="shared" si="130"/>
        <v>1</v>
      </c>
      <c r="CI73" s="499">
        <f t="shared" si="131"/>
        <v>1</v>
      </c>
      <c r="CJ73" s="499">
        <f t="shared" si="132"/>
        <v>1</v>
      </c>
      <c r="CP73" s="499"/>
      <c r="CQ73" s="65">
        <f t="shared" si="134"/>
        <v>0.97884889703444711</v>
      </c>
      <c r="CR73" s="499">
        <f t="shared" si="135"/>
        <v>0.97884889703444711</v>
      </c>
      <c r="CS73" s="499">
        <f t="shared" si="136"/>
        <v>0.97884889703444711</v>
      </c>
      <c r="CT73" s="38">
        <f t="shared" si="137"/>
        <v>1</v>
      </c>
      <c r="CU73" s="498">
        <f t="shared" si="138"/>
        <v>1</v>
      </c>
    </row>
    <row r="74" spans="1:99">
      <c r="A74" s="499">
        <f t="shared" si="112"/>
        <v>1</v>
      </c>
      <c r="B74">
        <v>352</v>
      </c>
      <c r="C74">
        <v>351</v>
      </c>
      <c r="D74" t="s">
        <v>1043</v>
      </c>
      <c r="E74">
        <v>351</v>
      </c>
      <c r="F74">
        <v>0</v>
      </c>
      <c r="G74">
        <v>0.8</v>
      </c>
      <c r="H74">
        <v>249</v>
      </c>
      <c r="I74">
        <v>3</v>
      </c>
      <c r="J74">
        <v>365332.25397299998</v>
      </c>
      <c r="K74">
        <v>4946493.4949430004</v>
      </c>
      <c r="L74">
        <v>365728.71107299998</v>
      </c>
      <c r="M74">
        <v>4946771.6245529996</v>
      </c>
      <c r="N74">
        <v>2664</v>
      </c>
      <c r="O74">
        <v>12.044608999999999</v>
      </c>
      <c r="P74">
        <v>12.044608999999999</v>
      </c>
      <c r="Q74">
        <v>3</v>
      </c>
      <c r="R74">
        <v>18.87</v>
      </c>
      <c r="S74">
        <v>17.71</v>
      </c>
      <c r="T74">
        <v>19.153333</v>
      </c>
      <c r="U74">
        <v>20.83</v>
      </c>
      <c r="V74">
        <v>17.153333</v>
      </c>
      <c r="W74">
        <v>18.283332999999999</v>
      </c>
      <c r="X74">
        <v>18.843333000000001</v>
      </c>
      <c r="Y74">
        <v>16.09</v>
      </c>
      <c r="Z74">
        <v>15.783333000000001</v>
      </c>
      <c r="AA74">
        <v>1146.666667</v>
      </c>
      <c r="AB74">
        <v>23681333.666666999</v>
      </c>
      <c r="AC74">
        <v>18.079630000000002</v>
      </c>
      <c r="AD74">
        <v>22.712561000000001</v>
      </c>
      <c r="AE74">
        <v>75</v>
      </c>
      <c r="AF74">
        <v>240.33333300000001</v>
      </c>
      <c r="AG74">
        <v>2685.1608339999998</v>
      </c>
      <c r="AH74">
        <v>183993.25733699999</v>
      </c>
      <c r="AI74">
        <v>828.08221200000003</v>
      </c>
      <c r="AJ74">
        <v>66</v>
      </c>
      <c r="AK74" s="499">
        <f t="shared" si="116"/>
        <v>63.883810763999996</v>
      </c>
      <c r="AL74" s="15">
        <f t="shared" si="109"/>
        <v>91.223810763999992</v>
      </c>
      <c r="AM74" s="15"/>
      <c r="AN74" s="499">
        <f t="shared" si="102"/>
        <v>19.824943346774184</v>
      </c>
      <c r="AO74" s="499">
        <f t="shared" si="103"/>
        <v>23.34318447580646</v>
      </c>
      <c r="AP74" s="499">
        <f t="shared" si="104"/>
        <v>20.740852701204211</v>
      </c>
      <c r="AQ74" s="499"/>
      <c r="AR74" s="228">
        <v>16.87659</v>
      </c>
      <c r="AS74" s="13">
        <v>241</v>
      </c>
      <c r="AT74" s="13">
        <v>2.4142130000000002</v>
      </c>
      <c r="AU74" s="13">
        <f t="shared" si="47"/>
        <v>0</v>
      </c>
      <c r="AV74" s="13">
        <f t="shared" si="140"/>
        <v>16.87659</v>
      </c>
      <c r="AW74" s="13">
        <f t="shared" si="141"/>
        <v>16.87659</v>
      </c>
      <c r="AX74" s="13">
        <f t="shared" si="142"/>
        <v>16.87659</v>
      </c>
      <c r="AY74" s="13">
        <v>1215.176682</v>
      </c>
      <c r="AZ74" s="13">
        <f t="shared" si="143"/>
        <v>0</v>
      </c>
      <c r="BA74" s="13">
        <f t="shared" si="144"/>
        <v>0</v>
      </c>
      <c r="BB74" s="97">
        <f t="shared" si="145"/>
        <v>0</v>
      </c>
      <c r="BC74" s="499"/>
      <c r="BD74" s="499">
        <v>99.15</v>
      </c>
      <c r="BE74" s="499">
        <v>21.33485282258064</v>
      </c>
      <c r="BF74" s="499">
        <v>21.337353427419362</v>
      </c>
      <c r="BG74" s="499">
        <v>20.880974858402016</v>
      </c>
      <c r="BI74" s="499">
        <f t="shared" ref="BI74:BJ74" si="147">AS77</f>
        <v>15</v>
      </c>
      <c r="BJ74" s="499">
        <f t="shared" si="147"/>
        <v>2.432741</v>
      </c>
      <c r="BK74" s="5">
        <f t="shared" si="118"/>
        <v>0</v>
      </c>
      <c r="BL74" s="499">
        <f t="shared" si="119"/>
        <v>21.280384999999999</v>
      </c>
      <c r="BM74" s="499">
        <f t="shared" si="120"/>
        <v>1000.722036</v>
      </c>
      <c r="BO74" s="499">
        <f t="shared" si="121"/>
        <v>15</v>
      </c>
      <c r="BP74" s="499">
        <f t="shared" si="122"/>
        <v>2.432741</v>
      </c>
      <c r="BQ74" s="5">
        <f t="shared" si="114"/>
        <v>0</v>
      </c>
      <c r="BR74" s="499">
        <f t="shared" si="123"/>
        <v>21.280384999999999</v>
      </c>
      <c r="BS74" s="499">
        <f t="shared" si="124"/>
        <v>1000.722036</v>
      </c>
      <c r="BU74" s="499">
        <f t="shared" si="125"/>
        <v>15</v>
      </c>
      <c r="BV74" s="499">
        <f t="shared" si="126"/>
        <v>2.432741</v>
      </c>
      <c r="BW74" s="5">
        <f t="shared" si="115"/>
        <v>0</v>
      </c>
      <c r="BX74" s="499">
        <f t="shared" si="127"/>
        <v>21.280384999999999</v>
      </c>
      <c r="BY74" s="499">
        <f t="shared" si="128"/>
        <v>1000.722036</v>
      </c>
      <c r="CA74">
        <v>15</v>
      </c>
      <c r="CB74">
        <v>2.432741</v>
      </c>
      <c r="CC74">
        <v>0</v>
      </c>
      <c r="CD74">
        <v>21.280384999999999</v>
      </c>
      <c r="CE74">
        <v>1000.722036</v>
      </c>
      <c r="CG74" s="499">
        <f t="shared" si="129"/>
        <v>0</v>
      </c>
      <c r="CH74" s="499">
        <f t="shared" si="130"/>
        <v>0</v>
      </c>
      <c r="CI74" s="499">
        <f t="shared" si="131"/>
        <v>0</v>
      </c>
      <c r="CJ74" s="499">
        <f t="shared" si="132"/>
        <v>0</v>
      </c>
      <c r="CP74" s="499"/>
      <c r="CQ74" s="65">
        <f t="shared" si="134"/>
        <v>0.45582044615529926</v>
      </c>
      <c r="CR74" s="499">
        <f t="shared" si="135"/>
        <v>0.45582044615529926</v>
      </c>
      <c r="CS74" s="499">
        <f t="shared" si="136"/>
        <v>0.45582044615529926</v>
      </c>
      <c r="CT74" s="38">
        <f t="shared" si="137"/>
        <v>1</v>
      </c>
      <c r="CU74" s="498">
        <f t="shared" si="138"/>
        <v>1</v>
      </c>
    </row>
    <row r="75" spans="1:99">
      <c r="A75" s="499">
        <f t="shared" si="112"/>
        <v>1</v>
      </c>
      <c r="B75">
        <v>46</v>
      </c>
      <c r="C75">
        <v>45</v>
      </c>
      <c r="D75" t="s">
        <v>1043</v>
      </c>
      <c r="E75">
        <v>45</v>
      </c>
      <c r="F75">
        <v>0</v>
      </c>
      <c r="G75">
        <v>1.2</v>
      </c>
      <c r="H75">
        <v>248</v>
      </c>
      <c r="I75">
        <v>6</v>
      </c>
      <c r="J75">
        <v>366305.76863800001</v>
      </c>
      <c r="K75">
        <v>4946170.115278</v>
      </c>
      <c r="L75">
        <v>366364.50361499999</v>
      </c>
      <c r="M75">
        <v>4946605.9349450003</v>
      </c>
      <c r="N75">
        <v>2628</v>
      </c>
      <c r="O75">
        <v>12.016394</v>
      </c>
      <c r="P75">
        <v>12.016394</v>
      </c>
      <c r="Q75">
        <v>3</v>
      </c>
      <c r="R75">
        <v>17.71</v>
      </c>
      <c r="S75">
        <v>16.243333</v>
      </c>
      <c r="T75">
        <v>17.47</v>
      </c>
      <c r="U75">
        <v>19.236667000000001</v>
      </c>
      <c r="V75">
        <v>15.413333</v>
      </c>
      <c r="W75">
        <v>16.326667</v>
      </c>
      <c r="X75">
        <v>17.063333</v>
      </c>
      <c r="Y75">
        <v>15.033333000000001</v>
      </c>
      <c r="Z75">
        <v>14.536667</v>
      </c>
      <c r="AA75">
        <v>1196.666667</v>
      </c>
      <c r="AB75">
        <v>23681619</v>
      </c>
      <c r="AC75">
        <v>16.559259000000001</v>
      </c>
      <c r="AD75">
        <v>20.828133999999999</v>
      </c>
      <c r="AE75">
        <v>75</v>
      </c>
      <c r="AF75">
        <v>233.66666699999999</v>
      </c>
      <c r="AG75">
        <v>6591.1832350000004</v>
      </c>
      <c r="AH75">
        <v>477152.40045900003</v>
      </c>
      <c r="AI75">
        <v>1160.93147</v>
      </c>
      <c r="AJ75">
        <v>67</v>
      </c>
      <c r="AK75" s="499">
        <f t="shared" si="116"/>
        <v>64.711892976000001</v>
      </c>
      <c r="AL75" s="15">
        <f t="shared" si="109"/>
        <v>92.051892976000005</v>
      </c>
      <c r="AM75" s="15"/>
      <c r="AN75" s="499">
        <f t="shared" si="102"/>
        <v>19.908608064516127</v>
      </c>
      <c r="AO75" s="499">
        <f t="shared" si="103"/>
        <v>23.265303225806456</v>
      </c>
      <c r="AP75" s="499">
        <f t="shared" si="104"/>
        <v>21.146482008315019</v>
      </c>
      <c r="AQ75" s="499"/>
      <c r="AR75" s="228">
        <v>18.622183</v>
      </c>
      <c r="AS75" s="13">
        <v>114</v>
      </c>
      <c r="AT75" s="13">
        <v>2.4208690000000002</v>
      </c>
      <c r="AU75" s="13">
        <f t="shared" si="47"/>
        <v>0</v>
      </c>
      <c r="AV75" s="13">
        <f t="shared" si="140"/>
        <v>18.622183</v>
      </c>
      <c r="AW75" s="13">
        <f t="shared" si="141"/>
        <v>18.622183</v>
      </c>
      <c r="AX75" s="13">
        <f t="shared" si="142"/>
        <v>18.622183</v>
      </c>
      <c r="AY75" s="13">
        <v>1418.616021</v>
      </c>
      <c r="AZ75" s="13">
        <f t="shared" si="143"/>
        <v>0</v>
      </c>
      <c r="BA75" s="13">
        <f t="shared" si="144"/>
        <v>0</v>
      </c>
      <c r="BB75" s="97">
        <f t="shared" si="145"/>
        <v>0</v>
      </c>
      <c r="BC75" s="499"/>
      <c r="BD75" s="499">
        <v>98.95</v>
      </c>
      <c r="BE75" s="499">
        <v>21.243389112903227</v>
      </c>
      <c r="BF75" s="499">
        <v>21.296958669354833</v>
      </c>
      <c r="BG75" s="499">
        <v>20.794653492770152</v>
      </c>
      <c r="BI75" s="499">
        <f t="shared" ref="BI75:BJ75" si="148">AS78</f>
        <v>43</v>
      </c>
      <c r="BJ75" s="499">
        <f t="shared" si="148"/>
        <v>2.4383010000000001</v>
      </c>
      <c r="BK75" s="5">
        <f t="shared" si="118"/>
        <v>0</v>
      </c>
      <c r="BL75" s="499">
        <f t="shared" si="119"/>
        <v>18.370144</v>
      </c>
      <c r="BM75" s="499">
        <f t="shared" si="120"/>
        <v>1247.097867</v>
      </c>
      <c r="BO75" s="499">
        <f t="shared" si="121"/>
        <v>43</v>
      </c>
      <c r="BP75" s="499">
        <f t="shared" si="122"/>
        <v>2.4383010000000001</v>
      </c>
      <c r="BQ75" s="5">
        <f t="shared" si="114"/>
        <v>0</v>
      </c>
      <c r="BR75" s="499">
        <f t="shared" si="123"/>
        <v>18.370144</v>
      </c>
      <c r="BS75" s="499">
        <f t="shared" si="124"/>
        <v>1247.097867</v>
      </c>
      <c r="BU75" s="499">
        <f t="shared" si="125"/>
        <v>43</v>
      </c>
      <c r="BV75" s="499">
        <f t="shared" si="126"/>
        <v>2.4383010000000001</v>
      </c>
      <c r="BW75" s="5">
        <f t="shared" si="115"/>
        <v>0</v>
      </c>
      <c r="BX75" s="499">
        <f t="shared" si="127"/>
        <v>18.370144</v>
      </c>
      <c r="BY75" s="499">
        <f t="shared" si="128"/>
        <v>1247.097867</v>
      </c>
      <c r="CA75">
        <v>43</v>
      </c>
      <c r="CB75">
        <v>2.4383010000000001</v>
      </c>
      <c r="CC75">
        <v>0</v>
      </c>
      <c r="CD75">
        <v>18.370144</v>
      </c>
      <c r="CE75">
        <v>1247.097867</v>
      </c>
      <c r="CG75" s="499">
        <f t="shared" si="129"/>
        <v>0</v>
      </c>
      <c r="CH75" s="499">
        <f t="shared" si="130"/>
        <v>0</v>
      </c>
      <c r="CI75" s="499">
        <f t="shared" si="131"/>
        <v>0</v>
      </c>
      <c r="CJ75" s="499">
        <f t="shared" si="132"/>
        <v>0</v>
      </c>
      <c r="CP75" s="499"/>
      <c r="CQ75" s="65">
        <f t="shared" si="134"/>
        <v>0.97668117500130536</v>
      </c>
      <c r="CR75" s="499">
        <f t="shared" si="135"/>
        <v>0.97668117500130536</v>
      </c>
      <c r="CS75" s="499">
        <f t="shared" si="136"/>
        <v>0.97668117500130536</v>
      </c>
      <c r="CT75" s="38">
        <f t="shared" si="137"/>
        <v>1</v>
      </c>
      <c r="CU75" s="498">
        <f t="shared" si="138"/>
        <v>1</v>
      </c>
    </row>
    <row r="76" spans="1:99">
      <c r="A76" s="499">
        <f t="shared" si="112"/>
        <v>1</v>
      </c>
      <c r="B76">
        <v>226</v>
      </c>
      <c r="C76">
        <v>225</v>
      </c>
      <c r="D76" t="s">
        <v>1043</v>
      </c>
      <c r="E76">
        <v>225</v>
      </c>
      <c r="F76">
        <v>0</v>
      </c>
      <c r="G76">
        <v>0.8</v>
      </c>
      <c r="H76">
        <v>227</v>
      </c>
      <c r="I76">
        <v>3</v>
      </c>
      <c r="J76">
        <v>366592.83738300001</v>
      </c>
      <c r="K76">
        <v>4945795.3724870002</v>
      </c>
      <c r="L76">
        <v>367008.20698999998</v>
      </c>
      <c r="M76">
        <v>4945998.9363230001</v>
      </c>
      <c r="N76">
        <v>2589</v>
      </c>
      <c r="O76">
        <v>12.073568</v>
      </c>
      <c r="P76">
        <v>12.073568</v>
      </c>
      <c r="Q76">
        <v>5</v>
      </c>
      <c r="R76">
        <v>18.34</v>
      </c>
      <c r="S76">
        <v>17.111999999999998</v>
      </c>
      <c r="T76">
        <v>18.263999999999999</v>
      </c>
      <c r="U76">
        <v>20.141999999999999</v>
      </c>
      <c r="V76">
        <v>16.373999999999999</v>
      </c>
      <c r="W76">
        <v>17.114000000000001</v>
      </c>
      <c r="X76">
        <v>17.940000000000001</v>
      </c>
      <c r="Y76">
        <v>15.736000000000001</v>
      </c>
      <c r="Z76">
        <v>15.048</v>
      </c>
      <c r="AA76">
        <v>1290</v>
      </c>
      <c r="AB76">
        <v>23681662.199999999</v>
      </c>
      <c r="AC76">
        <v>17.341111000000001</v>
      </c>
      <c r="AD76">
        <v>21.926708000000001</v>
      </c>
      <c r="AE76">
        <v>75</v>
      </c>
      <c r="AF76">
        <v>233.6</v>
      </c>
      <c r="AG76">
        <v>5048.6538540000001</v>
      </c>
      <c r="AH76">
        <v>361280.76608299999</v>
      </c>
      <c r="AI76">
        <v>753.30775200000005</v>
      </c>
      <c r="AJ76">
        <v>68</v>
      </c>
      <c r="AK76" s="499">
        <f t="shared" si="116"/>
        <v>65.872824445999996</v>
      </c>
      <c r="AL76" s="15">
        <f t="shared" si="109"/>
        <v>93.212824445999999</v>
      </c>
      <c r="AM76" s="15"/>
      <c r="AN76" s="499">
        <f t="shared" si="102"/>
        <v>20.050146169354843</v>
      </c>
      <c r="AO76" s="499">
        <f t="shared" si="103"/>
        <v>23.067909274193543</v>
      </c>
      <c r="AP76" s="499">
        <f t="shared" si="104"/>
        <v>21.312332211561351</v>
      </c>
      <c r="AQ76" s="499"/>
      <c r="AR76" s="228">
        <v>24.422453000000001</v>
      </c>
      <c r="AS76" s="13">
        <v>141</v>
      </c>
      <c r="AT76" s="13">
        <v>2.4225349999999999</v>
      </c>
      <c r="AU76" s="13">
        <f t="shared" ref="AU76:AU139" si="149">IF(AW76&gt;=24.4,1,0)</f>
        <v>1</v>
      </c>
      <c r="AV76" s="13">
        <f t="shared" si="140"/>
        <v>24.422453000000001</v>
      </c>
      <c r="AW76" s="13">
        <f t="shared" si="141"/>
        <v>24.422453000000001</v>
      </c>
      <c r="AX76" s="13">
        <f t="shared" si="142"/>
        <v>24.422453000000001</v>
      </c>
      <c r="AY76" s="13">
        <v>738.84621000000004</v>
      </c>
      <c r="AZ76" s="13">
        <f t="shared" si="143"/>
        <v>0</v>
      </c>
      <c r="BA76" s="13">
        <f t="shared" si="144"/>
        <v>0</v>
      </c>
      <c r="BB76" s="97">
        <f t="shared" si="145"/>
        <v>0</v>
      </c>
      <c r="BC76" s="499"/>
      <c r="BD76" s="499">
        <v>98.75</v>
      </c>
      <c r="BE76" s="499">
        <v>21.18146673387097</v>
      </c>
      <c r="BF76" s="499">
        <v>21.26195866935484</v>
      </c>
      <c r="BG76" s="499">
        <v>20.761227863612639</v>
      </c>
      <c r="BI76" s="499">
        <f t="shared" ref="BI76:BJ76" si="150">AS79</f>
        <v>366</v>
      </c>
      <c r="BJ76" s="499">
        <f t="shared" si="150"/>
        <v>2.4519549999999999</v>
      </c>
      <c r="BK76" s="5">
        <f t="shared" si="118"/>
        <v>0</v>
      </c>
      <c r="BL76" s="499">
        <f t="shared" si="119"/>
        <v>21.416664000000001</v>
      </c>
      <c r="BM76" s="499">
        <f t="shared" si="120"/>
        <v>783.80201299999999</v>
      </c>
      <c r="BO76" s="499">
        <f t="shared" si="121"/>
        <v>366</v>
      </c>
      <c r="BP76" s="499">
        <f t="shared" si="122"/>
        <v>2.4519549999999999</v>
      </c>
      <c r="BQ76" s="5">
        <f t="shared" si="114"/>
        <v>0</v>
      </c>
      <c r="BR76" s="499">
        <f t="shared" si="123"/>
        <v>21.416664000000001</v>
      </c>
      <c r="BS76" s="499">
        <f t="shared" si="124"/>
        <v>783.80201299999999</v>
      </c>
      <c r="BU76" s="499">
        <f t="shared" si="125"/>
        <v>366</v>
      </c>
      <c r="BV76" s="499">
        <f t="shared" si="126"/>
        <v>2.4519549999999999</v>
      </c>
      <c r="BW76" s="5">
        <f t="shared" si="115"/>
        <v>0</v>
      </c>
      <c r="BX76" s="499">
        <f t="shared" si="127"/>
        <v>21.416664000000001</v>
      </c>
      <c r="BY76" s="499">
        <f t="shared" si="128"/>
        <v>783.80201299999999</v>
      </c>
      <c r="CA76">
        <v>366</v>
      </c>
      <c r="CB76">
        <v>2.4519549999999999</v>
      </c>
      <c r="CC76">
        <v>0</v>
      </c>
      <c r="CD76">
        <v>21.416664000000001</v>
      </c>
      <c r="CE76">
        <v>783.80201299999999</v>
      </c>
      <c r="CG76" s="499">
        <f t="shared" si="129"/>
        <v>0</v>
      </c>
      <c r="CH76" s="499">
        <f t="shared" si="130"/>
        <v>0</v>
      </c>
      <c r="CI76" s="499">
        <f t="shared" si="131"/>
        <v>0</v>
      </c>
      <c r="CJ76" s="499">
        <f t="shared" si="132"/>
        <v>0</v>
      </c>
      <c r="CP76" s="499"/>
      <c r="CQ76" s="65">
        <f t="shared" si="134"/>
        <v>0.97885327088382379</v>
      </c>
      <c r="CR76" s="499">
        <f t="shared" si="135"/>
        <v>0.97885327088382379</v>
      </c>
      <c r="CS76" s="499">
        <f t="shared" si="136"/>
        <v>0.97885327088382379</v>
      </c>
      <c r="CT76" s="38">
        <f t="shared" si="137"/>
        <v>1</v>
      </c>
      <c r="CU76" s="498">
        <f t="shared" si="138"/>
        <v>1</v>
      </c>
    </row>
    <row r="77" spans="1:99">
      <c r="A77" s="499">
        <f t="shared" si="112"/>
        <v>1</v>
      </c>
      <c r="B77">
        <v>413</v>
      </c>
      <c r="C77">
        <v>412</v>
      </c>
      <c r="D77" t="s">
        <v>1043</v>
      </c>
      <c r="E77">
        <v>412</v>
      </c>
      <c r="F77">
        <v>0</v>
      </c>
      <c r="G77">
        <v>0.2</v>
      </c>
      <c r="H77">
        <v>224</v>
      </c>
      <c r="I77">
        <v>0</v>
      </c>
      <c r="J77">
        <v>0</v>
      </c>
      <c r="K77">
        <v>0</v>
      </c>
      <c r="L77">
        <v>0</v>
      </c>
      <c r="M77">
        <v>0</v>
      </c>
      <c r="N77">
        <v>0</v>
      </c>
      <c r="O77">
        <v>0</v>
      </c>
      <c r="P77" s="133">
        <v>12</v>
      </c>
      <c r="Q77">
        <v>5</v>
      </c>
      <c r="R77">
        <v>18.57</v>
      </c>
      <c r="S77">
        <v>17.38</v>
      </c>
      <c r="T77">
        <v>18.498000000000001</v>
      </c>
      <c r="U77">
        <v>20.486000000000001</v>
      </c>
      <c r="V77">
        <v>16.655999999999999</v>
      </c>
      <c r="W77">
        <v>17.378</v>
      </c>
      <c r="X77">
        <v>18.265999999999998</v>
      </c>
      <c r="Y77">
        <v>16.024000000000001</v>
      </c>
      <c r="Z77">
        <v>15.238</v>
      </c>
      <c r="AA77">
        <v>1283.2</v>
      </c>
      <c r="AB77">
        <v>23681494.600000001</v>
      </c>
      <c r="AC77">
        <v>17.610666999999999</v>
      </c>
      <c r="AD77">
        <v>22.346617999999999</v>
      </c>
      <c r="AE77">
        <v>75</v>
      </c>
      <c r="AF77">
        <v>227</v>
      </c>
      <c r="AG77">
        <v>3304.5747230000002</v>
      </c>
      <c r="AH77">
        <v>230548.78353399999</v>
      </c>
      <c r="AI77">
        <v>170.67234500000001</v>
      </c>
      <c r="AJ77">
        <v>69</v>
      </c>
      <c r="AK77" s="499">
        <f t="shared" si="116"/>
        <v>66.626132197999993</v>
      </c>
      <c r="AL77" s="15">
        <f t="shared" si="109"/>
        <v>93.966132197999997</v>
      </c>
      <c r="AM77" s="15"/>
      <c r="AN77" s="499">
        <f t="shared" si="102"/>
        <v>20.471164717741932</v>
      </c>
      <c r="AO77" s="499">
        <f t="shared" si="103"/>
        <v>23.307939919354837</v>
      </c>
      <c r="AP77" s="499">
        <f t="shared" si="104"/>
        <v>21.999539473415748</v>
      </c>
      <c r="AQ77" s="499"/>
      <c r="AR77" s="228">
        <v>21.280384999999999</v>
      </c>
      <c r="AS77" s="13">
        <v>15</v>
      </c>
      <c r="AT77" s="13">
        <v>2.432741</v>
      </c>
      <c r="AU77" s="13">
        <f t="shared" si="149"/>
        <v>0</v>
      </c>
      <c r="AV77" s="13">
        <f t="shared" si="140"/>
        <v>21.280384999999999</v>
      </c>
      <c r="AW77" s="13">
        <f t="shared" si="141"/>
        <v>21.280384999999999</v>
      </c>
      <c r="AX77" s="13">
        <f t="shared" si="142"/>
        <v>21.280384999999999</v>
      </c>
      <c r="AY77" s="13">
        <v>1000.722036</v>
      </c>
      <c r="AZ77" s="13">
        <f t="shared" si="143"/>
        <v>0</v>
      </c>
      <c r="BA77" s="13">
        <f t="shared" si="144"/>
        <v>0</v>
      </c>
      <c r="BB77" s="97">
        <f t="shared" si="145"/>
        <v>0</v>
      </c>
      <c r="BC77" s="499"/>
      <c r="BD77" s="499">
        <v>98.55</v>
      </c>
      <c r="BE77" s="499">
        <v>21.19618084677419</v>
      </c>
      <c r="BF77" s="499">
        <v>21.266679032258057</v>
      </c>
      <c r="BG77" s="499">
        <v>20.780936160155676</v>
      </c>
      <c r="BI77" s="499">
        <f t="shared" ref="BI77:BJ77" si="151">AS80</f>
        <v>14</v>
      </c>
      <c r="BJ77" s="499">
        <f t="shared" si="151"/>
        <v>2.457716</v>
      </c>
      <c r="BK77" s="5">
        <f t="shared" si="118"/>
        <v>0</v>
      </c>
      <c r="BL77" s="499">
        <f t="shared" si="119"/>
        <v>16.469284999999999</v>
      </c>
      <c r="BM77" s="499">
        <f t="shared" si="120"/>
        <v>1000.738935</v>
      </c>
      <c r="BO77" s="499">
        <f t="shared" si="121"/>
        <v>14</v>
      </c>
      <c r="BP77" s="499">
        <f t="shared" si="122"/>
        <v>2.457716</v>
      </c>
      <c r="BQ77" s="5">
        <f t="shared" si="114"/>
        <v>0</v>
      </c>
      <c r="BR77" s="499">
        <f t="shared" si="123"/>
        <v>16.469284999999999</v>
      </c>
      <c r="BS77" s="499">
        <f t="shared" si="124"/>
        <v>1000.738935</v>
      </c>
      <c r="BU77" s="499">
        <f t="shared" si="125"/>
        <v>14</v>
      </c>
      <c r="BV77" s="499">
        <f t="shared" si="126"/>
        <v>2.457716</v>
      </c>
      <c r="BW77" s="5">
        <f t="shared" si="115"/>
        <v>0</v>
      </c>
      <c r="BX77" s="499">
        <f t="shared" si="127"/>
        <v>16.469284999999999</v>
      </c>
      <c r="BY77" s="499">
        <f t="shared" si="128"/>
        <v>1000.738935</v>
      </c>
      <c r="CA77">
        <v>14</v>
      </c>
      <c r="CB77">
        <v>2.457716</v>
      </c>
      <c r="CC77">
        <v>0</v>
      </c>
      <c r="CD77">
        <v>16.469284999999999</v>
      </c>
      <c r="CE77">
        <v>1000.738935</v>
      </c>
      <c r="CG77" s="499">
        <f t="shared" si="129"/>
        <v>0</v>
      </c>
      <c r="CH77" s="499">
        <f t="shared" si="130"/>
        <v>0</v>
      </c>
      <c r="CI77" s="499">
        <f t="shared" si="131"/>
        <v>0</v>
      </c>
      <c r="CJ77" s="499">
        <f t="shared" si="132"/>
        <v>0</v>
      </c>
      <c r="CP77" s="499"/>
      <c r="CQ77" s="65">
        <f t="shared" si="134"/>
        <v>0.97600559133492371</v>
      </c>
      <c r="CR77" s="499">
        <f t="shared" si="135"/>
        <v>0.97600559133492371</v>
      </c>
      <c r="CS77" s="499">
        <f t="shared" si="136"/>
        <v>0.97600559133492371</v>
      </c>
      <c r="CT77" s="38">
        <f t="shared" si="137"/>
        <v>1</v>
      </c>
      <c r="CU77" s="498">
        <f t="shared" si="138"/>
        <v>1</v>
      </c>
    </row>
    <row r="78" spans="1:99">
      <c r="A78" s="499">
        <f t="shared" si="112"/>
        <v>1</v>
      </c>
      <c r="B78">
        <v>293</v>
      </c>
      <c r="C78">
        <v>292</v>
      </c>
      <c r="D78" t="s">
        <v>1043</v>
      </c>
      <c r="E78">
        <v>292</v>
      </c>
      <c r="F78">
        <v>0</v>
      </c>
      <c r="G78">
        <v>1.3</v>
      </c>
      <c r="H78">
        <v>205</v>
      </c>
      <c r="I78">
        <v>5</v>
      </c>
      <c r="J78">
        <v>367387.92731</v>
      </c>
      <c r="K78">
        <v>4945048.5076360004</v>
      </c>
      <c r="L78">
        <v>367593.89049999998</v>
      </c>
      <c r="M78">
        <v>4945499.8748359997</v>
      </c>
      <c r="N78">
        <v>2511.1999999999998</v>
      </c>
      <c r="O78">
        <v>11.628873</v>
      </c>
      <c r="P78">
        <v>11.628873</v>
      </c>
      <c r="Q78">
        <v>5</v>
      </c>
      <c r="R78">
        <v>17.111999999999998</v>
      </c>
      <c r="S78">
        <v>15.784000000000001</v>
      </c>
      <c r="T78">
        <v>16.936</v>
      </c>
      <c r="U78">
        <v>18.686</v>
      </c>
      <c r="V78">
        <v>14.324</v>
      </c>
      <c r="W78">
        <v>15.802</v>
      </c>
      <c r="X78">
        <v>16.388000000000002</v>
      </c>
      <c r="Y78">
        <v>14.352</v>
      </c>
      <c r="Z78">
        <v>13.464</v>
      </c>
      <c r="AA78">
        <v>1593.8</v>
      </c>
      <c r="AB78">
        <v>23681547</v>
      </c>
      <c r="AC78">
        <v>15.872</v>
      </c>
      <c r="AD78">
        <v>20.164985000000001</v>
      </c>
      <c r="AE78">
        <v>75</v>
      </c>
      <c r="AF78">
        <v>217.4</v>
      </c>
      <c r="AG78">
        <v>4804.2682219999997</v>
      </c>
      <c r="AH78">
        <v>343030.16540100001</v>
      </c>
      <c r="AI78">
        <v>1272.6709840000001</v>
      </c>
      <c r="AJ78" s="133">
        <v>70</v>
      </c>
      <c r="AK78" s="133">
        <f>AK77</f>
        <v>66.626132197999993</v>
      </c>
      <c r="AL78" s="580">
        <f t="shared" si="109"/>
        <v>93.966132197999997</v>
      </c>
      <c r="AM78" s="499" t="s">
        <v>1046</v>
      </c>
      <c r="AQ78" s="499"/>
      <c r="AR78" s="228">
        <v>18.370144</v>
      </c>
      <c r="AS78" s="13">
        <v>43</v>
      </c>
      <c r="AT78" s="13">
        <v>2.4383010000000001</v>
      </c>
      <c r="AU78" s="13">
        <f t="shared" si="149"/>
        <v>0</v>
      </c>
      <c r="AV78" s="13">
        <f t="shared" si="140"/>
        <v>18.370144</v>
      </c>
      <c r="AW78" s="13">
        <f t="shared" si="141"/>
        <v>18.370144</v>
      </c>
      <c r="AX78" s="13">
        <f t="shared" si="142"/>
        <v>18.370144</v>
      </c>
      <c r="AY78" s="13">
        <v>1247.097867</v>
      </c>
      <c r="AZ78" s="13">
        <f t="shared" si="143"/>
        <v>0</v>
      </c>
      <c r="BA78" s="13">
        <f t="shared" si="144"/>
        <v>0</v>
      </c>
      <c r="BB78" s="97">
        <f t="shared" si="145"/>
        <v>0</v>
      </c>
      <c r="BC78" s="499"/>
      <c r="BD78" s="499">
        <v>98.35</v>
      </c>
      <c r="BE78" s="499">
        <v>21.16805383064516</v>
      </c>
      <c r="BF78" s="499">
        <v>21.228462701612898</v>
      </c>
      <c r="BG78" s="499">
        <v>20.828168402907508</v>
      </c>
      <c r="BI78" s="499">
        <f t="shared" ref="BI78:BJ78" si="152">AS81</f>
        <v>121</v>
      </c>
      <c r="BJ78" s="499">
        <f t="shared" si="152"/>
        <v>2.4735619999999998</v>
      </c>
      <c r="BK78" s="5">
        <f t="shared" si="118"/>
        <v>0</v>
      </c>
      <c r="BL78" s="499">
        <f t="shared" si="119"/>
        <v>19.839504999999999</v>
      </c>
      <c r="BM78" s="499">
        <f t="shared" si="120"/>
        <v>807.34409800000003</v>
      </c>
      <c r="BO78" s="499">
        <f t="shared" si="121"/>
        <v>121</v>
      </c>
      <c r="BP78" s="499">
        <f t="shared" si="122"/>
        <v>2.4735619999999998</v>
      </c>
      <c r="BQ78" s="5">
        <f t="shared" si="114"/>
        <v>0</v>
      </c>
      <c r="BR78" s="499">
        <f t="shared" si="123"/>
        <v>19.839504999999999</v>
      </c>
      <c r="BS78" s="499">
        <f t="shared" si="124"/>
        <v>807.34409800000003</v>
      </c>
      <c r="BU78" s="499">
        <f t="shared" si="125"/>
        <v>121</v>
      </c>
      <c r="BV78" s="499">
        <f t="shared" si="126"/>
        <v>2.4735619999999998</v>
      </c>
      <c r="BW78" s="5">
        <f t="shared" si="115"/>
        <v>0</v>
      </c>
      <c r="BX78" s="499">
        <f t="shared" si="127"/>
        <v>19.839504999999999</v>
      </c>
      <c r="BY78" s="499">
        <f t="shared" si="128"/>
        <v>807.34409800000003</v>
      </c>
      <c r="CA78">
        <v>121</v>
      </c>
      <c r="CB78">
        <v>2.4735619999999998</v>
      </c>
      <c r="CC78">
        <v>0</v>
      </c>
      <c r="CD78">
        <v>19.839504999999999</v>
      </c>
      <c r="CE78">
        <v>807.34409800000003</v>
      </c>
      <c r="CG78" s="499">
        <f t="shared" si="129"/>
        <v>0</v>
      </c>
      <c r="CH78" s="499">
        <f t="shared" si="130"/>
        <v>0</v>
      </c>
      <c r="CI78" s="499">
        <f t="shared" si="131"/>
        <v>0</v>
      </c>
      <c r="CJ78" s="499">
        <f t="shared" si="132"/>
        <v>0</v>
      </c>
      <c r="CP78" s="499"/>
      <c r="CQ78" s="65">
        <f t="shared" si="134"/>
        <v>0.9788598459288318</v>
      </c>
      <c r="CR78" s="499">
        <f t="shared" si="135"/>
        <v>0.9788598459288318</v>
      </c>
      <c r="CS78" s="499">
        <f t="shared" si="136"/>
        <v>0.9788598459288318</v>
      </c>
      <c r="CT78" s="38">
        <f t="shared" si="137"/>
        <v>1</v>
      </c>
      <c r="CU78" s="498">
        <f t="shared" si="138"/>
        <v>1</v>
      </c>
    </row>
    <row r="79" spans="1:99">
      <c r="A79" s="499">
        <f t="shared" si="112"/>
        <v>1</v>
      </c>
      <c r="B79">
        <v>397</v>
      </c>
      <c r="C79">
        <v>396</v>
      </c>
      <c r="D79" t="s">
        <v>1043</v>
      </c>
      <c r="E79">
        <v>396</v>
      </c>
      <c r="F79">
        <v>0</v>
      </c>
      <c r="G79">
        <v>1</v>
      </c>
      <c r="H79">
        <v>206</v>
      </c>
      <c r="I79">
        <v>4</v>
      </c>
      <c r="J79">
        <v>367293.49905300001</v>
      </c>
      <c r="K79">
        <v>4945124.9269319996</v>
      </c>
      <c r="L79">
        <v>367476.12286800001</v>
      </c>
      <c r="M79">
        <v>4945589.0377280004</v>
      </c>
      <c r="N79">
        <v>2515.75</v>
      </c>
      <c r="O79">
        <v>11.786702999999999</v>
      </c>
      <c r="P79">
        <v>11.786702999999999</v>
      </c>
      <c r="Q79">
        <v>2</v>
      </c>
      <c r="R79">
        <v>17.91</v>
      </c>
      <c r="S79">
        <v>16.445</v>
      </c>
      <c r="T79">
        <v>17.579999999999998</v>
      </c>
      <c r="U79">
        <v>19.565000000000001</v>
      </c>
      <c r="V79">
        <v>15.45</v>
      </c>
      <c r="W79">
        <v>16.53</v>
      </c>
      <c r="X79">
        <v>17.32</v>
      </c>
      <c r="Y79">
        <v>15.31</v>
      </c>
      <c r="Z79">
        <v>14.725</v>
      </c>
      <c r="AA79">
        <v>1484.5</v>
      </c>
      <c r="AB79">
        <v>23681341</v>
      </c>
      <c r="AC79">
        <v>16.759443999999998</v>
      </c>
      <c r="AD79">
        <v>21.157041</v>
      </c>
      <c r="AE79">
        <v>75</v>
      </c>
      <c r="AF79">
        <v>218.5</v>
      </c>
      <c r="AG79">
        <v>4569.8354300000001</v>
      </c>
      <c r="AH79">
        <v>325922.82364800002</v>
      </c>
      <c r="AI79">
        <v>975.91880500000002</v>
      </c>
      <c r="AJ79" s="499">
        <v>70</v>
      </c>
      <c r="AK79" s="499">
        <f t="shared" si="116"/>
        <v>67.898803181999995</v>
      </c>
      <c r="AL79" s="15">
        <f t="shared" si="109"/>
        <v>95.238803181999998</v>
      </c>
      <c r="AM79" s="15"/>
      <c r="AN79" s="499">
        <f>INDEX($BF$5:$BF$570,MATCH($AL79,$BD$5:$BD$570,-1))</f>
        <v>20.838273991935491</v>
      </c>
      <c r="AO79" s="499">
        <f>INDEX($BE$5:$BE$570,MATCH($AL79,$BD$5:$BD$570,-1))</f>
        <v>23.003913508064514</v>
      </c>
      <c r="AP79" s="499">
        <f>INDEX($BG$5:$BG$570,MATCH($AL79,$BD$5:$BD$570,-1))</f>
        <v>22.357874671630036</v>
      </c>
      <c r="AQ79" s="499"/>
      <c r="AR79" s="228">
        <v>21.416664000000001</v>
      </c>
      <c r="AS79" s="13">
        <v>366</v>
      </c>
      <c r="AT79" s="13">
        <v>2.4519549999999999</v>
      </c>
      <c r="AU79" s="13">
        <f t="shared" si="149"/>
        <v>0</v>
      </c>
      <c r="AV79" s="13">
        <f t="shared" si="140"/>
        <v>21.416664000000001</v>
      </c>
      <c r="AW79" s="13">
        <f t="shared" si="141"/>
        <v>21.416664000000001</v>
      </c>
      <c r="AX79" s="13">
        <f t="shared" si="142"/>
        <v>21.416664000000001</v>
      </c>
      <c r="AY79" s="13">
        <v>783.80201299999999</v>
      </c>
      <c r="AZ79" s="13">
        <f t="shared" si="143"/>
        <v>0</v>
      </c>
      <c r="BA79" s="13">
        <f t="shared" si="144"/>
        <v>0</v>
      </c>
      <c r="BB79" s="97">
        <f t="shared" si="145"/>
        <v>0</v>
      </c>
      <c r="BC79" s="499"/>
      <c r="BD79" s="499">
        <v>98.15</v>
      </c>
      <c r="BE79" s="499">
        <v>21.119070766129038</v>
      </c>
      <c r="BF79" s="499">
        <v>21.186787903225806</v>
      </c>
      <c r="BG79" s="499">
        <v>20.861599149500918</v>
      </c>
      <c r="BI79" s="499">
        <f t="shared" ref="BI79:BJ79" si="153">AS82</f>
        <v>55</v>
      </c>
      <c r="BJ79" s="499">
        <f t="shared" si="153"/>
        <v>2.4770210000000001</v>
      </c>
      <c r="BK79" s="5">
        <f t="shared" si="118"/>
        <v>0</v>
      </c>
      <c r="BL79" s="499">
        <f t="shared" si="119"/>
        <v>19.297452</v>
      </c>
      <c r="BM79" s="499">
        <f t="shared" si="120"/>
        <v>1000.615959</v>
      </c>
      <c r="BO79" s="499">
        <f t="shared" si="121"/>
        <v>55</v>
      </c>
      <c r="BP79" s="499">
        <f t="shared" si="122"/>
        <v>2.4770210000000001</v>
      </c>
      <c r="BQ79" s="5">
        <f t="shared" si="114"/>
        <v>0</v>
      </c>
      <c r="BR79" s="499">
        <f t="shared" si="123"/>
        <v>19.297452</v>
      </c>
      <c r="BS79" s="499">
        <f t="shared" si="124"/>
        <v>1000.615959</v>
      </c>
      <c r="BU79" s="499">
        <f t="shared" si="125"/>
        <v>55</v>
      </c>
      <c r="BV79" s="499">
        <f t="shared" si="126"/>
        <v>2.4770210000000001</v>
      </c>
      <c r="BW79" s="5">
        <f t="shared" si="115"/>
        <v>0</v>
      </c>
      <c r="BX79" s="499">
        <f t="shared" si="127"/>
        <v>19.297452</v>
      </c>
      <c r="BY79" s="499">
        <f t="shared" si="128"/>
        <v>1000.615959</v>
      </c>
      <c r="CA79">
        <v>55</v>
      </c>
      <c r="CB79">
        <v>2.4770210000000001</v>
      </c>
      <c r="CC79">
        <v>0</v>
      </c>
      <c r="CD79">
        <v>19.297452</v>
      </c>
      <c r="CE79">
        <v>1000.615959</v>
      </c>
      <c r="CG79" s="499">
        <f t="shared" si="129"/>
        <v>0</v>
      </c>
      <c r="CH79" s="499">
        <f t="shared" si="130"/>
        <v>0</v>
      </c>
      <c r="CI79" s="499">
        <f t="shared" si="131"/>
        <v>0</v>
      </c>
      <c r="CJ79" s="499">
        <f t="shared" si="132"/>
        <v>0</v>
      </c>
      <c r="CP79" s="499"/>
      <c r="CQ79" s="65">
        <f t="shared" si="134"/>
        <v>0.97873531670208735</v>
      </c>
      <c r="CR79" s="499">
        <f t="shared" si="135"/>
        <v>0.97873531670208735</v>
      </c>
      <c r="CS79" s="499">
        <f t="shared" si="136"/>
        <v>0.97873531670208735</v>
      </c>
      <c r="CT79" s="38">
        <f t="shared" si="137"/>
        <v>1</v>
      </c>
      <c r="CU79" s="498">
        <f t="shared" si="138"/>
        <v>1</v>
      </c>
    </row>
    <row r="80" spans="1:99">
      <c r="A80" s="499">
        <f t="shared" si="112"/>
        <v>1</v>
      </c>
      <c r="B80">
        <v>116</v>
      </c>
      <c r="C80">
        <v>115</v>
      </c>
      <c r="D80" t="s">
        <v>1043</v>
      </c>
      <c r="E80">
        <v>115</v>
      </c>
      <c r="F80">
        <v>0</v>
      </c>
      <c r="G80">
        <v>0.6</v>
      </c>
      <c r="H80">
        <v>192</v>
      </c>
      <c r="I80">
        <v>4</v>
      </c>
      <c r="J80">
        <v>368080.73803800001</v>
      </c>
      <c r="K80">
        <v>4944534.6224450003</v>
      </c>
      <c r="L80">
        <v>368362.41293499997</v>
      </c>
      <c r="M80">
        <v>4944938.9849100001</v>
      </c>
      <c r="N80">
        <v>2425.25</v>
      </c>
      <c r="O80">
        <v>8.8234110000000001</v>
      </c>
      <c r="P80">
        <v>8.8234110000000001</v>
      </c>
      <c r="Q80">
        <v>4</v>
      </c>
      <c r="R80">
        <v>16.734999999999999</v>
      </c>
      <c r="S80">
        <v>15.3775</v>
      </c>
      <c r="T80">
        <v>16.545000000000002</v>
      </c>
      <c r="U80">
        <v>18.215</v>
      </c>
      <c r="V80">
        <v>13.682499999999999</v>
      </c>
      <c r="W80">
        <v>15.39</v>
      </c>
      <c r="X80">
        <v>15.91</v>
      </c>
      <c r="Y80">
        <v>13.94</v>
      </c>
      <c r="Z80">
        <v>13</v>
      </c>
      <c r="AA80">
        <v>1845</v>
      </c>
      <c r="AB80">
        <v>23681598.5</v>
      </c>
      <c r="AC80">
        <v>15.421666999999999</v>
      </c>
      <c r="AD80">
        <v>19.601751</v>
      </c>
      <c r="AE80">
        <v>75</v>
      </c>
      <c r="AF80">
        <v>217</v>
      </c>
      <c r="AG80">
        <v>5324.3890760000004</v>
      </c>
      <c r="AH80">
        <v>382130.12495799997</v>
      </c>
      <c r="AI80">
        <v>553.26062200000001</v>
      </c>
      <c r="AJ80" s="133">
        <v>71</v>
      </c>
      <c r="AK80" s="133">
        <f>AK79</f>
        <v>67.898803181999995</v>
      </c>
      <c r="AL80" s="580">
        <f t="shared" si="109"/>
        <v>95.238803181999998</v>
      </c>
      <c r="AM80" s="499" t="s">
        <v>1046</v>
      </c>
      <c r="AN80" s="499"/>
      <c r="AQ80" s="499"/>
      <c r="AR80" s="228">
        <v>16.469284999999999</v>
      </c>
      <c r="AS80" s="13">
        <v>14</v>
      </c>
      <c r="AT80" s="13">
        <v>2.457716</v>
      </c>
      <c r="AU80" s="13">
        <f t="shared" si="149"/>
        <v>0</v>
      </c>
      <c r="AV80" s="13">
        <f t="shared" si="140"/>
        <v>16.469284999999999</v>
      </c>
      <c r="AW80" s="13">
        <f t="shared" si="141"/>
        <v>16.469284999999999</v>
      </c>
      <c r="AX80" s="13">
        <f t="shared" si="142"/>
        <v>16.469284999999999</v>
      </c>
      <c r="AY80" s="13">
        <v>1000.738935</v>
      </c>
      <c r="AZ80" s="13">
        <f t="shared" si="143"/>
        <v>0</v>
      </c>
      <c r="BA80" s="13">
        <f t="shared" si="144"/>
        <v>0</v>
      </c>
      <c r="BB80" s="97">
        <f t="shared" si="145"/>
        <v>0</v>
      </c>
      <c r="BC80" s="499"/>
      <c r="BD80" s="499">
        <v>97.95</v>
      </c>
      <c r="BE80" s="499">
        <v>21.145677016129039</v>
      </c>
      <c r="BF80" s="499">
        <v>21.151780241935491</v>
      </c>
      <c r="BG80" s="499">
        <v>20.989121448456959</v>
      </c>
      <c r="BI80" s="499">
        <f t="shared" ref="BI80:BJ80" si="154">AS83</f>
        <v>172</v>
      </c>
      <c r="BJ80" s="499">
        <f t="shared" si="154"/>
        <v>2.5042719999999998</v>
      </c>
      <c r="BK80" s="5">
        <f t="shared" si="118"/>
        <v>0</v>
      </c>
      <c r="BL80" s="499">
        <f t="shared" si="119"/>
        <v>16.714791000000002</v>
      </c>
      <c r="BM80" s="499">
        <f t="shared" si="120"/>
        <v>958.50946699999997</v>
      </c>
      <c r="BO80" s="499">
        <f t="shared" si="121"/>
        <v>172</v>
      </c>
      <c r="BP80" s="499">
        <f t="shared" si="122"/>
        <v>2.5042719999999998</v>
      </c>
      <c r="BQ80" s="5">
        <f t="shared" si="114"/>
        <v>0</v>
      </c>
      <c r="BR80" s="499">
        <f t="shared" si="123"/>
        <v>16.714791000000002</v>
      </c>
      <c r="BS80" s="499">
        <f t="shared" si="124"/>
        <v>958.50946699999997</v>
      </c>
      <c r="BU80" s="499">
        <f t="shared" si="125"/>
        <v>172</v>
      </c>
      <c r="BV80" s="499">
        <f t="shared" si="126"/>
        <v>2.5042719999999998</v>
      </c>
      <c r="BW80" s="5">
        <f t="shared" si="115"/>
        <v>0</v>
      </c>
      <c r="BX80" s="499">
        <f t="shared" si="127"/>
        <v>16.714791000000002</v>
      </c>
      <c r="BY80" s="499">
        <f t="shared" si="128"/>
        <v>958.50946699999997</v>
      </c>
      <c r="CA80">
        <v>172</v>
      </c>
      <c r="CB80">
        <v>2.5042719999999998</v>
      </c>
      <c r="CC80">
        <v>0</v>
      </c>
      <c r="CD80">
        <v>16.714791000000002</v>
      </c>
      <c r="CE80">
        <v>958.50946699999997</v>
      </c>
      <c r="CG80" s="499">
        <f t="shared" si="129"/>
        <v>0</v>
      </c>
      <c r="CH80" s="499">
        <f t="shared" si="130"/>
        <v>0</v>
      </c>
      <c r="CI80" s="499">
        <f t="shared" si="131"/>
        <v>0</v>
      </c>
      <c r="CJ80" s="499">
        <f t="shared" si="132"/>
        <v>0</v>
      </c>
      <c r="CP80" s="499"/>
      <c r="CQ80" s="65">
        <f t="shared" si="134"/>
        <v>0.97881752723341475</v>
      </c>
      <c r="CR80" s="499">
        <f t="shared" si="135"/>
        <v>0.97881752723341475</v>
      </c>
      <c r="CS80" s="499">
        <f t="shared" si="136"/>
        <v>0.97881752723341475</v>
      </c>
      <c r="CT80" s="38">
        <f t="shared" si="137"/>
        <v>1</v>
      </c>
      <c r="CU80" s="498">
        <f t="shared" si="138"/>
        <v>1</v>
      </c>
    </row>
    <row r="81" spans="1:99">
      <c r="A81" s="499">
        <f t="shared" si="112"/>
        <v>1</v>
      </c>
      <c r="B81">
        <v>234</v>
      </c>
      <c r="C81">
        <v>233</v>
      </c>
      <c r="D81" t="s">
        <v>1043</v>
      </c>
      <c r="E81">
        <v>233</v>
      </c>
      <c r="F81">
        <v>0</v>
      </c>
      <c r="G81">
        <v>1.5</v>
      </c>
      <c r="H81">
        <v>189</v>
      </c>
      <c r="I81">
        <v>6</v>
      </c>
      <c r="J81">
        <v>306681.43208200001</v>
      </c>
      <c r="K81">
        <v>4120480.220038</v>
      </c>
      <c r="L81">
        <v>306919.102128</v>
      </c>
      <c r="M81">
        <v>4120816.527152</v>
      </c>
      <c r="N81">
        <v>3245.333333</v>
      </c>
      <c r="O81">
        <v>11.502936</v>
      </c>
      <c r="P81">
        <v>11.502936</v>
      </c>
      <c r="Q81">
        <v>6</v>
      </c>
      <c r="R81">
        <v>17.940000000000001</v>
      </c>
      <c r="S81">
        <v>16.440000000000001</v>
      </c>
      <c r="T81">
        <v>17.698333000000002</v>
      </c>
      <c r="U81">
        <v>19.391667000000002</v>
      </c>
      <c r="V81">
        <v>14.715</v>
      </c>
      <c r="W81">
        <v>16.446667000000001</v>
      </c>
      <c r="X81">
        <v>16.938333</v>
      </c>
      <c r="Y81">
        <v>14.83</v>
      </c>
      <c r="Z81">
        <v>13.9</v>
      </c>
      <c r="AA81">
        <v>1959.833333</v>
      </c>
      <c r="AB81">
        <v>23681503</v>
      </c>
      <c r="AC81">
        <v>16.477778000000001</v>
      </c>
      <c r="AD81">
        <v>20.97822</v>
      </c>
      <c r="AE81">
        <v>75</v>
      </c>
      <c r="AF81">
        <v>206.83333300000001</v>
      </c>
      <c r="AG81">
        <v>4567.6156950000004</v>
      </c>
      <c r="AH81">
        <v>325461.94683299999</v>
      </c>
      <c r="AI81">
        <v>1962.180719</v>
      </c>
      <c r="AJ81" s="499">
        <v>71</v>
      </c>
      <c r="AK81" s="499">
        <f t="shared" si="116"/>
        <v>68.452063803999991</v>
      </c>
      <c r="AL81" s="15">
        <f t="shared" si="109"/>
        <v>95.792063803999994</v>
      </c>
      <c r="AM81" s="15"/>
      <c r="AN81" s="499">
        <f>INDEX($BF$5:$BF$570,MATCH($AL81,$BD$5:$BD$570,-1))</f>
        <v>20.916358669354839</v>
      </c>
      <c r="AO81" s="499">
        <f>INDEX($BE$5:$BE$570,MATCH($AL81,$BD$5:$BD$570,-1))</f>
        <v>22.738184879032257</v>
      </c>
      <c r="AP81" s="499">
        <f>INDEX($BG$5:$BG$570,MATCH($AL81,$BD$5:$BD$570,-1))</f>
        <v>22.33779074615385</v>
      </c>
      <c r="AQ81" s="499"/>
      <c r="AR81" s="228">
        <v>19.839504999999999</v>
      </c>
      <c r="AS81" s="13">
        <v>121</v>
      </c>
      <c r="AT81" s="13">
        <v>2.4735619999999998</v>
      </c>
      <c r="AU81" s="13">
        <f t="shared" si="149"/>
        <v>0</v>
      </c>
      <c r="AV81" s="13">
        <f t="shared" si="140"/>
        <v>19.839504999999999</v>
      </c>
      <c r="AW81" s="13">
        <f t="shared" si="141"/>
        <v>19.839504999999999</v>
      </c>
      <c r="AX81" s="13">
        <f t="shared" si="142"/>
        <v>19.839504999999999</v>
      </c>
      <c r="AY81" s="13">
        <v>807.34409800000003</v>
      </c>
      <c r="AZ81" s="13">
        <f t="shared" si="143"/>
        <v>0</v>
      </c>
      <c r="BA81" s="13">
        <f t="shared" si="144"/>
        <v>0</v>
      </c>
      <c r="BB81" s="97">
        <f t="shared" si="145"/>
        <v>0</v>
      </c>
      <c r="BC81" s="499"/>
      <c r="BD81" s="499">
        <v>97.75</v>
      </c>
      <c r="BE81" s="499">
        <v>21.280849999999997</v>
      </c>
      <c r="BF81" s="499">
        <v>21.12658447580645</v>
      </c>
      <c r="BG81" s="499">
        <v>21.154868160700548</v>
      </c>
      <c r="BI81" s="499">
        <f t="shared" ref="BI81:BJ81" si="155">AS84</f>
        <v>143</v>
      </c>
      <c r="BJ81" s="499">
        <f t="shared" si="155"/>
        <v>2.5443250000000002</v>
      </c>
      <c r="BK81" s="5">
        <f t="shared" si="118"/>
        <v>0</v>
      </c>
      <c r="BL81" s="499">
        <f t="shared" si="119"/>
        <v>18.196503</v>
      </c>
      <c r="BM81" s="499">
        <f t="shared" si="120"/>
        <v>1000.199698</v>
      </c>
      <c r="BO81" s="499">
        <f t="shared" si="121"/>
        <v>143</v>
      </c>
      <c r="BP81" s="499">
        <f t="shared" si="122"/>
        <v>2.5443250000000002</v>
      </c>
      <c r="BQ81" s="5">
        <f t="shared" si="114"/>
        <v>0</v>
      </c>
      <c r="BR81" s="499">
        <f t="shared" si="123"/>
        <v>18.196503</v>
      </c>
      <c r="BS81" s="499">
        <f t="shared" si="124"/>
        <v>1000.199698</v>
      </c>
      <c r="BU81" s="499">
        <f t="shared" si="125"/>
        <v>143</v>
      </c>
      <c r="BV81" s="499">
        <f t="shared" si="126"/>
        <v>2.5443250000000002</v>
      </c>
      <c r="BW81" s="5">
        <f t="shared" si="115"/>
        <v>0</v>
      </c>
      <c r="BX81" s="499">
        <f t="shared" si="127"/>
        <v>18.196503</v>
      </c>
      <c r="BY81" s="499">
        <f t="shared" si="128"/>
        <v>1000.199698</v>
      </c>
      <c r="CA81">
        <v>143</v>
      </c>
      <c r="CB81">
        <v>2.5443250000000002</v>
      </c>
      <c r="CC81">
        <v>0</v>
      </c>
      <c r="CD81">
        <v>18.196503</v>
      </c>
      <c r="CE81">
        <v>1000.199698</v>
      </c>
      <c r="CG81" s="499">
        <f t="shared" si="129"/>
        <v>0</v>
      </c>
      <c r="CH81" s="499">
        <f t="shared" si="130"/>
        <v>0</v>
      </c>
      <c r="CI81" s="499">
        <f t="shared" si="131"/>
        <v>0</v>
      </c>
      <c r="CJ81" s="499">
        <f t="shared" si="132"/>
        <v>0</v>
      </c>
      <c r="CP81" s="499"/>
      <c r="CQ81" s="65">
        <f t="shared" si="134"/>
        <v>0.97885974906169881</v>
      </c>
      <c r="CR81" s="499">
        <f t="shared" si="135"/>
        <v>0.97885974906169881</v>
      </c>
      <c r="CS81" s="499">
        <f t="shared" si="136"/>
        <v>0.97885974906169881</v>
      </c>
      <c r="CT81" s="38">
        <f t="shared" si="137"/>
        <v>1</v>
      </c>
      <c r="CU81" s="498">
        <f t="shared" si="138"/>
        <v>1</v>
      </c>
    </row>
    <row r="82" spans="1:99">
      <c r="A82" s="499">
        <f t="shared" si="112"/>
        <v>1</v>
      </c>
      <c r="B82">
        <v>402</v>
      </c>
      <c r="C82">
        <v>401</v>
      </c>
      <c r="D82" t="s">
        <v>1043</v>
      </c>
      <c r="E82">
        <v>401</v>
      </c>
      <c r="F82">
        <v>0</v>
      </c>
      <c r="G82">
        <v>0.5</v>
      </c>
      <c r="H82">
        <v>191</v>
      </c>
      <c r="I82">
        <v>1</v>
      </c>
      <c r="J82">
        <v>0</v>
      </c>
      <c r="K82">
        <v>0</v>
      </c>
      <c r="L82">
        <v>0</v>
      </c>
      <c r="M82">
        <v>0</v>
      </c>
      <c r="N82">
        <v>7278</v>
      </c>
      <c r="O82">
        <v>12.075298</v>
      </c>
      <c r="P82">
        <v>12.075298</v>
      </c>
      <c r="Q82">
        <v>4</v>
      </c>
      <c r="R82">
        <v>17.38</v>
      </c>
      <c r="S82">
        <v>16.274999999999999</v>
      </c>
      <c r="T82">
        <v>17.4575</v>
      </c>
      <c r="U82">
        <v>19.032499999999999</v>
      </c>
      <c r="V82">
        <v>14.62</v>
      </c>
      <c r="W82">
        <v>16.237500000000001</v>
      </c>
      <c r="X82">
        <v>16.614999999999998</v>
      </c>
      <c r="Y82">
        <v>14.2325</v>
      </c>
      <c r="Z82">
        <v>12.9575</v>
      </c>
      <c r="AA82">
        <v>2183</v>
      </c>
      <c r="AB82">
        <v>23681444.5</v>
      </c>
      <c r="AC82">
        <v>16.089721999999998</v>
      </c>
      <c r="AD82">
        <v>20.344982000000002</v>
      </c>
      <c r="AE82">
        <v>75</v>
      </c>
      <c r="AF82">
        <v>214.75</v>
      </c>
      <c r="AG82">
        <v>5948.8412259999996</v>
      </c>
      <c r="AH82">
        <v>428710.77077399998</v>
      </c>
      <c r="AI82">
        <v>523.117614</v>
      </c>
      <c r="AJ82" s="133">
        <v>71</v>
      </c>
      <c r="AK82" s="133">
        <f>AK81</f>
        <v>68.452063803999991</v>
      </c>
      <c r="AL82" s="580">
        <f t="shared" si="109"/>
        <v>95.792063803999994</v>
      </c>
      <c r="AM82" s="499" t="s">
        <v>1046</v>
      </c>
      <c r="AN82" s="499"/>
      <c r="AQ82" s="499"/>
      <c r="AR82" s="228">
        <v>19.297452</v>
      </c>
      <c r="AS82" s="13">
        <v>55</v>
      </c>
      <c r="AT82" s="13">
        <v>2.4770210000000001</v>
      </c>
      <c r="AU82" s="13">
        <f t="shared" si="149"/>
        <v>0</v>
      </c>
      <c r="AV82" s="13">
        <f t="shared" si="140"/>
        <v>19.297452</v>
      </c>
      <c r="AW82" s="13">
        <f t="shared" si="141"/>
        <v>19.297452</v>
      </c>
      <c r="AX82" s="13">
        <f t="shared" si="142"/>
        <v>19.297452</v>
      </c>
      <c r="AY82" s="13">
        <v>1000.615959</v>
      </c>
      <c r="AZ82" s="13">
        <f t="shared" si="143"/>
        <v>0</v>
      </c>
      <c r="BA82" s="13">
        <f t="shared" si="144"/>
        <v>0</v>
      </c>
      <c r="BB82" s="97">
        <f t="shared" si="145"/>
        <v>0</v>
      </c>
      <c r="BC82" s="499"/>
      <c r="BD82" s="499">
        <v>97.55</v>
      </c>
      <c r="BE82" s="499">
        <v>21.428034879032261</v>
      </c>
      <c r="BF82" s="499">
        <v>21.101080846774199</v>
      </c>
      <c r="BG82" s="499">
        <v>21.315796258750002</v>
      </c>
      <c r="BI82" s="499">
        <f t="shared" ref="BI82:BJ82" si="156">AS85</f>
        <v>260</v>
      </c>
      <c r="BJ82" s="499">
        <f t="shared" si="156"/>
        <v>2.5555810000000001</v>
      </c>
      <c r="BK82" s="5">
        <f t="shared" si="118"/>
        <v>0</v>
      </c>
      <c r="BL82" s="499">
        <f t="shared" si="119"/>
        <v>20.73527</v>
      </c>
      <c r="BM82" s="499">
        <f t="shared" si="120"/>
        <v>1001.788756</v>
      </c>
      <c r="BO82" s="499">
        <f t="shared" si="121"/>
        <v>260</v>
      </c>
      <c r="BP82" s="499">
        <f t="shared" si="122"/>
        <v>2.5555810000000001</v>
      </c>
      <c r="BQ82" s="5">
        <f t="shared" si="114"/>
        <v>0</v>
      </c>
      <c r="BR82" s="499">
        <f t="shared" si="123"/>
        <v>20.73527</v>
      </c>
      <c r="BS82" s="499">
        <f t="shared" si="124"/>
        <v>1001.788756</v>
      </c>
      <c r="BU82" s="499">
        <f t="shared" si="125"/>
        <v>260</v>
      </c>
      <c r="BV82" s="499">
        <f t="shared" si="126"/>
        <v>2.5555810000000001</v>
      </c>
      <c r="BW82" s="5">
        <f t="shared" si="115"/>
        <v>0</v>
      </c>
      <c r="BX82" s="499">
        <f t="shared" si="127"/>
        <v>20.73527</v>
      </c>
      <c r="BY82" s="499">
        <f t="shared" si="128"/>
        <v>1001.788756</v>
      </c>
      <c r="CA82">
        <v>260</v>
      </c>
      <c r="CB82">
        <v>2.5555810000000001</v>
      </c>
      <c r="CC82">
        <v>0</v>
      </c>
      <c r="CD82">
        <v>20.73527</v>
      </c>
      <c r="CE82">
        <v>1001.788756</v>
      </c>
      <c r="CG82" s="499">
        <f t="shared" si="129"/>
        <v>0</v>
      </c>
      <c r="CH82" s="499">
        <f t="shared" si="130"/>
        <v>0</v>
      </c>
      <c r="CI82" s="499">
        <f t="shared" si="131"/>
        <v>0</v>
      </c>
      <c r="CJ82" s="499">
        <f t="shared" si="132"/>
        <v>0</v>
      </c>
      <c r="CP82" s="499"/>
      <c r="CQ82" s="65">
        <f t="shared" si="134"/>
        <v>0.97885523431707611</v>
      </c>
      <c r="CR82" s="499">
        <f t="shared" si="135"/>
        <v>0.97885523431707611</v>
      </c>
      <c r="CS82" s="499">
        <f t="shared" si="136"/>
        <v>0.97885523431707611</v>
      </c>
      <c r="CT82" s="38">
        <f t="shared" si="137"/>
        <v>1</v>
      </c>
      <c r="CU82" s="498">
        <f t="shared" si="138"/>
        <v>1</v>
      </c>
    </row>
    <row r="83" spans="1:99">
      <c r="A83" s="499">
        <f t="shared" si="112"/>
        <v>1</v>
      </c>
      <c r="B83">
        <v>338</v>
      </c>
      <c r="C83">
        <v>337</v>
      </c>
      <c r="D83" t="s">
        <v>1043</v>
      </c>
      <c r="E83">
        <v>337</v>
      </c>
      <c r="F83">
        <v>0</v>
      </c>
      <c r="G83">
        <v>0.7</v>
      </c>
      <c r="H83">
        <v>188</v>
      </c>
      <c r="I83">
        <v>3</v>
      </c>
      <c r="J83">
        <v>246163.26991</v>
      </c>
      <c r="K83">
        <v>3296193.3443700001</v>
      </c>
      <c r="L83">
        <v>246274.93833</v>
      </c>
      <c r="M83">
        <v>3296500.7484030002</v>
      </c>
      <c r="N83">
        <v>4050.666667</v>
      </c>
      <c r="O83">
        <v>11.490011000000001</v>
      </c>
      <c r="P83">
        <v>11.490011000000001</v>
      </c>
      <c r="Q83">
        <v>1</v>
      </c>
      <c r="R83">
        <v>18.84</v>
      </c>
      <c r="S83">
        <v>17.760000000000002</v>
      </c>
      <c r="T83">
        <v>18.98</v>
      </c>
      <c r="U83">
        <v>20.56</v>
      </c>
      <c r="V83">
        <v>16.350000000000001</v>
      </c>
      <c r="W83">
        <v>17.73</v>
      </c>
      <c r="X83">
        <v>17.989999999999998</v>
      </c>
      <c r="Y83">
        <v>15.21</v>
      </c>
      <c r="Z83">
        <v>13.75</v>
      </c>
      <c r="AA83">
        <v>2032</v>
      </c>
      <c r="AB83">
        <v>23681349</v>
      </c>
      <c r="AC83">
        <v>17.463332999999999</v>
      </c>
      <c r="AD83">
        <v>22.231379</v>
      </c>
      <c r="AE83">
        <v>75</v>
      </c>
      <c r="AF83">
        <v>203</v>
      </c>
      <c r="AG83">
        <v>3954.9098210000002</v>
      </c>
      <c r="AH83">
        <v>279226.55978900002</v>
      </c>
      <c r="AI83">
        <v>678.37897499999997</v>
      </c>
      <c r="AJ83" s="499">
        <v>72</v>
      </c>
      <c r="AK83" s="499">
        <f t="shared" si="116"/>
        <v>68.975181417999991</v>
      </c>
      <c r="AL83" s="15">
        <f t="shared" si="109"/>
        <v>96.315181417999995</v>
      </c>
      <c r="AM83" s="15"/>
      <c r="AN83" s="499">
        <f t="shared" ref="AN83:AN102" si="157">INDEX($BF$5:$BF$570,MATCH($AL83,$BD$5:$BD$570,-1))</f>
        <v>20.969601209677418</v>
      </c>
      <c r="AO83" s="499">
        <f t="shared" ref="AO83:AO102" si="158">INDEX($BE$5:$BE$570,MATCH($AL83,$BD$5:$BD$570,-1))</f>
        <v>22.342458669354841</v>
      </c>
      <c r="AP83" s="499">
        <f t="shared" ref="AP83:AP102" si="159">INDEX($BG$5:$BG$570,MATCH($AL83,$BD$5:$BD$570,-1))</f>
        <v>22.129918489578756</v>
      </c>
      <c r="AQ83" s="499"/>
      <c r="AR83" s="228">
        <v>16.714791000000002</v>
      </c>
      <c r="AS83" s="13">
        <v>172</v>
      </c>
      <c r="AT83" s="13">
        <v>2.5042719999999998</v>
      </c>
      <c r="AU83" s="13">
        <f t="shared" si="149"/>
        <v>0</v>
      </c>
      <c r="AV83" s="13">
        <f t="shared" si="140"/>
        <v>16.714791000000002</v>
      </c>
      <c r="AW83" s="13">
        <f t="shared" si="141"/>
        <v>16.714791000000002</v>
      </c>
      <c r="AX83" s="13">
        <f t="shared" si="142"/>
        <v>16.714791000000002</v>
      </c>
      <c r="AY83" s="13">
        <v>958.50946699999997</v>
      </c>
      <c r="AZ83" s="13">
        <f t="shared" si="143"/>
        <v>0</v>
      </c>
      <c r="BA83" s="13">
        <f t="shared" si="144"/>
        <v>0</v>
      </c>
      <c r="BB83" s="97">
        <f t="shared" si="145"/>
        <v>0</v>
      </c>
      <c r="BC83" s="499"/>
      <c r="BD83" s="499">
        <v>97.35</v>
      </c>
      <c r="BE83" s="499">
        <v>21.550229637096773</v>
      </c>
      <c r="BF83" s="499">
        <v>21.077468750000001</v>
      </c>
      <c r="BG83" s="499">
        <v>21.446201547463371</v>
      </c>
      <c r="BI83" s="499">
        <f t="shared" ref="BI83:BJ83" si="160">AS86</f>
        <v>132</v>
      </c>
      <c r="BJ83" s="499">
        <f t="shared" si="160"/>
        <v>2.5575929999999998</v>
      </c>
      <c r="BK83" s="5">
        <f t="shared" si="118"/>
        <v>0</v>
      </c>
      <c r="BL83" s="499">
        <f t="shared" si="119"/>
        <v>19.679237000000001</v>
      </c>
      <c r="BM83" s="499">
        <f t="shared" si="120"/>
        <v>1805.551528</v>
      </c>
      <c r="BO83" s="499">
        <f t="shared" si="121"/>
        <v>132</v>
      </c>
      <c r="BP83" s="499">
        <f t="shared" si="122"/>
        <v>2.5575929999999998</v>
      </c>
      <c r="BQ83" s="5">
        <f t="shared" si="114"/>
        <v>0</v>
      </c>
      <c r="BR83" s="499">
        <f t="shared" si="123"/>
        <v>19.679237000000001</v>
      </c>
      <c r="BS83" s="499">
        <f t="shared" si="124"/>
        <v>1805.551528</v>
      </c>
      <c r="BU83" s="499">
        <f t="shared" si="125"/>
        <v>132</v>
      </c>
      <c r="BV83" s="499">
        <f t="shared" si="126"/>
        <v>2.5575929999999998</v>
      </c>
      <c r="BW83" s="5">
        <f t="shared" si="115"/>
        <v>0</v>
      </c>
      <c r="BX83" s="499">
        <f t="shared" si="127"/>
        <v>19.679237000000001</v>
      </c>
      <c r="BY83" s="499">
        <f t="shared" si="128"/>
        <v>1805.551528</v>
      </c>
      <c r="CA83">
        <v>132</v>
      </c>
      <c r="CB83">
        <v>2.5575929999999998</v>
      </c>
      <c r="CC83">
        <v>0</v>
      </c>
      <c r="CD83">
        <v>19.679237000000001</v>
      </c>
      <c r="CE83">
        <v>1805.551528</v>
      </c>
      <c r="CG83" s="499">
        <f t="shared" si="129"/>
        <v>0</v>
      </c>
      <c r="CH83" s="499">
        <f t="shared" si="130"/>
        <v>0</v>
      </c>
      <c r="CI83" s="499">
        <f t="shared" si="131"/>
        <v>0</v>
      </c>
      <c r="CJ83" s="499">
        <f t="shared" si="132"/>
        <v>0</v>
      </c>
      <c r="CP83" s="499"/>
      <c r="CQ83" s="65">
        <f t="shared" si="134"/>
        <v>0.97812126981210734</v>
      </c>
      <c r="CR83" s="499">
        <f t="shared" si="135"/>
        <v>0.97812126981210734</v>
      </c>
      <c r="CS83" s="499">
        <f t="shared" si="136"/>
        <v>0.97812126981210734</v>
      </c>
      <c r="CT83" s="38">
        <f t="shared" si="137"/>
        <v>1</v>
      </c>
      <c r="CU83" s="498">
        <f t="shared" si="138"/>
        <v>1</v>
      </c>
    </row>
    <row r="84" spans="1:99">
      <c r="A84" s="499">
        <f t="shared" si="112"/>
        <v>1</v>
      </c>
      <c r="B84">
        <v>3</v>
      </c>
      <c r="C84">
        <v>2</v>
      </c>
      <c r="D84" t="s">
        <v>1043</v>
      </c>
      <c r="E84">
        <v>2</v>
      </c>
      <c r="F84">
        <v>0</v>
      </c>
      <c r="G84">
        <v>1</v>
      </c>
      <c r="H84">
        <v>180</v>
      </c>
      <c r="I84">
        <v>4</v>
      </c>
      <c r="J84">
        <v>370588.32029499998</v>
      </c>
      <c r="K84">
        <v>4944351.2074920004</v>
      </c>
      <c r="L84">
        <v>370795.7524</v>
      </c>
      <c r="M84">
        <v>4944669.9649900002</v>
      </c>
      <c r="N84">
        <v>2418.25</v>
      </c>
      <c r="O84">
        <v>11.809689000000001</v>
      </c>
      <c r="P84">
        <v>11.809689000000001</v>
      </c>
      <c r="Q84">
        <v>5</v>
      </c>
      <c r="R84">
        <v>18.52</v>
      </c>
      <c r="S84">
        <v>17.434000000000001</v>
      </c>
      <c r="T84">
        <v>18.542000000000002</v>
      </c>
      <c r="U84">
        <v>19.885999999999999</v>
      </c>
      <c r="V84">
        <v>15.965999999999999</v>
      </c>
      <c r="W84">
        <v>17.388000000000002</v>
      </c>
      <c r="X84">
        <v>17.89</v>
      </c>
      <c r="Y84">
        <v>15.295999999999999</v>
      </c>
      <c r="Z84">
        <v>14.038</v>
      </c>
      <c r="AA84">
        <v>2132.4</v>
      </c>
      <c r="AB84">
        <v>23681507.399999999</v>
      </c>
      <c r="AC84">
        <v>17.217777999999999</v>
      </c>
      <c r="AD84">
        <v>21.881260000000001</v>
      </c>
      <c r="AE84">
        <v>75</v>
      </c>
      <c r="AF84">
        <v>220.4</v>
      </c>
      <c r="AG84">
        <v>5301.9070750000001</v>
      </c>
      <c r="AH84">
        <v>380244.10945699998</v>
      </c>
      <c r="AI84">
        <v>995.70369600000004</v>
      </c>
      <c r="AJ84" s="499">
        <v>73</v>
      </c>
      <c r="AK84" s="499">
        <f t="shared" si="116"/>
        <v>69.653560392999992</v>
      </c>
      <c r="AL84" s="15">
        <f t="shared" si="109"/>
        <v>96.993560392999996</v>
      </c>
      <c r="AM84" s="15"/>
      <c r="AN84" s="499">
        <f t="shared" si="157"/>
        <v>21.056722580645161</v>
      </c>
      <c r="AO84" s="499">
        <f t="shared" si="158"/>
        <v>21.675395967741927</v>
      </c>
      <c r="AP84" s="499">
        <f t="shared" si="159"/>
        <v>21.602978582554943</v>
      </c>
      <c r="AQ84" s="499"/>
      <c r="AR84" s="228">
        <v>18.196503</v>
      </c>
      <c r="AS84" s="13">
        <v>143</v>
      </c>
      <c r="AT84" s="13">
        <v>2.5443250000000002</v>
      </c>
      <c r="AU84" s="13">
        <f t="shared" si="149"/>
        <v>0</v>
      </c>
      <c r="AV84" s="13">
        <f t="shared" si="140"/>
        <v>18.196503</v>
      </c>
      <c r="AW84" s="13">
        <f t="shared" si="141"/>
        <v>18.196503</v>
      </c>
      <c r="AX84" s="13">
        <f t="shared" si="142"/>
        <v>18.196503</v>
      </c>
      <c r="AY84" s="13">
        <v>1000.199698</v>
      </c>
      <c r="AZ84" s="13">
        <f t="shared" si="143"/>
        <v>0</v>
      </c>
      <c r="BA84" s="13">
        <f t="shared" si="144"/>
        <v>0</v>
      </c>
      <c r="BB84" s="97">
        <f t="shared" si="145"/>
        <v>0</v>
      </c>
      <c r="BC84" s="499"/>
      <c r="BD84" s="499">
        <v>97.15</v>
      </c>
      <c r="BE84" s="499">
        <v>21.675395967741927</v>
      </c>
      <c r="BF84" s="499">
        <v>21.056722580645161</v>
      </c>
      <c r="BG84" s="499">
        <v>21.602978582554943</v>
      </c>
      <c r="BI84" s="499">
        <f t="shared" ref="BI84:BJ84" si="161">AS87</f>
        <v>392</v>
      </c>
      <c r="BJ84" s="499">
        <f t="shared" si="161"/>
        <v>2.5658569999999998</v>
      </c>
      <c r="BK84" s="5">
        <f t="shared" si="118"/>
        <v>0</v>
      </c>
      <c r="BL84" s="499">
        <f t="shared" si="119"/>
        <v>22.399708</v>
      </c>
      <c r="BM84" s="499">
        <f t="shared" si="120"/>
        <v>1000.478463</v>
      </c>
      <c r="BO84" s="499">
        <f t="shared" si="121"/>
        <v>392</v>
      </c>
      <c r="BP84" s="499">
        <f t="shared" si="122"/>
        <v>2.5658569999999998</v>
      </c>
      <c r="BQ84" s="5">
        <f t="shared" si="114"/>
        <v>0</v>
      </c>
      <c r="BR84" s="499">
        <f t="shared" si="123"/>
        <v>22.399708</v>
      </c>
      <c r="BS84" s="499">
        <f t="shared" si="124"/>
        <v>1000.478463</v>
      </c>
      <c r="BU84" s="499">
        <f t="shared" si="125"/>
        <v>392</v>
      </c>
      <c r="BV84" s="499">
        <f t="shared" si="126"/>
        <v>2.5658569999999998</v>
      </c>
      <c r="BW84" s="5">
        <f t="shared" si="115"/>
        <v>0</v>
      </c>
      <c r="BX84" s="499">
        <f t="shared" si="127"/>
        <v>22.399708</v>
      </c>
      <c r="BY84" s="499">
        <f t="shared" si="128"/>
        <v>1000.478463</v>
      </c>
      <c r="CA84">
        <v>392</v>
      </c>
      <c r="CB84">
        <v>2.5658569999999998</v>
      </c>
      <c r="CC84">
        <v>0</v>
      </c>
      <c r="CD84">
        <v>22.399708</v>
      </c>
      <c r="CE84">
        <v>1000.478463</v>
      </c>
      <c r="CG84" s="499">
        <f t="shared" si="129"/>
        <v>0</v>
      </c>
      <c r="CH84" s="499">
        <f t="shared" si="130"/>
        <v>0</v>
      </c>
      <c r="CI84" s="499">
        <f t="shared" si="131"/>
        <v>0</v>
      </c>
      <c r="CJ84" s="499">
        <f t="shared" si="132"/>
        <v>0</v>
      </c>
      <c r="CP84" s="499"/>
      <c r="CQ84" s="65">
        <f t="shared" si="134"/>
        <v>0.97876931632881403</v>
      </c>
      <c r="CR84" s="499">
        <f t="shared" si="135"/>
        <v>0.97876931632881403</v>
      </c>
      <c r="CS84" s="499">
        <f t="shared" si="136"/>
        <v>0.97876931632881403</v>
      </c>
      <c r="CT84" s="38">
        <f t="shared" si="137"/>
        <v>1</v>
      </c>
      <c r="CU84" s="498">
        <f t="shared" si="138"/>
        <v>1</v>
      </c>
    </row>
    <row r="85" spans="1:99">
      <c r="A85" s="499">
        <f t="shared" si="112"/>
        <v>1</v>
      </c>
      <c r="B85">
        <v>218</v>
      </c>
      <c r="C85">
        <v>217</v>
      </c>
      <c r="D85" t="s">
        <v>1043</v>
      </c>
      <c r="E85">
        <v>217</v>
      </c>
      <c r="F85">
        <v>0</v>
      </c>
      <c r="G85">
        <v>0.9</v>
      </c>
      <c r="H85">
        <v>187</v>
      </c>
      <c r="I85">
        <v>4</v>
      </c>
      <c r="J85">
        <v>369994.09276000003</v>
      </c>
      <c r="K85">
        <v>4944241.3342819996</v>
      </c>
      <c r="L85">
        <v>369907.54942300002</v>
      </c>
      <c r="M85">
        <v>4944655.4309299998</v>
      </c>
      <c r="N85">
        <v>2433.5</v>
      </c>
      <c r="O85">
        <v>11.72232</v>
      </c>
      <c r="P85">
        <v>11.72232</v>
      </c>
      <c r="Q85">
        <v>1</v>
      </c>
      <c r="R85">
        <v>18.84</v>
      </c>
      <c r="S85">
        <v>17.760000000000002</v>
      </c>
      <c r="T85">
        <v>18.98</v>
      </c>
      <c r="U85">
        <v>20.56</v>
      </c>
      <c r="V85">
        <v>16.350000000000001</v>
      </c>
      <c r="W85">
        <v>17.73</v>
      </c>
      <c r="X85">
        <v>17.989999999999998</v>
      </c>
      <c r="Y85">
        <v>15.21</v>
      </c>
      <c r="Z85">
        <v>13.75</v>
      </c>
      <c r="AA85">
        <v>2032</v>
      </c>
      <c r="AB85">
        <v>23681349</v>
      </c>
      <c r="AC85">
        <v>17.463332999999999</v>
      </c>
      <c r="AD85">
        <v>22.231379</v>
      </c>
      <c r="AE85">
        <v>75</v>
      </c>
      <c r="AF85">
        <v>203</v>
      </c>
      <c r="AG85">
        <v>3954.9098210000002</v>
      </c>
      <c r="AH85">
        <v>279226.55978900002</v>
      </c>
      <c r="AI85">
        <v>923.22034900000006</v>
      </c>
      <c r="AJ85" s="499">
        <v>73</v>
      </c>
      <c r="AK85" s="499">
        <f t="shared" si="116"/>
        <v>70.649264088999999</v>
      </c>
      <c r="AL85" s="15">
        <f t="shared" si="109"/>
        <v>97.989264089000002</v>
      </c>
      <c r="AM85" s="15"/>
      <c r="AN85" s="499">
        <f t="shared" si="157"/>
        <v>21.186787903225806</v>
      </c>
      <c r="AO85" s="499">
        <f t="shared" si="158"/>
        <v>21.119070766129038</v>
      </c>
      <c r="AP85" s="499">
        <f t="shared" si="159"/>
        <v>20.861599149500918</v>
      </c>
      <c r="AQ85" s="499"/>
      <c r="AR85" s="228">
        <v>20.73527</v>
      </c>
      <c r="AS85" s="13">
        <v>260</v>
      </c>
      <c r="AT85" s="13">
        <v>2.5555810000000001</v>
      </c>
      <c r="AU85" s="13">
        <f t="shared" si="149"/>
        <v>0</v>
      </c>
      <c r="AV85" s="13">
        <f t="shared" si="140"/>
        <v>20.73527</v>
      </c>
      <c r="AW85" s="13">
        <f t="shared" si="141"/>
        <v>20.73527</v>
      </c>
      <c r="AX85" s="13">
        <f t="shared" si="142"/>
        <v>20.73527</v>
      </c>
      <c r="AY85" s="13">
        <v>1001.788756</v>
      </c>
      <c r="AZ85" s="13">
        <f t="shared" si="143"/>
        <v>0</v>
      </c>
      <c r="BA85" s="13">
        <f t="shared" si="144"/>
        <v>0</v>
      </c>
      <c r="BB85" s="97">
        <f t="shared" si="145"/>
        <v>0</v>
      </c>
      <c r="BC85" s="499"/>
      <c r="BD85" s="499">
        <v>96.95</v>
      </c>
      <c r="BE85" s="499">
        <v>21.818858064516125</v>
      </c>
      <c r="BF85" s="499">
        <v>21.031723991935483</v>
      </c>
      <c r="BG85" s="499">
        <v>21.752295995306778</v>
      </c>
      <c r="BI85" s="499">
        <f t="shared" ref="BI85:BJ85" si="162">AS88</f>
        <v>215</v>
      </c>
      <c r="BJ85" s="499">
        <f t="shared" si="162"/>
        <v>2.5729259999999998</v>
      </c>
      <c r="BK85" s="5">
        <f t="shared" si="118"/>
        <v>0</v>
      </c>
      <c r="BL85" s="499">
        <f t="shared" si="119"/>
        <v>21.22373</v>
      </c>
      <c r="BM85" s="499">
        <f t="shared" si="120"/>
        <v>1001.53987</v>
      </c>
      <c r="BO85" s="499">
        <f t="shared" si="121"/>
        <v>215</v>
      </c>
      <c r="BP85" s="499">
        <f t="shared" si="122"/>
        <v>2.5729259999999998</v>
      </c>
      <c r="BQ85" s="5">
        <f t="shared" si="114"/>
        <v>0</v>
      </c>
      <c r="BR85" s="499">
        <f t="shared" si="123"/>
        <v>21.22373</v>
      </c>
      <c r="BS85" s="499">
        <f t="shared" si="124"/>
        <v>1001.53987</v>
      </c>
      <c r="BU85" s="499">
        <f t="shared" si="125"/>
        <v>215</v>
      </c>
      <c r="BV85" s="499">
        <f t="shared" si="126"/>
        <v>2.5729259999999998</v>
      </c>
      <c r="BW85" s="5">
        <f t="shared" si="115"/>
        <v>0</v>
      </c>
      <c r="BX85" s="499">
        <f t="shared" si="127"/>
        <v>21.22373</v>
      </c>
      <c r="BY85" s="499">
        <f t="shared" si="128"/>
        <v>1001.53987</v>
      </c>
      <c r="CA85">
        <v>215</v>
      </c>
      <c r="CB85">
        <v>2.5729259999999998</v>
      </c>
      <c r="CC85">
        <v>0</v>
      </c>
      <c r="CD85">
        <v>21.22373</v>
      </c>
      <c r="CE85">
        <v>1001.53987</v>
      </c>
      <c r="CG85" s="499">
        <f t="shared" si="129"/>
        <v>0</v>
      </c>
      <c r="CH85" s="499">
        <f t="shared" si="130"/>
        <v>0</v>
      </c>
      <c r="CI85" s="499">
        <f t="shared" si="131"/>
        <v>0</v>
      </c>
      <c r="CJ85" s="499">
        <f t="shared" si="132"/>
        <v>0</v>
      </c>
      <c r="CP85" s="499"/>
      <c r="CQ85" s="65">
        <f t="shared" si="134"/>
        <v>0.95908200673517197</v>
      </c>
      <c r="CR85" s="499">
        <f t="shared" si="135"/>
        <v>0.95908200673517197</v>
      </c>
      <c r="CS85" s="499">
        <f t="shared" si="136"/>
        <v>0.95908200673517197</v>
      </c>
      <c r="CT85" s="38">
        <f t="shared" si="137"/>
        <v>1</v>
      </c>
      <c r="CU85" s="498">
        <f t="shared" si="138"/>
        <v>1</v>
      </c>
    </row>
    <row r="86" spans="1:99">
      <c r="A86" s="499">
        <f t="shared" si="112"/>
        <v>1</v>
      </c>
      <c r="B86">
        <v>194</v>
      </c>
      <c r="C86">
        <v>193</v>
      </c>
      <c r="D86" t="s">
        <v>1043</v>
      </c>
      <c r="E86">
        <v>193</v>
      </c>
      <c r="F86">
        <v>0</v>
      </c>
      <c r="G86">
        <v>0.4</v>
      </c>
      <c r="H86">
        <v>167</v>
      </c>
      <c r="I86">
        <v>2</v>
      </c>
      <c r="J86">
        <v>370807.70325999998</v>
      </c>
      <c r="K86">
        <v>4943844.0603799997</v>
      </c>
      <c r="L86">
        <v>371268.28110000002</v>
      </c>
      <c r="M86">
        <v>4944036.332045</v>
      </c>
      <c r="N86">
        <v>2261.5</v>
      </c>
      <c r="O86">
        <v>11.560043</v>
      </c>
      <c r="P86">
        <v>11.560043</v>
      </c>
      <c r="Q86">
        <v>2</v>
      </c>
      <c r="R86">
        <v>18.04</v>
      </c>
      <c r="S86">
        <v>16.844999999999999</v>
      </c>
      <c r="T86">
        <v>17.96</v>
      </c>
      <c r="U86">
        <v>19.234999999999999</v>
      </c>
      <c r="V86">
        <v>15.25</v>
      </c>
      <c r="W86">
        <v>16.684999999999999</v>
      </c>
      <c r="X86">
        <v>17.3</v>
      </c>
      <c r="Y86">
        <v>14.73</v>
      </c>
      <c r="Z86">
        <v>13.67</v>
      </c>
      <c r="AA86">
        <v>2158.5</v>
      </c>
      <c r="AB86">
        <v>23681744</v>
      </c>
      <c r="AC86">
        <v>16.635000000000002</v>
      </c>
      <c r="AD86">
        <v>21.106905999999999</v>
      </c>
      <c r="AE86">
        <v>75</v>
      </c>
      <c r="AF86">
        <v>225.5</v>
      </c>
      <c r="AG86">
        <v>6714.3174529999997</v>
      </c>
      <c r="AH86">
        <v>486266.06333199999</v>
      </c>
      <c r="AI86">
        <v>396.69090199999999</v>
      </c>
      <c r="AJ86" s="499">
        <v>74</v>
      </c>
      <c r="AK86" s="499">
        <f t="shared" si="116"/>
        <v>71.572484438000004</v>
      </c>
      <c r="AL86" s="15">
        <f t="shared" si="109"/>
        <v>98.912484438000007</v>
      </c>
      <c r="AM86" s="15"/>
      <c r="AN86" s="499">
        <f t="shared" si="157"/>
        <v>21.296958669354833</v>
      </c>
      <c r="AO86" s="499">
        <f t="shared" si="158"/>
        <v>21.243389112903227</v>
      </c>
      <c r="AP86" s="499">
        <f t="shared" si="159"/>
        <v>20.794653492770152</v>
      </c>
      <c r="AQ86" s="499"/>
      <c r="AR86" s="228">
        <v>19.679237000000001</v>
      </c>
      <c r="AS86" s="13">
        <v>132</v>
      </c>
      <c r="AT86" s="13">
        <v>2.5575929999999998</v>
      </c>
      <c r="AU86" s="13">
        <f t="shared" si="149"/>
        <v>0</v>
      </c>
      <c r="AV86" s="13">
        <f t="shared" si="140"/>
        <v>19.679237000000001</v>
      </c>
      <c r="AW86" s="13">
        <f t="shared" si="141"/>
        <v>19.679237000000001</v>
      </c>
      <c r="AX86" s="13">
        <f t="shared" si="142"/>
        <v>19.679237000000001</v>
      </c>
      <c r="AY86" s="13">
        <v>1805.551528</v>
      </c>
      <c r="AZ86" s="13">
        <f t="shared" si="143"/>
        <v>0</v>
      </c>
      <c r="BA86" s="13">
        <f t="shared" si="144"/>
        <v>0</v>
      </c>
      <c r="BB86" s="97">
        <f t="shared" si="145"/>
        <v>0</v>
      </c>
      <c r="BC86" s="499"/>
      <c r="BD86" s="499">
        <v>96.75</v>
      </c>
      <c r="BE86" s="499">
        <v>21.967604233870961</v>
      </c>
      <c r="BF86" s="499">
        <v>21.003564516129035</v>
      </c>
      <c r="BG86" s="499">
        <v>21.891699563983522</v>
      </c>
      <c r="BI86" s="499">
        <f t="shared" ref="BI86:BJ86" si="163">AS89</f>
        <v>440</v>
      </c>
      <c r="BJ86" s="499">
        <f t="shared" si="163"/>
        <v>2.581445</v>
      </c>
      <c r="BK86" s="5">
        <f t="shared" si="118"/>
        <v>0</v>
      </c>
      <c r="BL86" s="499">
        <f t="shared" si="119"/>
        <v>17.540375000000001</v>
      </c>
      <c r="BM86" s="499">
        <f t="shared" si="120"/>
        <v>999.734059</v>
      </c>
      <c r="BO86" s="499">
        <f t="shared" si="121"/>
        <v>440</v>
      </c>
      <c r="BP86" s="499">
        <f t="shared" si="122"/>
        <v>2.581445</v>
      </c>
      <c r="BQ86" s="5">
        <f t="shared" si="114"/>
        <v>0</v>
      </c>
      <c r="BR86" s="499">
        <f t="shared" si="123"/>
        <v>17.540375000000001</v>
      </c>
      <c r="BS86" s="499">
        <f t="shared" si="124"/>
        <v>999.734059</v>
      </c>
      <c r="BU86" s="499">
        <f t="shared" si="125"/>
        <v>440</v>
      </c>
      <c r="BV86" s="499">
        <f t="shared" si="126"/>
        <v>2.581445</v>
      </c>
      <c r="BW86" s="5">
        <f t="shared" si="115"/>
        <v>0</v>
      </c>
      <c r="BX86" s="499">
        <f t="shared" si="127"/>
        <v>17.540375000000001</v>
      </c>
      <c r="BY86" s="499">
        <f t="shared" si="128"/>
        <v>999.734059</v>
      </c>
      <c r="CA86">
        <v>440</v>
      </c>
      <c r="CB86">
        <v>2.581445</v>
      </c>
      <c r="CC86">
        <v>0</v>
      </c>
      <c r="CD86">
        <v>17.540375000000001</v>
      </c>
      <c r="CE86">
        <v>999.734059</v>
      </c>
      <c r="CG86" s="499">
        <f t="shared" si="129"/>
        <v>0</v>
      </c>
      <c r="CH86" s="499">
        <f t="shared" si="130"/>
        <v>0</v>
      </c>
      <c r="CI86" s="499">
        <f t="shared" si="131"/>
        <v>0</v>
      </c>
      <c r="CJ86" s="499">
        <f t="shared" si="132"/>
        <v>0</v>
      </c>
      <c r="CP86" s="499"/>
      <c r="CQ86" s="65">
        <f t="shared" si="134"/>
        <v>0.97691267685439487</v>
      </c>
      <c r="CR86" s="499">
        <f t="shared" si="135"/>
        <v>0.97691267685439487</v>
      </c>
      <c r="CS86" s="499">
        <f t="shared" si="136"/>
        <v>0.97691267685439487</v>
      </c>
      <c r="CT86" s="38">
        <f t="shared" si="137"/>
        <v>1</v>
      </c>
      <c r="CU86" s="498">
        <f t="shared" si="138"/>
        <v>1</v>
      </c>
    </row>
    <row r="87" spans="1:99">
      <c r="A87" s="499">
        <f t="shared" si="112"/>
        <v>1</v>
      </c>
      <c r="B87">
        <v>50</v>
      </c>
      <c r="C87">
        <v>49</v>
      </c>
      <c r="D87" t="s">
        <v>1043</v>
      </c>
      <c r="E87">
        <v>49</v>
      </c>
      <c r="F87">
        <v>0</v>
      </c>
      <c r="G87">
        <v>1</v>
      </c>
      <c r="H87">
        <v>168</v>
      </c>
      <c r="I87">
        <v>4</v>
      </c>
      <c r="J87">
        <v>371429.23364300001</v>
      </c>
      <c r="K87">
        <v>4943435.7106600003</v>
      </c>
      <c r="L87">
        <v>371543.155998</v>
      </c>
      <c r="M87">
        <v>4943894.1023429995</v>
      </c>
      <c r="N87">
        <v>2161.5</v>
      </c>
      <c r="O87">
        <v>11.456374</v>
      </c>
      <c r="P87">
        <v>11.456374</v>
      </c>
      <c r="Q87">
        <v>3</v>
      </c>
      <c r="R87">
        <v>18.39</v>
      </c>
      <c r="S87">
        <v>17.103332999999999</v>
      </c>
      <c r="T87">
        <v>18.176666999999998</v>
      </c>
      <c r="U87">
        <v>19.239999999999998</v>
      </c>
      <c r="V87">
        <v>15.563333</v>
      </c>
      <c r="W87">
        <v>16.653333</v>
      </c>
      <c r="X87">
        <v>17.41</v>
      </c>
      <c r="Y87">
        <v>15.243333</v>
      </c>
      <c r="Z87">
        <v>13.943333000000001</v>
      </c>
      <c r="AA87">
        <v>2155.666667</v>
      </c>
      <c r="AB87">
        <v>23681353.666666999</v>
      </c>
      <c r="AC87">
        <v>16.858148</v>
      </c>
      <c r="AD87">
        <v>21.595592</v>
      </c>
      <c r="AE87">
        <v>75</v>
      </c>
      <c r="AF87">
        <v>197.66666699999999</v>
      </c>
      <c r="AG87">
        <v>2999.0821609999998</v>
      </c>
      <c r="AH87">
        <v>207610.51802399999</v>
      </c>
      <c r="AI87">
        <v>998.90715499999999</v>
      </c>
      <c r="AJ87">
        <v>75</v>
      </c>
      <c r="AK87" s="499">
        <f t="shared" si="116"/>
        <v>71.969175340000007</v>
      </c>
      <c r="AL87" s="15">
        <f t="shared" si="109"/>
        <v>99.30917534000001</v>
      </c>
      <c r="AM87" s="15"/>
      <c r="AN87" s="499">
        <f t="shared" si="157"/>
        <v>21.368616733870962</v>
      </c>
      <c r="AO87" s="499">
        <f t="shared" si="158"/>
        <v>21.383497580645169</v>
      </c>
      <c r="AP87" s="499">
        <f t="shared" si="159"/>
        <v>20.930624587010076</v>
      </c>
      <c r="AQ87" s="499"/>
      <c r="AR87" s="228">
        <v>22.399708</v>
      </c>
      <c r="AS87" s="13">
        <v>392</v>
      </c>
      <c r="AT87" s="13">
        <v>2.5658569999999998</v>
      </c>
      <c r="AU87" s="13">
        <f t="shared" si="149"/>
        <v>0</v>
      </c>
      <c r="AV87" s="13">
        <f t="shared" si="140"/>
        <v>22.399708</v>
      </c>
      <c r="AW87" s="13">
        <f t="shared" si="141"/>
        <v>22.399708</v>
      </c>
      <c r="AX87" s="13">
        <f t="shared" si="142"/>
        <v>22.399708</v>
      </c>
      <c r="AY87" s="13">
        <v>1000.478463</v>
      </c>
      <c r="AZ87" s="13">
        <f t="shared" si="143"/>
        <v>0</v>
      </c>
      <c r="BA87" s="13">
        <f t="shared" si="144"/>
        <v>0</v>
      </c>
      <c r="BB87" s="97">
        <f t="shared" si="145"/>
        <v>0</v>
      </c>
      <c r="BC87" s="499"/>
      <c r="BD87" s="499">
        <v>96.55</v>
      </c>
      <c r="BE87" s="499">
        <v>22.160639516129027</v>
      </c>
      <c r="BF87" s="499">
        <v>20.974863911290321</v>
      </c>
      <c r="BG87" s="499">
        <v>22.037580846987186</v>
      </c>
      <c r="BI87" s="499">
        <f t="shared" ref="BI87:BJ87" si="164">AS90</f>
        <v>312</v>
      </c>
      <c r="BJ87" s="499">
        <f t="shared" si="164"/>
        <v>2.5899079999999999</v>
      </c>
      <c r="BK87" s="5">
        <f t="shared" si="118"/>
        <v>0</v>
      </c>
      <c r="BL87" s="499">
        <f t="shared" si="119"/>
        <v>17.357393999999999</v>
      </c>
      <c r="BM87" s="499">
        <f t="shared" si="120"/>
        <v>1642.933462</v>
      </c>
      <c r="BO87" s="499">
        <f t="shared" si="121"/>
        <v>312</v>
      </c>
      <c r="BP87" s="499">
        <f t="shared" si="122"/>
        <v>2.5899079999999999</v>
      </c>
      <c r="BQ87" s="5">
        <f t="shared" si="114"/>
        <v>0</v>
      </c>
      <c r="BR87" s="499">
        <f t="shared" si="123"/>
        <v>17.357393999999999</v>
      </c>
      <c r="BS87" s="499">
        <f t="shared" si="124"/>
        <v>1642.933462</v>
      </c>
      <c r="BU87" s="499">
        <f t="shared" si="125"/>
        <v>312</v>
      </c>
      <c r="BV87" s="499">
        <f t="shared" si="126"/>
        <v>2.5899079999999999</v>
      </c>
      <c r="BW87" s="5">
        <f t="shared" si="115"/>
        <v>0</v>
      </c>
      <c r="BX87" s="499">
        <f t="shared" si="127"/>
        <v>17.357393999999999</v>
      </c>
      <c r="BY87" s="499">
        <f t="shared" si="128"/>
        <v>1642.933462</v>
      </c>
      <c r="CA87">
        <v>312</v>
      </c>
      <c r="CB87">
        <v>2.5899079999999999</v>
      </c>
      <c r="CC87">
        <v>0</v>
      </c>
      <c r="CD87">
        <v>17.357393999999999</v>
      </c>
      <c r="CE87">
        <v>1642.933462</v>
      </c>
      <c r="CG87" s="499">
        <f t="shared" si="129"/>
        <v>0</v>
      </c>
      <c r="CH87" s="499">
        <f t="shared" si="130"/>
        <v>0</v>
      </c>
      <c r="CI87" s="499">
        <f t="shared" si="131"/>
        <v>0</v>
      </c>
      <c r="CJ87" s="499">
        <f t="shared" si="132"/>
        <v>0</v>
      </c>
      <c r="CP87" s="499"/>
      <c r="CQ87" s="65">
        <f t="shared" si="134"/>
        <v>0.9788587059297329</v>
      </c>
      <c r="CR87" s="499">
        <f t="shared" si="135"/>
        <v>0.9788587059297329</v>
      </c>
      <c r="CS87" s="499">
        <f t="shared" si="136"/>
        <v>0.9788587059297329</v>
      </c>
      <c r="CT87" s="38">
        <f t="shared" si="137"/>
        <v>1</v>
      </c>
      <c r="CU87" s="498">
        <f t="shared" si="138"/>
        <v>1</v>
      </c>
    </row>
    <row r="88" spans="1:99">
      <c r="A88" s="499">
        <f t="shared" si="112"/>
        <v>1</v>
      </c>
      <c r="B88">
        <v>336</v>
      </c>
      <c r="C88">
        <v>335</v>
      </c>
      <c r="D88" t="s">
        <v>1043</v>
      </c>
      <c r="E88">
        <v>335</v>
      </c>
      <c r="F88">
        <v>0</v>
      </c>
      <c r="G88">
        <v>0.7</v>
      </c>
      <c r="H88">
        <v>166</v>
      </c>
      <c r="I88">
        <v>3</v>
      </c>
      <c r="J88">
        <v>372062.17079300003</v>
      </c>
      <c r="K88">
        <v>4943174.3194199996</v>
      </c>
      <c r="L88">
        <v>372309.46948299999</v>
      </c>
      <c r="M88">
        <v>4943579.0404099999</v>
      </c>
      <c r="N88">
        <v>2136.333333</v>
      </c>
      <c r="O88">
        <v>11.655282</v>
      </c>
      <c r="P88">
        <v>11.655282</v>
      </c>
      <c r="Q88">
        <v>5</v>
      </c>
      <c r="R88">
        <v>18.292000000000002</v>
      </c>
      <c r="S88">
        <v>16.937999999999999</v>
      </c>
      <c r="T88">
        <v>18.026</v>
      </c>
      <c r="U88">
        <v>19.082000000000001</v>
      </c>
      <c r="V88">
        <v>15.398</v>
      </c>
      <c r="W88">
        <v>16.48</v>
      </c>
      <c r="X88">
        <v>17.260000000000002</v>
      </c>
      <c r="Y88">
        <v>15.148</v>
      </c>
      <c r="Z88">
        <v>13.83</v>
      </c>
      <c r="AA88">
        <v>2181</v>
      </c>
      <c r="AB88">
        <v>23681355</v>
      </c>
      <c r="AC88">
        <v>16.717110999999999</v>
      </c>
      <c r="AD88">
        <v>21.436083</v>
      </c>
      <c r="AE88">
        <v>75</v>
      </c>
      <c r="AF88">
        <v>191.2</v>
      </c>
      <c r="AG88">
        <v>2621.4307859999999</v>
      </c>
      <c r="AH88">
        <v>179167.99496899999</v>
      </c>
      <c r="AI88">
        <v>691.19887700000004</v>
      </c>
      <c r="AJ88">
        <v>76</v>
      </c>
      <c r="AK88" s="499">
        <f t="shared" si="116"/>
        <v>72.968082495000004</v>
      </c>
      <c r="AL88" s="15">
        <f t="shared" si="109"/>
        <v>100.30808249500001</v>
      </c>
      <c r="AM88" s="15"/>
      <c r="AN88" s="499">
        <f t="shared" si="157"/>
        <v>21.494979032258062</v>
      </c>
      <c r="AO88" s="499">
        <f t="shared" si="158"/>
        <v>21.557761491935473</v>
      </c>
      <c r="AP88" s="499">
        <f t="shared" si="159"/>
        <v>20.89639766791209</v>
      </c>
      <c r="AQ88" s="499"/>
      <c r="AR88" s="228">
        <v>21.22373</v>
      </c>
      <c r="AS88" s="13">
        <v>215</v>
      </c>
      <c r="AT88" s="13">
        <v>2.5729259999999998</v>
      </c>
      <c r="AU88" s="13">
        <f t="shared" si="149"/>
        <v>0</v>
      </c>
      <c r="AV88" s="13">
        <f t="shared" si="140"/>
        <v>21.22373</v>
      </c>
      <c r="AW88" s="13">
        <f t="shared" si="141"/>
        <v>21.22373</v>
      </c>
      <c r="AX88" s="13">
        <f t="shared" si="142"/>
        <v>21.22373</v>
      </c>
      <c r="AY88" s="13">
        <v>1001.53987</v>
      </c>
      <c r="AZ88" s="13">
        <f t="shared" si="143"/>
        <v>0</v>
      </c>
      <c r="BA88" s="13">
        <f t="shared" si="144"/>
        <v>0</v>
      </c>
      <c r="BB88" s="97">
        <f t="shared" si="145"/>
        <v>0</v>
      </c>
      <c r="BC88" s="499"/>
      <c r="BD88" s="499">
        <v>96.35</v>
      </c>
      <c r="BE88" s="499">
        <v>22.342458669354841</v>
      </c>
      <c r="BF88" s="499">
        <v>20.969601209677418</v>
      </c>
      <c r="BG88" s="499">
        <v>22.129918489578756</v>
      </c>
      <c r="BI88" s="499">
        <f t="shared" ref="BI88:BJ88" si="165">AS91</f>
        <v>32</v>
      </c>
      <c r="BJ88" s="499">
        <f t="shared" si="165"/>
        <v>2.59755</v>
      </c>
      <c r="BK88" s="5">
        <f t="shared" si="118"/>
        <v>0</v>
      </c>
      <c r="BL88" s="499">
        <f t="shared" si="119"/>
        <v>16.469284999999999</v>
      </c>
      <c r="BM88" s="499">
        <f t="shared" si="120"/>
        <v>999.75583700000004</v>
      </c>
      <c r="BO88" s="499">
        <f t="shared" si="121"/>
        <v>32</v>
      </c>
      <c r="BP88" s="499">
        <f t="shared" si="122"/>
        <v>2.59755</v>
      </c>
      <c r="BQ88" s="5">
        <f t="shared" si="114"/>
        <v>0</v>
      </c>
      <c r="BR88" s="499">
        <f t="shared" si="123"/>
        <v>16.469284999999999</v>
      </c>
      <c r="BS88" s="499">
        <f t="shared" si="124"/>
        <v>999.75583700000004</v>
      </c>
      <c r="BU88" s="499">
        <f t="shared" si="125"/>
        <v>32</v>
      </c>
      <c r="BV88" s="499">
        <f t="shared" si="126"/>
        <v>2.59755</v>
      </c>
      <c r="BW88" s="5">
        <f t="shared" si="115"/>
        <v>0</v>
      </c>
      <c r="BX88" s="499">
        <f t="shared" si="127"/>
        <v>16.469284999999999</v>
      </c>
      <c r="BY88" s="499">
        <f t="shared" si="128"/>
        <v>999.75583700000004</v>
      </c>
      <c r="CA88">
        <v>32</v>
      </c>
      <c r="CB88">
        <v>2.59755</v>
      </c>
      <c r="CC88">
        <v>0</v>
      </c>
      <c r="CD88">
        <v>16.469284999999999</v>
      </c>
      <c r="CE88">
        <v>999.75583700000004</v>
      </c>
      <c r="CG88" s="499">
        <f t="shared" si="129"/>
        <v>0</v>
      </c>
      <c r="CH88" s="499">
        <f t="shared" si="130"/>
        <v>0</v>
      </c>
      <c r="CI88" s="499">
        <f t="shared" si="131"/>
        <v>0</v>
      </c>
      <c r="CJ88" s="499">
        <f t="shared" si="132"/>
        <v>0</v>
      </c>
      <c r="CP88" s="499"/>
      <c r="CQ88" s="65">
        <f t="shared" si="134"/>
        <v>0.97885910036808954</v>
      </c>
      <c r="CR88" s="499">
        <f t="shared" si="135"/>
        <v>0.97885910036808954</v>
      </c>
      <c r="CS88" s="499">
        <f t="shared" si="136"/>
        <v>0.97885910036808954</v>
      </c>
      <c r="CT88" s="38">
        <f t="shared" si="137"/>
        <v>1</v>
      </c>
      <c r="CU88" s="498">
        <f t="shared" si="138"/>
        <v>1</v>
      </c>
    </row>
    <row r="89" spans="1:99">
      <c r="A89" s="499">
        <f t="shared" si="112"/>
        <v>1</v>
      </c>
      <c r="B89">
        <v>249</v>
      </c>
      <c r="C89">
        <v>248</v>
      </c>
      <c r="D89" t="s">
        <v>1043</v>
      </c>
      <c r="E89">
        <v>248</v>
      </c>
      <c r="F89">
        <v>0</v>
      </c>
      <c r="G89">
        <v>1.3</v>
      </c>
      <c r="H89">
        <v>163</v>
      </c>
      <c r="I89">
        <v>7</v>
      </c>
      <c r="J89">
        <v>372941.87257100001</v>
      </c>
      <c r="K89">
        <v>4942847.5296759997</v>
      </c>
      <c r="L89">
        <v>372948.954486</v>
      </c>
      <c r="M89">
        <v>4943313.6531109996</v>
      </c>
      <c r="N89">
        <v>2144.8571430000002</v>
      </c>
      <c r="O89">
        <v>11.555538</v>
      </c>
      <c r="P89">
        <v>11.555538</v>
      </c>
      <c r="Q89">
        <v>5</v>
      </c>
      <c r="R89">
        <v>17.558</v>
      </c>
      <c r="S89">
        <v>15.916</v>
      </c>
      <c r="T89">
        <v>16.963999999999999</v>
      </c>
      <c r="U89">
        <v>18.242000000000001</v>
      </c>
      <c r="V89">
        <v>14.346</v>
      </c>
      <c r="W89">
        <v>15.474</v>
      </c>
      <c r="X89">
        <v>16.385999999999999</v>
      </c>
      <c r="Y89">
        <v>14.694000000000001</v>
      </c>
      <c r="Z89">
        <v>13.52</v>
      </c>
      <c r="AA89">
        <v>2187.1999999999998</v>
      </c>
      <c r="AB89">
        <v>23681517.399999999</v>
      </c>
      <c r="AC89">
        <v>15.9</v>
      </c>
      <c r="AD89">
        <v>20.435846000000002</v>
      </c>
      <c r="AE89">
        <v>75</v>
      </c>
      <c r="AF89">
        <v>188.4</v>
      </c>
      <c r="AG89">
        <v>3428.9329080000002</v>
      </c>
      <c r="AH89">
        <v>239671.16107999999</v>
      </c>
      <c r="AI89">
        <v>1343.2320500000001</v>
      </c>
      <c r="AJ89">
        <v>77</v>
      </c>
      <c r="AK89" s="499">
        <f t="shared" si="116"/>
        <v>73.659281372000009</v>
      </c>
      <c r="AL89" s="15">
        <f t="shared" si="109"/>
        <v>100.99928137200001</v>
      </c>
      <c r="AM89" s="15"/>
      <c r="AN89" s="499">
        <f t="shared" si="157"/>
        <v>21.625073588709679</v>
      </c>
      <c r="AO89" s="499">
        <f t="shared" si="158"/>
        <v>21.751736693548395</v>
      </c>
      <c r="AP89" s="499">
        <f t="shared" si="159"/>
        <v>20.751812375549445</v>
      </c>
      <c r="AQ89" s="499"/>
      <c r="AR89" s="228">
        <v>17.540375000000001</v>
      </c>
      <c r="AS89" s="13">
        <v>440</v>
      </c>
      <c r="AT89" s="13">
        <v>2.581445</v>
      </c>
      <c r="AU89" s="13">
        <f t="shared" si="149"/>
        <v>0</v>
      </c>
      <c r="AV89" s="13">
        <f t="shared" si="140"/>
        <v>17.540375000000001</v>
      </c>
      <c r="AW89" s="13">
        <f t="shared" si="141"/>
        <v>17.540375000000001</v>
      </c>
      <c r="AX89" s="13">
        <f t="shared" si="142"/>
        <v>17.540375000000001</v>
      </c>
      <c r="AY89" s="13">
        <v>999.734059</v>
      </c>
      <c r="AZ89" s="13">
        <f t="shared" si="143"/>
        <v>0</v>
      </c>
      <c r="BA89" s="13">
        <f t="shared" si="144"/>
        <v>0</v>
      </c>
      <c r="BB89" s="97">
        <f t="shared" si="145"/>
        <v>0</v>
      </c>
      <c r="BC89" s="499"/>
      <c r="BD89" s="499">
        <v>96.15</v>
      </c>
      <c r="BE89" s="499">
        <v>22.576370967741934</v>
      </c>
      <c r="BF89" s="499">
        <v>20.953807258064511</v>
      </c>
      <c r="BG89" s="499">
        <v>22.253929496446894</v>
      </c>
      <c r="BI89" s="499">
        <f t="shared" ref="BI89:BJ89" si="166">AS92</f>
        <v>153</v>
      </c>
      <c r="BJ89" s="499">
        <f t="shared" si="166"/>
        <v>2.6030950000000002</v>
      </c>
      <c r="BK89" s="5">
        <f t="shared" si="118"/>
        <v>0</v>
      </c>
      <c r="BL89" s="499">
        <f t="shared" si="119"/>
        <v>23.139669999999999</v>
      </c>
      <c r="BM89" s="499">
        <f t="shared" si="120"/>
        <v>1485.4842839999999</v>
      </c>
      <c r="BO89" s="499">
        <f t="shared" si="121"/>
        <v>153</v>
      </c>
      <c r="BP89" s="499">
        <f t="shared" si="122"/>
        <v>2.6030950000000002</v>
      </c>
      <c r="BQ89" s="5">
        <f t="shared" si="114"/>
        <v>0</v>
      </c>
      <c r="BR89" s="499">
        <f t="shared" si="123"/>
        <v>23.139669999999999</v>
      </c>
      <c r="BS89" s="499">
        <f t="shared" si="124"/>
        <v>1485.4842839999999</v>
      </c>
      <c r="BU89" s="499">
        <f t="shared" si="125"/>
        <v>153</v>
      </c>
      <c r="BV89" s="499">
        <f t="shared" si="126"/>
        <v>2.6030950000000002</v>
      </c>
      <c r="BW89" s="5">
        <f t="shared" si="115"/>
        <v>0</v>
      </c>
      <c r="BX89" s="499">
        <f t="shared" si="127"/>
        <v>23.139669999999999</v>
      </c>
      <c r="BY89" s="499">
        <f t="shared" si="128"/>
        <v>1485.4842839999999</v>
      </c>
      <c r="CA89">
        <v>153</v>
      </c>
      <c r="CB89">
        <v>2.6030950000000002</v>
      </c>
      <c r="CC89">
        <v>0</v>
      </c>
      <c r="CD89">
        <v>23.139669999999999</v>
      </c>
      <c r="CE89">
        <v>1485.4842839999999</v>
      </c>
      <c r="CG89" s="499">
        <f t="shared" si="129"/>
        <v>0</v>
      </c>
      <c r="CH89" s="499">
        <f t="shared" si="130"/>
        <v>0</v>
      </c>
      <c r="CI89" s="499">
        <f t="shared" si="131"/>
        <v>0</v>
      </c>
      <c r="CJ89" s="499">
        <f t="shared" si="132"/>
        <v>0</v>
      </c>
      <c r="CP89" s="499"/>
      <c r="CQ89" s="65">
        <f t="shared" si="134"/>
        <v>0.9788598459288318</v>
      </c>
      <c r="CR89" s="499">
        <f t="shared" si="135"/>
        <v>0.9788598459288318</v>
      </c>
      <c r="CS89" s="499">
        <f t="shared" si="136"/>
        <v>0.9788598459288318</v>
      </c>
      <c r="CT89" s="38">
        <f t="shared" si="137"/>
        <v>1</v>
      </c>
      <c r="CU89" s="498">
        <f t="shared" si="138"/>
        <v>1</v>
      </c>
    </row>
    <row r="90" spans="1:99">
      <c r="A90" s="499">
        <f t="shared" si="112"/>
        <v>1</v>
      </c>
      <c r="B90">
        <v>451</v>
      </c>
      <c r="C90">
        <v>450</v>
      </c>
      <c r="D90" t="s">
        <v>1043</v>
      </c>
      <c r="E90">
        <v>450</v>
      </c>
      <c r="F90">
        <v>0</v>
      </c>
      <c r="G90">
        <v>0.4</v>
      </c>
      <c r="H90">
        <v>162</v>
      </c>
      <c r="I90">
        <v>2</v>
      </c>
      <c r="J90">
        <v>373458.66457999998</v>
      </c>
      <c r="K90">
        <v>4942853.6334600002</v>
      </c>
      <c r="L90">
        <v>373891.00434500002</v>
      </c>
      <c r="M90">
        <v>4943102.1541299997</v>
      </c>
      <c r="N90">
        <v>2099.5</v>
      </c>
      <c r="O90">
        <v>11.611447</v>
      </c>
      <c r="P90">
        <v>11.611447</v>
      </c>
      <c r="Q90">
        <v>4</v>
      </c>
      <c r="R90">
        <v>17.3475</v>
      </c>
      <c r="S90">
        <v>15.76</v>
      </c>
      <c r="T90">
        <v>16.824999999999999</v>
      </c>
      <c r="U90">
        <v>18.254999999999999</v>
      </c>
      <c r="V90">
        <v>14.164999999999999</v>
      </c>
      <c r="W90">
        <v>15.61</v>
      </c>
      <c r="X90">
        <v>16.282499999999999</v>
      </c>
      <c r="Y90">
        <v>14.505000000000001</v>
      </c>
      <c r="Z90">
        <v>13.574999999999999</v>
      </c>
      <c r="AA90">
        <v>2211.5</v>
      </c>
      <c r="AB90">
        <v>23681559.5</v>
      </c>
      <c r="AC90">
        <v>15.813889</v>
      </c>
      <c r="AD90">
        <v>20.335743999999998</v>
      </c>
      <c r="AE90">
        <v>75</v>
      </c>
      <c r="AF90">
        <v>211.25</v>
      </c>
      <c r="AG90">
        <v>6295.9185170000001</v>
      </c>
      <c r="AH90">
        <v>454821.57892499998</v>
      </c>
      <c r="AI90">
        <v>437.63851499999998</v>
      </c>
      <c r="AJ90">
        <v>78</v>
      </c>
      <c r="AK90" s="499">
        <f t="shared" si="116"/>
        <v>75.002513422000007</v>
      </c>
      <c r="AL90" s="15">
        <f t="shared" si="109"/>
        <v>102.34251342200001</v>
      </c>
      <c r="AM90" s="15"/>
      <c r="AN90" s="499">
        <f t="shared" si="157"/>
        <v>21.595096169354843</v>
      </c>
      <c r="AO90" s="499">
        <f t="shared" si="158"/>
        <v>22.306470161290324</v>
      </c>
      <c r="AP90" s="499">
        <f t="shared" si="159"/>
        <v>20.756403903525641</v>
      </c>
      <c r="AQ90" s="499"/>
      <c r="AR90" s="228">
        <v>17.357393999999999</v>
      </c>
      <c r="AS90" s="13">
        <v>312</v>
      </c>
      <c r="AT90" s="13">
        <v>2.5899079999999999</v>
      </c>
      <c r="AU90" s="13">
        <f t="shared" si="149"/>
        <v>0</v>
      </c>
      <c r="AV90" s="13">
        <f t="shared" si="140"/>
        <v>17.357393999999999</v>
      </c>
      <c r="AW90" s="13">
        <f t="shared" si="141"/>
        <v>17.357393999999999</v>
      </c>
      <c r="AX90" s="13">
        <f t="shared" si="142"/>
        <v>17.357393999999999</v>
      </c>
      <c r="AY90" s="13">
        <v>1642.933462</v>
      </c>
      <c r="AZ90" s="13">
        <f t="shared" si="143"/>
        <v>0</v>
      </c>
      <c r="BA90" s="13">
        <f t="shared" si="144"/>
        <v>0</v>
      </c>
      <c r="BB90" s="97">
        <f t="shared" si="145"/>
        <v>0</v>
      </c>
      <c r="BC90" s="499"/>
      <c r="BD90" s="499">
        <v>95.95</v>
      </c>
      <c r="BE90" s="499">
        <v>22.738184879032257</v>
      </c>
      <c r="BF90" s="499">
        <v>20.916358669354839</v>
      </c>
      <c r="BG90" s="499">
        <v>22.33779074615385</v>
      </c>
      <c r="BI90" s="499">
        <f t="shared" ref="BI90:BJ90" si="167">AS93</f>
        <v>133</v>
      </c>
      <c r="BJ90" s="499">
        <f t="shared" si="167"/>
        <v>2.6350959999999999</v>
      </c>
      <c r="BK90" s="5">
        <f t="shared" si="118"/>
        <v>0</v>
      </c>
      <c r="BL90" s="499">
        <f t="shared" si="119"/>
        <v>19.155049000000002</v>
      </c>
      <c r="BM90" s="499">
        <f t="shared" si="120"/>
        <v>1001.879114</v>
      </c>
      <c r="BO90" s="499">
        <f t="shared" si="121"/>
        <v>133</v>
      </c>
      <c r="BP90" s="499">
        <f t="shared" si="122"/>
        <v>2.6350959999999999</v>
      </c>
      <c r="BQ90" s="5">
        <f t="shared" si="114"/>
        <v>0</v>
      </c>
      <c r="BR90" s="499">
        <f t="shared" si="123"/>
        <v>19.155049000000002</v>
      </c>
      <c r="BS90" s="499">
        <f t="shared" si="124"/>
        <v>1001.879114</v>
      </c>
      <c r="BU90" s="499">
        <f t="shared" si="125"/>
        <v>133</v>
      </c>
      <c r="BV90" s="499">
        <f t="shared" si="126"/>
        <v>2.6350959999999999</v>
      </c>
      <c r="BW90" s="5">
        <f t="shared" si="115"/>
        <v>0</v>
      </c>
      <c r="BX90" s="499">
        <f t="shared" si="127"/>
        <v>19.155049000000002</v>
      </c>
      <c r="BY90" s="499">
        <f t="shared" si="128"/>
        <v>1001.879114</v>
      </c>
      <c r="CA90">
        <v>133</v>
      </c>
      <c r="CB90">
        <v>2.6350959999999999</v>
      </c>
      <c r="CC90">
        <v>0</v>
      </c>
      <c r="CD90">
        <v>19.155049000000002</v>
      </c>
      <c r="CE90">
        <v>1001.879114</v>
      </c>
      <c r="CG90" s="499">
        <f t="shared" si="129"/>
        <v>0</v>
      </c>
      <c r="CH90" s="499">
        <f t="shared" si="130"/>
        <v>0</v>
      </c>
      <c r="CI90" s="499">
        <f t="shared" si="131"/>
        <v>0</v>
      </c>
      <c r="CJ90" s="499">
        <f t="shared" si="132"/>
        <v>0</v>
      </c>
      <c r="CP90" s="499"/>
      <c r="CQ90" s="65">
        <f t="shared" si="134"/>
        <v>0.89827665956951197</v>
      </c>
      <c r="CR90" s="499">
        <f t="shared" si="135"/>
        <v>0.89827665956951197</v>
      </c>
      <c r="CS90" s="499">
        <f t="shared" si="136"/>
        <v>0.89827665956951197</v>
      </c>
      <c r="CT90" s="38">
        <f t="shared" si="137"/>
        <v>1</v>
      </c>
      <c r="CU90" s="498">
        <f t="shared" si="138"/>
        <v>1</v>
      </c>
    </row>
    <row r="91" spans="1:99">
      <c r="A91" s="499">
        <f t="shared" si="112"/>
        <v>1</v>
      </c>
      <c r="B91">
        <v>96</v>
      </c>
      <c r="C91">
        <v>95</v>
      </c>
      <c r="D91" t="s">
        <v>1043</v>
      </c>
      <c r="E91">
        <v>95</v>
      </c>
      <c r="F91">
        <v>0</v>
      </c>
      <c r="G91">
        <v>0.9</v>
      </c>
      <c r="H91">
        <v>153</v>
      </c>
      <c r="I91">
        <v>5</v>
      </c>
      <c r="J91">
        <v>374073.15252399998</v>
      </c>
      <c r="K91">
        <v>4942385.4122519996</v>
      </c>
      <c r="L91">
        <v>374363.59053400002</v>
      </c>
      <c r="M91">
        <v>4942749.5415099999</v>
      </c>
      <c r="N91">
        <v>1975.8</v>
      </c>
      <c r="O91">
        <v>11.333439</v>
      </c>
      <c r="P91">
        <v>11.333439</v>
      </c>
      <c r="Q91">
        <v>7</v>
      </c>
      <c r="R91">
        <v>17.301428999999999</v>
      </c>
      <c r="S91">
        <v>15.674286</v>
      </c>
      <c r="T91">
        <v>16.702857000000002</v>
      </c>
      <c r="U91">
        <v>18.164286000000001</v>
      </c>
      <c r="V91">
        <v>14.15</v>
      </c>
      <c r="W91">
        <v>15.477143</v>
      </c>
      <c r="X91">
        <v>16.067143000000002</v>
      </c>
      <c r="Y91">
        <v>14.35</v>
      </c>
      <c r="Z91">
        <v>13.444286</v>
      </c>
      <c r="AA91">
        <v>2181.1428569999998</v>
      </c>
      <c r="AB91">
        <v>23681389.857143</v>
      </c>
      <c r="AC91">
        <v>15.703492000000001</v>
      </c>
      <c r="AD91">
        <v>20.186008999999999</v>
      </c>
      <c r="AE91">
        <v>75</v>
      </c>
      <c r="AF91">
        <v>189.28571400000001</v>
      </c>
      <c r="AG91">
        <v>5898.550827</v>
      </c>
      <c r="AH91">
        <v>425086.28854199999</v>
      </c>
      <c r="AI91">
        <v>924.541787</v>
      </c>
      <c r="AJ91">
        <v>79</v>
      </c>
      <c r="AK91" s="499">
        <f t="shared" si="116"/>
        <v>75.44015193700001</v>
      </c>
      <c r="AL91" s="15">
        <f t="shared" si="109"/>
        <v>102.78015193700001</v>
      </c>
      <c r="AM91" s="15"/>
      <c r="AN91" s="499">
        <f t="shared" si="157"/>
        <v>21.129905645161287</v>
      </c>
      <c r="AO91" s="499">
        <f t="shared" si="158"/>
        <v>22.185512096774204</v>
      </c>
      <c r="AP91" s="499">
        <f t="shared" si="159"/>
        <v>20.314849236895604</v>
      </c>
      <c r="AQ91" s="499"/>
      <c r="AR91" s="228">
        <v>16.469284999999999</v>
      </c>
      <c r="AS91" s="13">
        <v>32</v>
      </c>
      <c r="AT91" s="13">
        <v>2.59755</v>
      </c>
      <c r="AU91" s="13">
        <f t="shared" si="149"/>
        <v>0</v>
      </c>
      <c r="AV91" s="13">
        <f t="shared" si="140"/>
        <v>16.469284999999999</v>
      </c>
      <c r="AW91" s="13">
        <f t="shared" si="141"/>
        <v>16.469284999999999</v>
      </c>
      <c r="AX91" s="13">
        <f t="shared" si="142"/>
        <v>16.469284999999999</v>
      </c>
      <c r="AY91" s="13">
        <v>999.75583700000004</v>
      </c>
      <c r="AZ91" s="13">
        <f t="shared" si="143"/>
        <v>0</v>
      </c>
      <c r="BA91" s="13">
        <f t="shared" si="144"/>
        <v>0</v>
      </c>
      <c r="BB91" s="97">
        <f t="shared" si="145"/>
        <v>0</v>
      </c>
      <c r="BC91" s="499"/>
      <c r="BD91" s="499">
        <v>95.75</v>
      </c>
      <c r="BE91" s="499">
        <v>22.886161088709663</v>
      </c>
      <c r="BF91" s="499">
        <v>20.896617943548385</v>
      </c>
      <c r="BG91" s="499">
        <v>22.389418866341575</v>
      </c>
      <c r="BI91" s="499">
        <f t="shared" ref="BI91:BJ91" si="168">AS94</f>
        <v>298</v>
      </c>
      <c r="BJ91" s="499">
        <f t="shared" si="168"/>
        <v>2.6409570000000002</v>
      </c>
      <c r="BK91" s="5">
        <f t="shared" si="118"/>
        <v>0</v>
      </c>
      <c r="BL91" s="499">
        <f t="shared" si="119"/>
        <v>16.87659</v>
      </c>
      <c r="BM91" s="499">
        <f t="shared" si="120"/>
        <v>1000.904847</v>
      </c>
      <c r="BO91" s="499">
        <f t="shared" si="121"/>
        <v>298</v>
      </c>
      <c r="BP91" s="499">
        <f t="shared" si="122"/>
        <v>2.6409570000000002</v>
      </c>
      <c r="BQ91" s="5">
        <f t="shared" si="114"/>
        <v>0</v>
      </c>
      <c r="BR91" s="499">
        <f t="shared" si="123"/>
        <v>16.87659</v>
      </c>
      <c r="BS91" s="499">
        <f t="shared" si="124"/>
        <v>1000.904847</v>
      </c>
      <c r="BU91" s="499">
        <f t="shared" si="125"/>
        <v>298</v>
      </c>
      <c r="BV91" s="499">
        <f t="shared" si="126"/>
        <v>2.6409570000000002</v>
      </c>
      <c r="BW91" s="5">
        <f t="shared" si="115"/>
        <v>0</v>
      </c>
      <c r="BX91" s="499">
        <f t="shared" si="127"/>
        <v>16.87659</v>
      </c>
      <c r="BY91" s="499">
        <f t="shared" si="128"/>
        <v>1000.904847</v>
      </c>
      <c r="CA91">
        <v>298</v>
      </c>
      <c r="CB91">
        <v>2.6409570000000002</v>
      </c>
      <c r="CC91">
        <v>0</v>
      </c>
      <c r="CD91">
        <v>16.87659</v>
      </c>
      <c r="CE91">
        <v>1000.904847</v>
      </c>
      <c r="CG91" s="499">
        <f t="shared" si="129"/>
        <v>0</v>
      </c>
      <c r="CH91" s="499">
        <f t="shared" si="130"/>
        <v>0</v>
      </c>
      <c r="CI91" s="499">
        <f t="shared" si="131"/>
        <v>0</v>
      </c>
      <c r="CJ91" s="499">
        <f t="shared" si="132"/>
        <v>0</v>
      </c>
      <c r="CP91" s="499"/>
      <c r="CQ91" s="65">
        <f t="shared" si="134"/>
        <v>0.97882799362275219</v>
      </c>
      <c r="CR91" s="499">
        <f t="shared" si="135"/>
        <v>0.97882799362275219</v>
      </c>
      <c r="CS91" s="499">
        <f t="shared" si="136"/>
        <v>0.97882799362275219</v>
      </c>
      <c r="CT91" s="38">
        <f t="shared" si="137"/>
        <v>1</v>
      </c>
      <c r="CU91" s="498">
        <f t="shared" si="138"/>
        <v>1</v>
      </c>
    </row>
    <row r="92" spans="1:99">
      <c r="A92" s="499">
        <f t="shared" si="112"/>
        <v>1</v>
      </c>
      <c r="B92">
        <v>120</v>
      </c>
      <c r="C92">
        <v>119</v>
      </c>
      <c r="D92" t="s">
        <v>1043</v>
      </c>
      <c r="E92">
        <v>119</v>
      </c>
      <c r="F92">
        <v>0</v>
      </c>
      <c r="G92">
        <v>0.8</v>
      </c>
      <c r="H92">
        <v>147</v>
      </c>
      <c r="I92">
        <v>3</v>
      </c>
      <c r="J92">
        <v>374586.76160000003</v>
      </c>
      <c r="K92">
        <v>4942057.6593669998</v>
      </c>
      <c r="L92">
        <v>374648.58691999997</v>
      </c>
      <c r="M92">
        <v>4942352.6206729999</v>
      </c>
      <c r="N92">
        <v>1992</v>
      </c>
      <c r="O92">
        <v>11.603184000000001</v>
      </c>
      <c r="P92">
        <v>11.603184000000001</v>
      </c>
      <c r="Q92">
        <v>3</v>
      </c>
      <c r="R92">
        <v>17.05</v>
      </c>
      <c r="S92">
        <v>15.276667</v>
      </c>
      <c r="T92">
        <v>16.333333</v>
      </c>
      <c r="U92">
        <v>17.760000000000002</v>
      </c>
      <c r="V92">
        <v>13.94</v>
      </c>
      <c r="W92">
        <v>15.056666999999999</v>
      </c>
      <c r="X92">
        <v>15.616667</v>
      </c>
      <c r="Y92">
        <v>14.003333</v>
      </c>
      <c r="Z92">
        <v>13.276667</v>
      </c>
      <c r="AA92">
        <v>2139.666667</v>
      </c>
      <c r="AB92">
        <v>23681427</v>
      </c>
      <c r="AC92">
        <v>15.368148</v>
      </c>
      <c r="AD92">
        <v>19.727077000000001</v>
      </c>
      <c r="AE92">
        <v>75</v>
      </c>
      <c r="AF92">
        <v>164.33333300000001</v>
      </c>
      <c r="AG92">
        <v>5175.5735009999999</v>
      </c>
      <c r="AH92">
        <v>370803.95179000002</v>
      </c>
      <c r="AI92">
        <v>787.30150300000003</v>
      </c>
      <c r="AJ92">
        <v>80</v>
      </c>
      <c r="AK92" s="499">
        <f t="shared" si="116"/>
        <v>76.364693724000006</v>
      </c>
      <c r="AL92" s="15">
        <f t="shared" si="109"/>
        <v>103.70469372400001</v>
      </c>
      <c r="AM92" s="15"/>
      <c r="AN92" s="499">
        <f t="shared" si="157"/>
        <v>20.726208870967742</v>
      </c>
      <c r="AO92" s="499">
        <f t="shared" si="158"/>
        <v>22.284402419354844</v>
      </c>
      <c r="AP92" s="499">
        <f t="shared" si="159"/>
        <v>19.550973053031139</v>
      </c>
      <c r="AQ92" s="499"/>
      <c r="AR92" s="228">
        <v>23.139669999999999</v>
      </c>
      <c r="AS92" s="13">
        <v>153</v>
      </c>
      <c r="AT92" s="13">
        <v>2.6030950000000002</v>
      </c>
      <c r="AU92" s="13">
        <f t="shared" si="149"/>
        <v>0</v>
      </c>
      <c r="AV92" s="13">
        <f t="shared" si="140"/>
        <v>23.139669999999999</v>
      </c>
      <c r="AW92" s="13">
        <f t="shared" si="141"/>
        <v>23.139669999999999</v>
      </c>
      <c r="AX92" s="13">
        <f t="shared" si="142"/>
        <v>23.139669999999999</v>
      </c>
      <c r="AY92" s="13">
        <v>1485.4842839999999</v>
      </c>
      <c r="AZ92" s="13">
        <f t="shared" si="143"/>
        <v>0</v>
      </c>
      <c r="BA92" s="13">
        <f t="shared" si="144"/>
        <v>0</v>
      </c>
      <c r="BB92" s="97">
        <f t="shared" si="145"/>
        <v>0</v>
      </c>
      <c r="BC92" s="499"/>
      <c r="BD92" s="499">
        <v>95.55</v>
      </c>
      <c r="BE92" s="499">
        <v>22.888359274193558</v>
      </c>
      <c r="BF92" s="499">
        <v>20.863568548387097</v>
      </c>
      <c r="BG92" s="499">
        <v>22.322465030851653</v>
      </c>
      <c r="BI92" s="499">
        <f t="shared" ref="BI92:BJ92" si="169">AS95</f>
        <v>433</v>
      </c>
      <c r="BJ92" s="499">
        <f t="shared" si="169"/>
        <v>2.6432869999999999</v>
      </c>
      <c r="BK92" s="5">
        <f t="shared" si="118"/>
        <v>0</v>
      </c>
      <c r="BL92" s="499">
        <f t="shared" si="119"/>
        <v>18.462935999999999</v>
      </c>
      <c r="BM92" s="499">
        <f t="shared" si="120"/>
        <v>1584.2477220000001</v>
      </c>
      <c r="BO92" s="499">
        <f t="shared" si="121"/>
        <v>433</v>
      </c>
      <c r="BP92" s="499">
        <f t="shared" si="122"/>
        <v>2.6432869999999999</v>
      </c>
      <c r="BQ92" s="5">
        <f t="shared" si="114"/>
        <v>0</v>
      </c>
      <c r="BR92" s="499">
        <f t="shared" si="123"/>
        <v>18.462935999999999</v>
      </c>
      <c r="BS92" s="499">
        <f t="shared" si="124"/>
        <v>1584.2477220000001</v>
      </c>
      <c r="BU92" s="499">
        <f t="shared" si="125"/>
        <v>433</v>
      </c>
      <c r="BV92" s="499">
        <f t="shared" si="126"/>
        <v>2.6432869999999999</v>
      </c>
      <c r="BW92" s="5">
        <f t="shared" si="115"/>
        <v>0</v>
      </c>
      <c r="BX92" s="499">
        <f t="shared" si="127"/>
        <v>18.462935999999999</v>
      </c>
      <c r="BY92" s="499">
        <f t="shared" si="128"/>
        <v>1584.2477220000001</v>
      </c>
      <c r="CA92">
        <v>433</v>
      </c>
      <c r="CB92">
        <v>2.6432869999999999</v>
      </c>
      <c r="CC92">
        <v>0</v>
      </c>
      <c r="CD92">
        <v>18.462935999999999</v>
      </c>
      <c r="CE92">
        <v>1584.2477220000001</v>
      </c>
      <c r="CG92" s="499">
        <f t="shared" si="129"/>
        <v>0</v>
      </c>
      <c r="CH92" s="499">
        <f t="shared" si="130"/>
        <v>0</v>
      </c>
      <c r="CI92" s="499">
        <f t="shared" si="131"/>
        <v>0</v>
      </c>
      <c r="CJ92" s="499">
        <f t="shared" si="132"/>
        <v>0</v>
      </c>
      <c r="CP92" s="499"/>
      <c r="CQ92" s="65">
        <f t="shared" si="134"/>
        <v>0.97885965391539909</v>
      </c>
      <c r="CR92" s="499">
        <f t="shared" si="135"/>
        <v>0.97885965391539909</v>
      </c>
      <c r="CS92" s="499">
        <f t="shared" si="136"/>
        <v>0.97885965391539909</v>
      </c>
      <c r="CT92" s="38">
        <f t="shared" si="137"/>
        <v>1</v>
      </c>
      <c r="CU92" s="498">
        <f t="shared" si="138"/>
        <v>1</v>
      </c>
    </row>
    <row r="93" spans="1:99">
      <c r="A93" s="499">
        <f t="shared" si="112"/>
        <v>1</v>
      </c>
      <c r="B93">
        <v>222</v>
      </c>
      <c r="C93">
        <v>221</v>
      </c>
      <c r="D93" t="s">
        <v>1043</v>
      </c>
      <c r="E93">
        <v>221</v>
      </c>
      <c r="F93">
        <v>0</v>
      </c>
      <c r="G93">
        <v>0.5</v>
      </c>
      <c r="H93">
        <v>146</v>
      </c>
      <c r="I93">
        <v>2</v>
      </c>
      <c r="J93">
        <v>374953.81325000001</v>
      </c>
      <c r="K93">
        <v>4942132.4450399997</v>
      </c>
      <c r="L93">
        <v>375140.18903000001</v>
      </c>
      <c r="M93">
        <v>4942518.2866150001</v>
      </c>
      <c r="N93">
        <v>1989.5</v>
      </c>
      <c r="O93">
        <v>11.443966</v>
      </c>
      <c r="P93">
        <v>11.443966</v>
      </c>
      <c r="Q93">
        <v>1</v>
      </c>
      <c r="R93">
        <v>18.079999999999998</v>
      </c>
      <c r="S93">
        <v>16.61</v>
      </c>
      <c r="T93">
        <v>17.61</v>
      </c>
      <c r="U93">
        <v>19.14</v>
      </c>
      <c r="V93">
        <v>15.57</v>
      </c>
      <c r="W93">
        <v>16.84</v>
      </c>
      <c r="X93">
        <v>16.78</v>
      </c>
      <c r="Y93">
        <v>15.04</v>
      </c>
      <c r="Z93">
        <v>14.13</v>
      </c>
      <c r="AA93">
        <v>2041</v>
      </c>
      <c r="AB93">
        <v>23681367</v>
      </c>
      <c r="AC93">
        <v>16.644444</v>
      </c>
      <c r="AD93">
        <v>21.503959999999999</v>
      </c>
      <c r="AE93">
        <v>75</v>
      </c>
      <c r="AF93">
        <v>164</v>
      </c>
      <c r="AG93">
        <v>3222.5424269999999</v>
      </c>
      <c r="AH93">
        <v>224357.49355099999</v>
      </c>
      <c r="AI93">
        <v>497.17684800000001</v>
      </c>
      <c r="AJ93">
        <v>81</v>
      </c>
      <c r="AK93" s="499">
        <f t="shared" si="116"/>
        <v>77.151995227</v>
      </c>
      <c r="AL93" s="15">
        <f t="shared" si="109"/>
        <v>104.491995227</v>
      </c>
      <c r="AM93" s="15"/>
      <c r="AN93" s="499">
        <f t="shared" si="157"/>
        <v>20.850560887096769</v>
      </c>
      <c r="AO93" s="499">
        <f t="shared" si="158"/>
        <v>22.954017137096773</v>
      </c>
      <c r="AP93" s="499">
        <f t="shared" si="159"/>
        <v>19.613428114070516</v>
      </c>
      <c r="AQ93" s="499"/>
      <c r="AR93" s="228">
        <v>19.155049000000002</v>
      </c>
      <c r="AS93" s="13">
        <v>133</v>
      </c>
      <c r="AT93" s="13">
        <v>2.6350959999999999</v>
      </c>
      <c r="AU93" s="13">
        <f t="shared" si="149"/>
        <v>0</v>
      </c>
      <c r="AV93" s="13">
        <f t="shared" si="140"/>
        <v>19.155049000000002</v>
      </c>
      <c r="AW93" s="13">
        <f t="shared" si="141"/>
        <v>19.155049000000002</v>
      </c>
      <c r="AX93" s="13">
        <f t="shared" si="142"/>
        <v>19.155049000000002</v>
      </c>
      <c r="AY93" s="13">
        <v>1001.879114</v>
      </c>
      <c r="AZ93" s="13">
        <f t="shared" si="143"/>
        <v>0</v>
      </c>
      <c r="BA93" s="13">
        <f t="shared" si="144"/>
        <v>0</v>
      </c>
      <c r="BB93" s="97">
        <f t="shared" si="145"/>
        <v>0</v>
      </c>
      <c r="BC93" s="499"/>
      <c r="BD93" s="499">
        <v>95.35</v>
      </c>
      <c r="BE93" s="499">
        <v>23.003913508064514</v>
      </c>
      <c r="BF93" s="499">
        <v>20.838273991935491</v>
      </c>
      <c r="BG93" s="499">
        <v>22.357874671630036</v>
      </c>
      <c r="BI93" s="499">
        <f t="shared" ref="BI93:BJ93" si="170">AS96</f>
        <v>371</v>
      </c>
      <c r="BJ93" s="499">
        <f t="shared" si="170"/>
        <v>2.6449410000000002</v>
      </c>
      <c r="BK93" s="5">
        <f t="shared" si="118"/>
        <v>0</v>
      </c>
      <c r="BL93" s="499">
        <f t="shared" si="119"/>
        <v>21.416664000000001</v>
      </c>
      <c r="BM93" s="499">
        <f t="shared" si="120"/>
        <v>998.78193899999997</v>
      </c>
      <c r="BO93" s="499">
        <f t="shared" si="121"/>
        <v>371</v>
      </c>
      <c r="BP93" s="499">
        <f t="shared" si="122"/>
        <v>2.6449410000000002</v>
      </c>
      <c r="BQ93" s="5">
        <f t="shared" si="114"/>
        <v>0</v>
      </c>
      <c r="BR93" s="499">
        <f t="shared" si="123"/>
        <v>21.416664000000001</v>
      </c>
      <c r="BS93" s="499">
        <f t="shared" si="124"/>
        <v>998.78193899999997</v>
      </c>
      <c r="BU93" s="499">
        <f t="shared" si="125"/>
        <v>371</v>
      </c>
      <c r="BV93" s="499">
        <f t="shared" si="126"/>
        <v>2.6449410000000002</v>
      </c>
      <c r="BW93" s="5">
        <f t="shared" si="115"/>
        <v>0</v>
      </c>
      <c r="BX93" s="499">
        <f t="shared" si="127"/>
        <v>21.416664000000001</v>
      </c>
      <c r="BY93" s="499">
        <f t="shared" si="128"/>
        <v>998.78193899999997</v>
      </c>
      <c r="CA93">
        <v>371</v>
      </c>
      <c r="CB93">
        <v>2.6449410000000002</v>
      </c>
      <c r="CC93">
        <v>0</v>
      </c>
      <c r="CD93">
        <v>21.416664000000001</v>
      </c>
      <c r="CE93">
        <v>998.78193899999997</v>
      </c>
      <c r="CG93" s="499">
        <f t="shared" si="129"/>
        <v>0</v>
      </c>
      <c r="CH93" s="499">
        <f t="shared" si="130"/>
        <v>0</v>
      </c>
      <c r="CI93" s="499">
        <f t="shared" si="131"/>
        <v>0</v>
      </c>
      <c r="CJ93" s="499">
        <f t="shared" si="132"/>
        <v>0</v>
      </c>
      <c r="CP93" s="499"/>
      <c r="CQ93" s="65">
        <f t="shared" si="134"/>
        <v>0.97885190853668747</v>
      </c>
      <c r="CR93" s="499">
        <f t="shared" si="135"/>
        <v>0.97885190853668747</v>
      </c>
      <c r="CS93" s="499">
        <f t="shared" si="136"/>
        <v>0.97885190853668747</v>
      </c>
      <c r="CT93" s="38">
        <f t="shared" si="137"/>
        <v>1</v>
      </c>
      <c r="CU93" s="498">
        <f t="shared" si="138"/>
        <v>1</v>
      </c>
    </row>
    <row r="94" spans="1:99">
      <c r="A94" s="499">
        <f t="shared" si="112"/>
        <v>1</v>
      </c>
      <c r="B94">
        <v>206</v>
      </c>
      <c r="C94">
        <v>205</v>
      </c>
      <c r="D94" t="s">
        <v>1043</v>
      </c>
      <c r="E94">
        <v>205</v>
      </c>
      <c r="F94">
        <v>0</v>
      </c>
      <c r="G94">
        <v>1.1000000000000001</v>
      </c>
      <c r="H94">
        <v>106</v>
      </c>
      <c r="I94">
        <v>4</v>
      </c>
      <c r="J94">
        <v>375308.37774199998</v>
      </c>
      <c r="K94">
        <v>4941731.1874850001</v>
      </c>
      <c r="L94">
        <v>375617.19197699998</v>
      </c>
      <c r="M94">
        <v>4942084.0847899998</v>
      </c>
      <c r="N94">
        <v>1639.5</v>
      </c>
      <c r="O94">
        <v>11.366379999999999</v>
      </c>
      <c r="P94">
        <v>9.0618350000000003</v>
      </c>
      <c r="Q94">
        <v>3</v>
      </c>
      <c r="R94">
        <v>18.216667000000001</v>
      </c>
      <c r="S94">
        <v>17.026667</v>
      </c>
      <c r="T94">
        <v>17.843333000000001</v>
      </c>
      <c r="U94">
        <v>19.376667000000001</v>
      </c>
      <c r="V94">
        <v>15.446667</v>
      </c>
      <c r="W94">
        <v>17.059999999999999</v>
      </c>
      <c r="X94">
        <v>17.093333000000001</v>
      </c>
      <c r="Y94">
        <v>15.013332999999999</v>
      </c>
      <c r="Z94">
        <v>14.176667</v>
      </c>
      <c r="AA94">
        <v>2135</v>
      </c>
      <c r="AB94">
        <v>23681368.333333001</v>
      </c>
      <c r="AC94">
        <v>16.805925999999999</v>
      </c>
      <c r="AD94">
        <v>21.496413</v>
      </c>
      <c r="AE94">
        <v>75</v>
      </c>
      <c r="AF94">
        <v>186.33333300000001</v>
      </c>
      <c r="AG94">
        <v>6340.8823030000003</v>
      </c>
      <c r="AH94">
        <v>459961.48857799999</v>
      </c>
      <c r="AI94">
        <v>1093.8564980000001</v>
      </c>
      <c r="AJ94">
        <v>82</v>
      </c>
      <c r="AK94" s="499">
        <f t="shared" si="116"/>
        <v>77.649172074999996</v>
      </c>
      <c r="AL94" s="15">
        <f t="shared" si="109"/>
        <v>104.989172075</v>
      </c>
      <c r="AM94" s="15"/>
      <c r="AN94" s="499">
        <f t="shared" si="157"/>
        <v>20.80044516129032</v>
      </c>
      <c r="AO94" s="499">
        <f t="shared" si="158"/>
        <v>23.092290927419352</v>
      </c>
      <c r="AP94" s="499">
        <f t="shared" si="159"/>
        <v>19.29115873071429</v>
      </c>
      <c r="AQ94" s="499"/>
      <c r="AR94" s="228">
        <v>16.87659</v>
      </c>
      <c r="AS94" s="13">
        <v>298</v>
      </c>
      <c r="AT94" s="13">
        <v>2.6409570000000002</v>
      </c>
      <c r="AU94" s="13">
        <f t="shared" si="149"/>
        <v>0</v>
      </c>
      <c r="AV94" s="13">
        <f t="shared" si="140"/>
        <v>16.87659</v>
      </c>
      <c r="AW94" s="13">
        <f t="shared" si="141"/>
        <v>16.87659</v>
      </c>
      <c r="AX94" s="13">
        <f t="shared" si="142"/>
        <v>16.87659</v>
      </c>
      <c r="AY94" s="13">
        <v>1000.904847</v>
      </c>
      <c r="AZ94" s="13">
        <f t="shared" si="143"/>
        <v>0</v>
      </c>
      <c r="BA94" s="13">
        <f t="shared" si="144"/>
        <v>0</v>
      </c>
      <c r="BB94" s="97">
        <f t="shared" si="145"/>
        <v>0</v>
      </c>
      <c r="BC94" s="499"/>
      <c r="BD94" s="499">
        <v>95.15</v>
      </c>
      <c r="BE94" s="499">
        <v>22.893124798387095</v>
      </c>
      <c r="BF94" s="499">
        <v>20.572001008064518</v>
      </c>
      <c r="BG94" s="499">
        <v>22.139226054574177</v>
      </c>
      <c r="BI94" s="499">
        <f t="shared" ref="BI94:BJ94" si="171">AS97</f>
        <v>311</v>
      </c>
      <c r="BJ94" s="499">
        <f t="shared" si="171"/>
        <v>2.6466769999999999</v>
      </c>
      <c r="BK94" s="5">
        <f t="shared" si="118"/>
        <v>0</v>
      </c>
      <c r="BL94" s="499">
        <f t="shared" si="119"/>
        <v>19.297452</v>
      </c>
      <c r="BM94" s="499">
        <f t="shared" si="120"/>
        <v>999.63654499999996</v>
      </c>
      <c r="BO94" s="499">
        <f t="shared" si="121"/>
        <v>311</v>
      </c>
      <c r="BP94" s="499">
        <f t="shared" si="122"/>
        <v>2.6466769999999999</v>
      </c>
      <c r="BQ94" s="5">
        <f t="shared" si="114"/>
        <v>0</v>
      </c>
      <c r="BR94" s="499">
        <f t="shared" si="123"/>
        <v>19.297452</v>
      </c>
      <c r="BS94" s="499">
        <f t="shared" si="124"/>
        <v>999.63654499999996</v>
      </c>
      <c r="BU94" s="499">
        <f t="shared" si="125"/>
        <v>311</v>
      </c>
      <c r="BV94" s="499">
        <f t="shared" si="126"/>
        <v>2.6466769999999999</v>
      </c>
      <c r="BW94" s="5">
        <f t="shared" si="115"/>
        <v>0</v>
      </c>
      <c r="BX94" s="499">
        <f t="shared" si="127"/>
        <v>19.297452</v>
      </c>
      <c r="BY94" s="499">
        <f t="shared" si="128"/>
        <v>999.63654499999996</v>
      </c>
      <c r="CA94">
        <v>311</v>
      </c>
      <c r="CB94">
        <v>2.6466769999999999</v>
      </c>
      <c r="CC94">
        <v>0</v>
      </c>
      <c r="CD94">
        <v>19.297452</v>
      </c>
      <c r="CE94">
        <v>999.63654499999996</v>
      </c>
      <c r="CG94" s="499">
        <f t="shared" si="129"/>
        <v>0</v>
      </c>
      <c r="CH94" s="499">
        <f t="shared" si="130"/>
        <v>0</v>
      </c>
      <c r="CI94" s="499">
        <f t="shared" si="131"/>
        <v>0</v>
      </c>
      <c r="CJ94" s="499">
        <f t="shared" si="132"/>
        <v>0</v>
      </c>
      <c r="CP94" s="499"/>
      <c r="CQ94" s="65">
        <f t="shared" si="134"/>
        <v>0.97600559133492371</v>
      </c>
      <c r="CR94" s="499">
        <f t="shared" si="135"/>
        <v>0.97600559133492371</v>
      </c>
      <c r="CS94" s="499">
        <f t="shared" si="136"/>
        <v>0.97600559133492371</v>
      </c>
      <c r="CT94" s="38">
        <f t="shared" si="137"/>
        <v>1</v>
      </c>
      <c r="CU94" s="498">
        <f t="shared" si="138"/>
        <v>1</v>
      </c>
    </row>
    <row r="95" spans="1:99">
      <c r="A95" s="499">
        <f t="shared" si="112"/>
        <v>1</v>
      </c>
      <c r="B95">
        <v>400</v>
      </c>
      <c r="C95">
        <v>399</v>
      </c>
      <c r="D95" t="s">
        <v>1043</v>
      </c>
      <c r="E95">
        <v>399</v>
      </c>
      <c r="F95">
        <v>0</v>
      </c>
      <c r="G95">
        <v>1</v>
      </c>
      <c r="H95">
        <v>107</v>
      </c>
      <c r="I95">
        <v>3</v>
      </c>
      <c r="J95">
        <v>376068.68607699999</v>
      </c>
      <c r="K95">
        <v>4941277.5009399997</v>
      </c>
      <c r="L95">
        <v>376481.60981699999</v>
      </c>
      <c r="M95">
        <v>4941551.2113199998</v>
      </c>
      <c r="N95">
        <v>1636</v>
      </c>
      <c r="O95">
        <v>10.834405</v>
      </c>
      <c r="P95">
        <v>10.834405</v>
      </c>
      <c r="Q95">
        <v>3</v>
      </c>
      <c r="R95">
        <v>17.506667</v>
      </c>
      <c r="S95">
        <v>15.96</v>
      </c>
      <c r="T95">
        <v>16.806667000000001</v>
      </c>
      <c r="U95">
        <v>18.496666999999999</v>
      </c>
      <c r="V95">
        <v>14.003333</v>
      </c>
      <c r="W95">
        <v>16.346667</v>
      </c>
      <c r="X95">
        <v>16.113333000000001</v>
      </c>
      <c r="Y95">
        <v>14.133333</v>
      </c>
      <c r="Z95">
        <v>13.723333</v>
      </c>
      <c r="AA95">
        <v>2175</v>
      </c>
      <c r="AB95">
        <v>23681369</v>
      </c>
      <c r="AC95">
        <v>15.898889</v>
      </c>
      <c r="AD95">
        <v>20.335678000000001</v>
      </c>
      <c r="AE95">
        <v>75</v>
      </c>
      <c r="AF95">
        <v>144.66666699999999</v>
      </c>
      <c r="AG95">
        <v>3914.2204900000002</v>
      </c>
      <c r="AH95">
        <v>277919.19372899999</v>
      </c>
      <c r="AI95">
        <v>1000.22528</v>
      </c>
      <c r="AJ95">
        <v>83</v>
      </c>
      <c r="AK95" s="499">
        <f t="shared" si="116"/>
        <v>78.743028572999989</v>
      </c>
      <c r="AL95" s="15">
        <f t="shared" si="109"/>
        <v>106.08302857299999</v>
      </c>
      <c r="AM95" s="15"/>
      <c r="AN95" s="499">
        <f t="shared" si="157"/>
        <v>20.822620362903223</v>
      </c>
      <c r="AO95" s="499">
        <f t="shared" si="158"/>
        <v>23.460622580645161</v>
      </c>
      <c r="AP95" s="499">
        <f t="shared" si="159"/>
        <v>18.926776916456042</v>
      </c>
      <c r="AQ95" s="499"/>
      <c r="AR95" s="228">
        <v>18.462935999999999</v>
      </c>
      <c r="AS95" s="13">
        <v>433</v>
      </c>
      <c r="AT95" s="13">
        <v>2.6432869999999999</v>
      </c>
      <c r="AU95" s="13">
        <f t="shared" si="149"/>
        <v>0</v>
      </c>
      <c r="AV95" s="13">
        <f t="shared" si="140"/>
        <v>18.462935999999999</v>
      </c>
      <c r="AW95" s="13">
        <f t="shared" si="141"/>
        <v>18.462935999999999</v>
      </c>
      <c r="AX95" s="13">
        <f t="shared" si="142"/>
        <v>18.462935999999999</v>
      </c>
      <c r="AY95" s="13">
        <v>1584.2477220000001</v>
      </c>
      <c r="AZ95" s="13">
        <f t="shared" si="143"/>
        <v>0</v>
      </c>
      <c r="BA95" s="13">
        <f t="shared" si="144"/>
        <v>0</v>
      </c>
      <c r="BB95" s="97">
        <f t="shared" si="145"/>
        <v>0</v>
      </c>
      <c r="BC95" s="499"/>
      <c r="BD95" s="499">
        <v>94.95</v>
      </c>
      <c r="BE95" s="499">
        <v>22.99568205645161</v>
      </c>
      <c r="BF95" s="499">
        <v>20.555959475806453</v>
      </c>
      <c r="BG95" s="499">
        <v>22.201708758905678</v>
      </c>
      <c r="BI95" s="499">
        <f t="shared" ref="BI95:BJ95" si="172">AS98</f>
        <v>279</v>
      </c>
      <c r="BJ95" s="499">
        <f t="shared" si="172"/>
        <v>2.6531850000000001</v>
      </c>
      <c r="BK95" s="5">
        <f t="shared" si="118"/>
        <v>0</v>
      </c>
      <c r="BL95" s="499">
        <f t="shared" si="119"/>
        <v>20.707708</v>
      </c>
      <c r="BM95" s="499">
        <f t="shared" si="120"/>
        <v>1001.769822</v>
      </c>
      <c r="BO95" s="499">
        <f t="shared" si="121"/>
        <v>279</v>
      </c>
      <c r="BP95" s="499">
        <f t="shared" si="122"/>
        <v>2.6531850000000001</v>
      </c>
      <c r="BQ95" s="5">
        <f t="shared" si="114"/>
        <v>0</v>
      </c>
      <c r="BR95" s="499">
        <f t="shared" si="123"/>
        <v>20.707708</v>
      </c>
      <c r="BS95" s="499">
        <f t="shared" si="124"/>
        <v>1001.769822</v>
      </c>
      <c r="BU95" s="499">
        <f t="shared" si="125"/>
        <v>279</v>
      </c>
      <c r="BV95" s="499">
        <f t="shared" si="126"/>
        <v>2.6531850000000001</v>
      </c>
      <c r="BW95" s="5">
        <f t="shared" si="115"/>
        <v>0</v>
      </c>
      <c r="BX95" s="499">
        <f t="shared" si="127"/>
        <v>20.707708</v>
      </c>
      <c r="BY95" s="499">
        <f t="shared" si="128"/>
        <v>1001.769822</v>
      </c>
      <c r="CA95">
        <v>279</v>
      </c>
      <c r="CB95">
        <v>2.6531850000000001</v>
      </c>
      <c r="CC95">
        <v>0</v>
      </c>
      <c r="CD95">
        <v>20.707708</v>
      </c>
      <c r="CE95">
        <v>1001.769822</v>
      </c>
      <c r="CG95" s="499">
        <f t="shared" si="129"/>
        <v>0</v>
      </c>
      <c r="CH95" s="499">
        <f t="shared" si="130"/>
        <v>0</v>
      </c>
      <c r="CI95" s="499">
        <f t="shared" si="131"/>
        <v>0</v>
      </c>
      <c r="CJ95" s="499">
        <f t="shared" si="132"/>
        <v>0</v>
      </c>
      <c r="CP95" s="499"/>
      <c r="CQ95" s="65">
        <f t="shared" si="134"/>
        <v>0.97881752723341475</v>
      </c>
      <c r="CR95" s="499">
        <f t="shared" si="135"/>
        <v>0.97881752723341475</v>
      </c>
      <c r="CS95" s="499">
        <f t="shared" si="136"/>
        <v>0.97881752723341475</v>
      </c>
      <c r="CT95" s="38">
        <f t="shared" si="137"/>
        <v>1</v>
      </c>
      <c r="CU95" s="498">
        <f t="shared" si="138"/>
        <v>1</v>
      </c>
    </row>
    <row r="96" spans="1:99">
      <c r="A96" s="499">
        <f t="shared" si="112"/>
        <v>1</v>
      </c>
      <c r="B96">
        <v>72</v>
      </c>
      <c r="C96">
        <v>71</v>
      </c>
      <c r="D96" t="s">
        <v>1043</v>
      </c>
      <c r="E96">
        <v>71</v>
      </c>
      <c r="F96">
        <v>0</v>
      </c>
      <c r="G96">
        <v>1.3</v>
      </c>
      <c r="H96">
        <v>105</v>
      </c>
      <c r="I96">
        <v>3</v>
      </c>
      <c r="J96">
        <v>376837.41126000002</v>
      </c>
      <c r="K96">
        <v>4940524.8473770004</v>
      </c>
      <c r="L96">
        <v>377066.515503</v>
      </c>
      <c r="M96">
        <v>4940964.2694699997</v>
      </c>
      <c r="N96">
        <v>1633</v>
      </c>
      <c r="O96">
        <v>11.038104000000001</v>
      </c>
      <c r="P96">
        <v>11.038104000000001</v>
      </c>
      <c r="Q96">
        <v>7</v>
      </c>
      <c r="R96">
        <v>17.572856999999999</v>
      </c>
      <c r="S96">
        <v>16.172857</v>
      </c>
      <c r="T96">
        <v>16.914286000000001</v>
      </c>
      <c r="U96">
        <v>18.651429</v>
      </c>
      <c r="V96">
        <v>14.181429</v>
      </c>
      <c r="W96">
        <v>16.717143</v>
      </c>
      <c r="X96">
        <v>16.158570999999998</v>
      </c>
      <c r="Y96">
        <v>14.341429</v>
      </c>
      <c r="Z96">
        <v>14.041429000000001</v>
      </c>
      <c r="AA96">
        <v>1742.4285709999999</v>
      </c>
      <c r="AB96">
        <v>23681615.285714</v>
      </c>
      <c r="AC96">
        <v>16.083492</v>
      </c>
      <c r="AD96">
        <v>20.551707</v>
      </c>
      <c r="AE96">
        <v>75</v>
      </c>
      <c r="AF96">
        <v>137.85714300000001</v>
      </c>
      <c r="AG96">
        <v>3425.5865859999999</v>
      </c>
      <c r="AH96">
        <v>240219.73604600001</v>
      </c>
      <c r="AI96">
        <v>1317.2734439999999</v>
      </c>
      <c r="AJ96">
        <v>84</v>
      </c>
      <c r="AK96" s="499">
        <f t="shared" si="116"/>
        <v>79.743253852999985</v>
      </c>
      <c r="AL96" s="15">
        <f t="shared" si="109"/>
        <v>107.08325385299999</v>
      </c>
      <c r="AM96" s="15"/>
      <c r="AN96" s="499">
        <f t="shared" si="157"/>
        <v>20.994214516129045</v>
      </c>
      <c r="AO96" s="499">
        <f t="shared" si="158"/>
        <v>23.719034072580644</v>
      </c>
      <c r="AP96" s="499">
        <f t="shared" si="159"/>
        <v>18.564506866950545</v>
      </c>
      <c r="AQ96" s="499"/>
      <c r="AR96" s="228">
        <v>21.416664000000001</v>
      </c>
      <c r="AS96" s="13">
        <v>371</v>
      </c>
      <c r="AT96" s="13">
        <v>2.6449410000000002</v>
      </c>
      <c r="AU96" s="13">
        <f t="shared" si="149"/>
        <v>0</v>
      </c>
      <c r="AV96" s="13">
        <f t="shared" si="140"/>
        <v>21.416664000000001</v>
      </c>
      <c r="AW96" s="13">
        <f t="shared" si="141"/>
        <v>21.416664000000001</v>
      </c>
      <c r="AX96" s="13">
        <f t="shared" si="142"/>
        <v>21.416664000000001</v>
      </c>
      <c r="AY96" s="13">
        <v>998.78193899999997</v>
      </c>
      <c r="AZ96" s="13">
        <f t="shared" si="143"/>
        <v>0</v>
      </c>
      <c r="BA96" s="13">
        <f t="shared" si="144"/>
        <v>0</v>
      </c>
      <c r="BB96" s="97">
        <f t="shared" si="145"/>
        <v>0</v>
      </c>
      <c r="BC96" s="499"/>
      <c r="BD96" s="499">
        <v>94.75</v>
      </c>
      <c r="BE96" s="499">
        <v>23.075285483870967</v>
      </c>
      <c r="BF96" s="499">
        <v>20.536845161290323</v>
      </c>
      <c r="BG96" s="499">
        <v>22.191089805270146</v>
      </c>
      <c r="BI96" s="499">
        <f t="shared" ref="BI96:BJ96" si="173">AS99</f>
        <v>482</v>
      </c>
      <c r="BJ96" s="499">
        <f t="shared" si="173"/>
        <v>2.664622</v>
      </c>
      <c r="BK96" s="5">
        <f t="shared" si="118"/>
        <v>0</v>
      </c>
      <c r="BL96" s="499">
        <f t="shared" si="119"/>
        <v>19.076446000000001</v>
      </c>
      <c r="BM96" s="499">
        <f t="shared" si="120"/>
        <v>984.58289300000001</v>
      </c>
      <c r="BO96" s="499">
        <f t="shared" si="121"/>
        <v>482</v>
      </c>
      <c r="BP96" s="499">
        <f t="shared" si="122"/>
        <v>2.664622</v>
      </c>
      <c r="BQ96" s="5">
        <f t="shared" si="114"/>
        <v>0</v>
      </c>
      <c r="BR96" s="499">
        <f t="shared" si="123"/>
        <v>19.076446000000001</v>
      </c>
      <c r="BS96" s="499">
        <f t="shared" si="124"/>
        <v>984.58289300000001</v>
      </c>
      <c r="BU96" s="499">
        <f t="shared" si="125"/>
        <v>482</v>
      </c>
      <c r="BV96" s="499">
        <f t="shared" si="126"/>
        <v>2.664622</v>
      </c>
      <c r="BW96" s="5">
        <f t="shared" si="115"/>
        <v>0</v>
      </c>
      <c r="BX96" s="499">
        <f t="shared" si="127"/>
        <v>19.076446000000001</v>
      </c>
      <c r="BY96" s="499">
        <f t="shared" si="128"/>
        <v>984.58289300000001</v>
      </c>
      <c r="CA96">
        <v>482</v>
      </c>
      <c r="CB96">
        <v>2.664622</v>
      </c>
      <c r="CC96">
        <v>0</v>
      </c>
      <c r="CD96">
        <v>19.076446000000001</v>
      </c>
      <c r="CE96">
        <v>984.58289300000001</v>
      </c>
      <c r="CG96" s="499">
        <f t="shared" si="129"/>
        <v>0</v>
      </c>
      <c r="CH96" s="499">
        <f t="shared" si="130"/>
        <v>0</v>
      </c>
      <c r="CI96" s="499">
        <f t="shared" si="131"/>
        <v>0</v>
      </c>
      <c r="CJ96" s="499">
        <f t="shared" si="132"/>
        <v>0</v>
      </c>
      <c r="CP96" s="499"/>
      <c r="CQ96" s="65">
        <f t="shared" si="134"/>
        <v>0.97816060868911026</v>
      </c>
      <c r="CR96" s="499">
        <f t="shared" si="135"/>
        <v>0.97816060868911026</v>
      </c>
      <c r="CS96" s="499">
        <f t="shared" si="136"/>
        <v>0.97816060868911026</v>
      </c>
      <c r="CT96" s="38">
        <f t="shared" si="137"/>
        <v>1</v>
      </c>
      <c r="CU96" s="498">
        <f t="shared" si="138"/>
        <v>1</v>
      </c>
    </row>
    <row r="97" spans="1:99">
      <c r="A97" s="499">
        <f t="shared" si="112"/>
        <v>1</v>
      </c>
      <c r="B97">
        <v>406</v>
      </c>
      <c r="C97">
        <v>405</v>
      </c>
      <c r="D97" t="s">
        <v>1043</v>
      </c>
      <c r="E97">
        <v>405</v>
      </c>
      <c r="F97">
        <v>0</v>
      </c>
      <c r="G97">
        <v>0.6</v>
      </c>
      <c r="H97">
        <v>101</v>
      </c>
      <c r="I97">
        <v>3</v>
      </c>
      <c r="J97">
        <v>377385.49076000002</v>
      </c>
      <c r="K97">
        <v>4940155.4939299999</v>
      </c>
      <c r="L97">
        <v>377685.883837</v>
      </c>
      <c r="M97">
        <v>4940545.3079369999</v>
      </c>
      <c r="N97">
        <v>1466</v>
      </c>
      <c r="O97">
        <v>10.916366999999999</v>
      </c>
      <c r="P97">
        <v>10.916366999999999</v>
      </c>
      <c r="Q97">
        <v>5</v>
      </c>
      <c r="R97">
        <v>17.978000000000002</v>
      </c>
      <c r="S97">
        <v>16.920000000000002</v>
      </c>
      <c r="T97">
        <v>17.47</v>
      </c>
      <c r="U97">
        <v>19.244</v>
      </c>
      <c r="V97">
        <v>14.798</v>
      </c>
      <c r="W97">
        <v>17.564</v>
      </c>
      <c r="X97">
        <v>16.532</v>
      </c>
      <c r="Y97">
        <v>14.9</v>
      </c>
      <c r="Z97">
        <v>14.702</v>
      </c>
      <c r="AA97">
        <v>1217.5999999999999</v>
      </c>
      <c r="AB97">
        <v>23681542.199999999</v>
      </c>
      <c r="AC97">
        <v>16.678667000000001</v>
      </c>
      <c r="AD97">
        <v>21.262176</v>
      </c>
      <c r="AE97">
        <v>75</v>
      </c>
      <c r="AF97">
        <v>130.6</v>
      </c>
      <c r="AG97">
        <v>3825.9185200000002</v>
      </c>
      <c r="AH97">
        <v>269483.90216599999</v>
      </c>
      <c r="AI97">
        <v>644.32779900000003</v>
      </c>
      <c r="AJ97">
        <v>85</v>
      </c>
      <c r="AK97" s="499">
        <f t="shared" si="116"/>
        <v>81.060527296999979</v>
      </c>
      <c r="AL97" s="15">
        <f t="shared" si="109"/>
        <v>108.40052729699998</v>
      </c>
      <c r="AM97" s="15"/>
      <c r="AN97" s="499">
        <f t="shared" si="157"/>
        <v>21.614382258064509</v>
      </c>
      <c r="AO97" s="499">
        <f t="shared" si="158"/>
        <v>23.832222782258068</v>
      </c>
      <c r="AP97" s="499">
        <f t="shared" si="159"/>
        <v>19.073624983621794</v>
      </c>
      <c r="AQ97" s="499"/>
      <c r="AR97" s="228">
        <v>19.297452</v>
      </c>
      <c r="AS97" s="13">
        <v>311</v>
      </c>
      <c r="AT97" s="13">
        <v>2.6466769999999999</v>
      </c>
      <c r="AU97" s="13">
        <f t="shared" si="149"/>
        <v>0</v>
      </c>
      <c r="AV97" s="13">
        <f t="shared" si="140"/>
        <v>19.297452</v>
      </c>
      <c r="AW97" s="13">
        <f t="shared" si="141"/>
        <v>19.297452</v>
      </c>
      <c r="AX97" s="13">
        <f t="shared" si="142"/>
        <v>19.297452</v>
      </c>
      <c r="AY97" s="13">
        <v>999.63654499999996</v>
      </c>
      <c r="AZ97" s="13">
        <f t="shared" si="143"/>
        <v>0</v>
      </c>
      <c r="BA97" s="13">
        <f t="shared" si="144"/>
        <v>0</v>
      </c>
      <c r="BB97" s="97">
        <f t="shared" si="145"/>
        <v>0</v>
      </c>
      <c r="BC97" s="499"/>
      <c r="BD97" s="499">
        <v>94.55</v>
      </c>
      <c r="BE97" s="499">
        <v>23.162055040322585</v>
      </c>
      <c r="BF97" s="499">
        <v>20.515348790322573</v>
      </c>
      <c r="BG97" s="499">
        <v>22.120502133379116</v>
      </c>
      <c r="BI97" s="499">
        <f t="shared" ref="BI97:BJ97" si="174">AS100</f>
        <v>342</v>
      </c>
      <c r="BJ97" s="499">
        <f t="shared" si="174"/>
        <v>2.665943</v>
      </c>
      <c r="BK97" s="5">
        <f t="shared" si="118"/>
        <v>0</v>
      </c>
      <c r="BL97" s="499">
        <f t="shared" si="119"/>
        <v>22.399708</v>
      </c>
      <c r="BM97" s="499">
        <f t="shared" si="120"/>
        <v>1001.194539</v>
      </c>
      <c r="BO97" s="499">
        <f t="shared" si="121"/>
        <v>342</v>
      </c>
      <c r="BP97" s="499">
        <f t="shared" si="122"/>
        <v>2.665943</v>
      </c>
      <c r="BQ97" s="5">
        <f t="shared" si="114"/>
        <v>0</v>
      </c>
      <c r="BR97" s="499">
        <f t="shared" si="123"/>
        <v>22.399708</v>
      </c>
      <c r="BS97" s="499">
        <f t="shared" si="124"/>
        <v>1001.194539</v>
      </c>
      <c r="BU97" s="499">
        <f t="shared" si="125"/>
        <v>342</v>
      </c>
      <c r="BV97" s="499">
        <f t="shared" si="126"/>
        <v>2.665943</v>
      </c>
      <c r="BW97" s="5">
        <f t="shared" si="115"/>
        <v>0</v>
      </c>
      <c r="BX97" s="499">
        <f t="shared" si="127"/>
        <v>22.399708</v>
      </c>
      <c r="BY97" s="499">
        <f t="shared" si="128"/>
        <v>1001.194539</v>
      </c>
      <c r="CA97">
        <v>342</v>
      </c>
      <c r="CB97">
        <v>2.665943</v>
      </c>
      <c r="CC97">
        <v>0</v>
      </c>
      <c r="CD97">
        <v>22.399708</v>
      </c>
      <c r="CE97">
        <v>1001.194539</v>
      </c>
      <c r="CG97" s="499">
        <f t="shared" si="129"/>
        <v>0</v>
      </c>
      <c r="CH97" s="499">
        <f t="shared" si="130"/>
        <v>0</v>
      </c>
      <c r="CI97" s="499">
        <f t="shared" si="131"/>
        <v>0</v>
      </c>
      <c r="CJ97" s="499">
        <f t="shared" si="132"/>
        <v>0</v>
      </c>
      <c r="CP97" s="499"/>
      <c r="CQ97" s="65">
        <f t="shared" si="134"/>
        <v>0.97883262131868587</v>
      </c>
      <c r="CR97" s="499">
        <f t="shared" si="135"/>
        <v>0.97883262131868587</v>
      </c>
      <c r="CS97" s="499">
        <f t="shared" si="136"/>
        <v>0.97883262131868587</v>
      </c>
      <c r="CT97" s="38">
        <f t="shared" si="137"/>
        <v>1</v>
      </c>
      <c r="CU97" s="498">
        <f t="shared" si="138"/>
        <v>1</v>
      </c>
    </row>
    <row r="98" spans="1:99">
      <c r="A98" s="499">
        <f t="shared" si="112"/>
        <v>1</v>
      </c>
      <c r="B98">
        <v>454</v>
      </c>
      <c r="C98">
        <v>453</v>
      </c>
      <c r="D98" t="s">
        <v>1043</v>
      </c>
      <c r="E98">
        <v>453</v>
      </c>
      <c r="F98">
        <v>0</v>
      </c>
      <c r="G98">
        <v>0.6</v>
      </c>
      <c r="H98">
        <v>100</v>
      </c>
      <c r="I98">
        <v>2</v>
      </c>
      <c r="J98">
        <v>377777.75050999998</v>
      </c>
      <c r="K98">
        <v>4939770.8157350002</v>
      </c>
      <c r="L98">
        <v>378127.60230000003</v>
      </c>
      <c r="M98">
        <v>4940122.8179949997</v>
      </c>
      <c r="N98">
        <v>1463.5</v>
      </c>
      <c r="O98">
        <v>11.266560999999999</v>
      </c>
      <c r="P98">
        <v>11.266560999999999</v>
      </c>
      <c r="Q98">
        <v>3</v>
      </c>
      <c r="R98">
        <v>18.626667000000001</v>
      </c>
      <c r="S98">
        <v>18.023333000000001</v>
      </c>
      <c r="T98">
        <v>18.376667000000001</v>
      </c>
      <c r="U98">
        <v>20.086666999999998</v>
      </c>
      <c r="V98">
        <v>15.64</v>
      </c>
      <c r="W98">
        <v>18.100000000000001</v>
      </c>
      <c r="X98">
        <v>17.303332999999999</v>
      </c>
      <c r="Y98">
        <v>15.59</v>
      </c>
      <c r="Z98">
        <v>15.79</v>
      </c>
      <c r="AA98">
        <v>952.66666699999996</v>
      </c>
      <c r="AB98">
        <v>23681377.666666999</v>
      </c>
      <c r="AC98">
        <v>17.504073999999999</v>
      </c>
      <c r="AD98">
        <v>22.133448999999999</v>
      </c>
      <c r="AE98">
        <v>75</v>
      </c>
      <c r="AF98">
        <v>148</v>
      </c>
      <c r="AG98">
        <v>5913.5330130000002</v>
      </c>
      <c r="AH98">
        <v>426213.89148200001</v>
      </c>
      <c r="AI98">
        <v>567.60278200000005</v>
      </c>
      <c r="AJ98">
        <v>86</v>
      </c>
      <c r="AK98" s="499">
        <f t="shared" si="116"/>
        <v>81.704855095999974</v>
      </c>
      <c r="AL98" s="15">
        <f t="shared" si="109"/>
        <v>109.04485509599998</v>
      </c>
      <c r="AM98" s="15"/>
      <c r="AN98" s="499">
        <f t="shared" si="157"/>
        <v>21.238550604838707</v>
      </c>
      <c r="AO98" s="499">
        <f t="shared" si="158"/>
        <v>23.493676612903215</v>
      </c>
      <c r="AP98" s="499">
        <f t="shared" si="159"/>
        <v>19.248559823562275</v>
      </c>
      <c r="AQ98" s="499"/>
      <c r="AR98" s="228">
        <v>20.707708</v>
      </c>
      <c r="AS98" s="13">
        <v>279</v>
      </c>
      <c r="AT98" s="13">
        <v>2.6531850000000001</v>
      </c>
      <c r="AU98" s="13">
        <f t="shared" si="149"/>
        <v>0</v>
      </c>
      <c r="AV98" s="13">
        <f t="shared" si="140"/>
        <v>20.707708</v>
      </c>
      <c r="AW98" s="13">
        <f t="shared" si="141"/>
        <v>20.707708</v>
      </c>
      <c r="AX98" s="13">
        <f t="shared" si="142"/>
        <v>20.707708</v>
      </c>
      <c r="AY98" s="13">
        <v>1001.769822</v>
      </c>
      <c r="AZ98" s="13">
        <f t="shared" si="143"/>
        <v>0</v>
      </c>
      <c r="BA98" s="13">
        <f t="shared" si="144"/>
        <v>0</v>
      </c>
      <c r="BB98" s="97">
        <f t="shared" si="145"/>
        <v>0</v>
      </c>
      <c r="BC98" s="499"/>
      <c r="BD98" s="499">
        <v>94.35</v>
      </c>
      <c r="BE98" s="499">
        <v>23.233634879032259</v>
      </c>
      <c r="BF98" s="499">
        <v>20.490796774193555</v>
      </c>
      <c r="BG98" s="499">
        <v>22.04283759593865</v>
      </c>
      <c r="BI98" s="499">
        <f t="shared" ref="BI98:BJ98" si="175">AS101</f>
        <v>48</v>
      </c>
      <c r="BJ98" s="499">
        <f t="shared" si="175"/>
        <v>2.6664949999999998</v>
      </c>
      <c r="BK98" s="5">
        <f t="shared" si="118"/>
        <v>0</v>
      </c>
      <c r="BL98" s="499">
        <f t="shared" si="119"/>
        <v>22.480862999999999</v>
      </c>
      <c r="BM98" s="499">
        <f t="shared" si="120"/>
        <v>1174.1447109999999</v>
      </c>
      <c r="BO98" s="499">
        <f t="shared" si="121"/>
        <v>48</v>
      </c>
      <c r="BP98" s="499">
        <f t="shared" si="122"/>
        <v>2.6664949999999998</v>
      </c>
      <c r="BQ98" s="5">
        <f t="shared" si="114"/>
        <v>0</v>
      </c>
      <c r="BR98" s="499">
        <f t="shared" si="123"/>
        <v>22.480862999999999</v>
      </c>
      <c r="BS98" s="499">
        <f t="shared" si="124"/>
        <v>1174.1447109999999</v>
      </c>
      <c r="BU98" s="499">
        <f t="shared" si="125"/>
        <v>48</v>
      </c>
      <c r="BV98" s="499">
        <f t="shared" si="126"/>
        <v>2.6664949999999998</v>
      </c>
      <c r="BW98" s="5">
        <f t="shared" si="115"/>
        <v>0</v>
      </c>
      <c r="BX98" s="499">
        <f t="shared" si="127"/>
        <v>22.480862999999999</v>
      </c>
      <c r="BY98" s="499">
        <f t="shared" si="128"/>
        <v>1174.1447109999999</v>
      </c>
      <c r="CA98">
        <v>48</v>
      </c>
      <c r="CB98">
        <v>2.6664949999999998</v>
      </c>
      <c r="CC98">
        <v>0</v>
      </c>
      <c r="CD98">
        <v>22.480862999999999</v>
      </c>
      <c r="CE98">
        <v>1174.1447109999999</v>
      </c>
      <c r="CG98" s="499">
        <f t="shared" si="129"/>
        <v>0</v>
      </c>
      <c r="CH98" s="499">
        <f t="shared" si="130"/>
        <v>0</v>
      </c>
      <c r="CI98" s="499">
        <f t="shared" si="131"/>
        <v>0</v>
      </c>
      <c r="CJ98" s="499">
        <f t="shared" si="132"/>
        <v>0</v>
      </c>
      <c r="CP98" s="499"/>
      <c r="CQ98" s="65">
        <f t="shared" si="134"/>
        <v>0.95908200673517197</v>
      </c>
      <c r="CR98" s="499">
        <f t="shared" si="135"/>
        <v>0.95908200673517197</v>
      </c>
      <c r="CS98" s="499">
        <f t="shared" si="136"/>
        <v>0.95908200673517197</v>
      </c>
      <c r="CT98" s="38">
        <f t="shared" si="137"/>
        <v>1</v>
      </c>
      <c r="CU98" s="498">
        <f t="shared" si="138"/>
        <v>1</v>
      </c>
    </row>
    <row r="99" spans="1:99">
      <c r="A99" s="499">
        <f t="shared" si="112"/>
        <v>1</v>
      </c>
      <c r="B99">
        <v>203</v>
      </c>
      <c r="C99">
        <v>202</v>
      </c>
      <c r="D99" t="s">
        <v>1043</v>
      </c>
      <c r="E99">
        <v>202</v>
      </c>
      <c r="F99">
        <v>0</v>
      </c>
      <c r="G99">
        <v>0.6</v>
      </c>
      <c r="H99">
        <v>96</v>
      </c>
      <c r="I99">
        <v>2</v>
      </c>
      <c r="J99">
        <v>378379.75609500002</v>
      </c>
      <c r="K99">
        <v>4939458.2683250001</v>
      </c>
      <c r="L99">
        <v>378542.40875</v>
      </c>
      <c r="M99">
        <v>4939910.6082800003</v>
      </c>
      <c r="N99">
        <v>1442.5</v>
      </c>
      <c r="O99">
        <v>10.636253999999999</v>
      </c>
      <c r="P99">
        <v>10.636253999999999</v>
      </c>
      <c r="Q99">
        <v>3</v>
      </c>
      <c r="R99">
        <v>18.626667000000001</v>
      </c>
      <c r="S99">
        <v>18.023333000000001</v>
      </c>
      <c r="T99">
        <v>18.376667000000001</v>
      </c>
      <c r="U99">
        <v>20.086666999999998</v>
      </c>
      <c r="V99">
        <v>15.64</v>
      </c>
      <c r="W99">
        <v>18.100000000000001</v>
      </c>
      <c r="X99">
        <v>17.303332999999999</v>
      </c>
      <c r="Y99">
        <v>15.59</v>
      </c>
      <c r="Z99">
        <v>15.79</v>
      </c>
      <c r="AA99">
        <v>952.66666699999996</v>
      </c>
      <c r="AB99">
        <v>23681377.666666999</v>
      </c>
      <c r="AC99">
        <v>17.504073999999999</v>
      </c>
      <c r="AD99">
        <v>22.133448999999999</v>
      </c>
      <c r="AE99">
        <v>75</v>
      </c>
      <c r="AF99">
        <v>148</v>
      </c>
      <c r="AG99">
        <v>5913.5330130000002</v>
      </c>
      <c r="AH99">
        <v>426213.89148200001</v>
      </c>
      <c r="AI99">
        <v>625.01359100000002</v>
      </c>
      <c r="AJ99">
        <v>87</v>
      </c>
      <c r="AK99" s="499">
        <f t="shared" si="116"/>
        <v>82.272457877999969</v>
      </c>
      <c r="AL99" s="15">
        <f t="shared" si="109"/>
        <v>109.61245787799997</v>
      </c>
      <c r="AM99" s="15"/>
      <c r="AN99" s="499">
        <f t="shared" si="157"/>
        <v>21.341047580645164</v>
      </c>
      <c r="AO99" s="499">
        <f t="shared" si="158"/>
        <v>23.468765120967742</v>
      </c>
      <c r="AP99" s="499">
        <f t="shared" si="159"/>
        <v>19.860803868759163</v>
      </c>
      <c r="AQ99" s="499"/>
      <c r="AR99" s="228">
        <v>19.076446000000001</v>
      </c>
      <c r="AS99" s="13">
        <v>482</v>
      </c>
      <c r="AT99" s="13">
        <v>2.664622</v>
      </c>
      <c r="AU99" s="13">
        <f t="shared" si="149"/>
        <v>0</v>
      </c>
      <c r="AV99" s="13">
        <f t="shared" si="140"/>
        <v>19.076446000000001</v>
      </c>
      <c r="AW99" s="13">
        <f t="shared" si="141"/>
        <v>19.076446000000001</v>
      </c>
      <c r="AX99" s="13">
        <f t="shared" si="142"/>
        <v>19.076446000000001</v>
      </c>
      <c r="AY99" s="13">
        <v>984.58289300000001</v>
      </c>
      <c r="AZ99" s="13">
        <f t="shared" si="143"/>
        <v>0</v>
      </c>
      <c r="BA99" s="13">
        <f t="shared" si="144"/>
        <v>0</v>
      </c>
      <c r="BB99" s="97">
        <f t="shared" si="145"/>
        <v>0</v>
      </c>
      <c r="BC99" s="499"/>
      <c r="BD99" s="499">
        <v>94.15</v>
      </c>
      <c r="BE99" s="499">
        <v>23.307939919354837</v>
      </c>
      <c r="BF99" s="499">
        <v>20.471164717741932</v>
      </c>
      <c r="BG99" s="499">
        <v>21.999539473415748</v>
      </c>
      <c r="BI99" s="499">
        <f t="shared" ref="BI99:BJ99" si="176">AS102</f>
        <v>435</v>
      </c>
      <c r="BJ99" s="499">
        <f t="shared" si="176"/>
        <v>2.671948</v>
      </c>
      <c r="BK99" s="5">
        <f t="shared" si="118"/>
        <v>0</v>
      </c>
      <c r="BL99" s="499">
        <f t="shared" si="119"/>
        <v>22.480862999999999</v>
      </c>
      <c r="BM99" s="499">
        <f t="shared" si="120"/>
        <v>999.41684499999997</v>
      </c>
      <c r="BO99" s="499">
        <f t="shared" si="121"/>
        <v>435</v>
      </c>
      <c r="BP99" s="499">
        <f t="shared" si="122"/>
        <v>2.671948</v>
      </c>
      <c r="BQ99" s="5">
        <f t="shared" si="114"/>
        <v>0</v>
      </c>
      <c r="BR99" s="499">
        <f t="shared" si="123"/>
        <v>22.480862999999999</v>
      </c>
      <c r="BS99" s="499">
        <f t="shared" si="124"/>
        <v>999.41684499999997</v>
      </c>
      <c r="BU99" s="499">
        <f t="shared" si="125"/>
        <v>435</v>
      </c>
      <c r="BV99" s="499">
        <f t="shared" si="126"/>
        <v>2.671948</v>
      </c>
      <c r="BW99" s="5">
        <f t="shared" si="115"/>
        <v>0</v>
      </c>
      <c r="BX99" s="499">
        <f t="shared" si="127"/>
        <v>22.480862999999999</v>
      </c>
      <c r="BY99" s="499">
        <f t="shared" si="128"/>
        <v>999.41684499999997</v>
      </c>
      <c r="CA99">
        <v>435</v>
      </c>
      <c r="CB99">
        <v>2.671948</v>
      </c>
      <c r="CC99">
        <v>0</v>
      </c>
      <c r="CD99">
        <v>22.480862999999999</v>
      </c>
      <c r="CE99">
        <v>999.41684499999997</v>
      </c>
      <c r="CG99" s="499">
        <f t="shared" si="129"/>
        <v>0</v>
      </c>
      <c r="CH99" s="499">
        <f t="shared" si="130"/>
        <v>0</v>
      </c>
      <c r="CI99" s="499">
        <f t="shared" si="131"/>
        <v>0</v>
      </c>
      <c r="CJ99" s="499">
        <f t="shared" si="132"/>
        <v>0</v>
      </c>
      <c r="CP99" s="499"/>
      <c r="CQ99" s="65">
        <f t="shared" si="134"/>
        <v>0.95570324537876172</v>
      </c>
      <c r="CR99" s="499">
        <f t="shared" si="135"/>
        <v>0.95570324537876172</v>
      </c>
      <c r="CS99" s="499">
        <f t="shared" si="136"/>
        <v>0.95570324537876172</v>
      </c>
      <c r="CT99" s="38">
        <f t="shared" si="137"/>
        <v>1</v>
      </c>
      <c r="CU99" s="498">
        <f t="shared" si="138"/>
        <v>1</v>
      </c>
    </row>
    <row r="100" spans="1:99">
      <c r="A100" s="499">
        <f t="shared" si="112"/>
        <v>1</v>
      </c>
      <c r="B100">
        <v>420</v>
      </c>
      <c r="C100">
        <v>419</v>
      </c>
      <c r="D100" t="s">
        <v>1043</v>
      </c>
      <c r="E100">
        <v>419</v>
      </c>
      <c r="F100">
        <v>0</v>
      </c>
      <c r="G100">
        <v>0.8</v>
      </c>
      <c r="H100">
        <v>95</v>
      </c>
      <c r="I100">
        <v>4</v>
      </c>
      <c r="J100">
        <v>378701.17199499998</v>
      </c>
      <c r="K100">
        <v>4939237.0602169996</v>
      </c>
      <c r="L100">
        <v>379003.56566000002</v>
      </c>
      <c r="M100">
        <v>4939627.7801670004</v>
      </c>
      <c r="N100">
        <v>1337.5</v>
      </c>
      <c r="O100">
        <v>10.710905</v>
      </c>
      <c r="P100">
        <v>10.710905</v>
      </c>
      <c r="Q100">
        <v>3</v>
      </c>
      <c r="R100">
        <v>18.66</v>
      </c>
      <c r="S100">
        <v>18.03</v>
      </c>
      <c r="T100">
        <v>18.516667000000002</v>
      </c>
      <c r="U100">
        <v>20.133333</v>
      </c>
      <c r="V100">
        <v>15.136666999999999</v>
      </c>
      <c r="W100">
        <v>18.2</v>
      </c>
      <c r="X100">
        <v>17.2</v>
      </c>
      <c r="Y100">
        <v>15.223333</v>
      </c>
      <c r="Z100">
        <v>15.293333000000001</v>
      </c>
      <c r="AA100">
        <v>1087.333333</v>
      </c>
      <c r="AB100">
        <v>639273885.33333302</v>
      </c>
      <c r="AC100">
        <v>17.377037000000001</v>
      </c>
      <c r="AD100">
        <v>21.942233999999999</v>
      </c>
      <c r="AE100">
        <v>75</v>
      </c>
      <c r="AF100">
        <v>115</v>
      </c>
      <c r="AG100">
        <v>3118.3992629999998</v>
      </c>
      <c r="AH100">
        <v>216448.050682</v>
      </c>
      <c r="AI100">
        <v>776.18885499999999</v>
      </c>
      <c r="AJ100">
        <v>88</v>
      </c>
      <c r="AK100" s="499">
        <f t="shared" si="116"/>
        <v>82.897471468999967</v>
      </c>
      <c r="AL100" s="15">
        <f t="shared" si="109"/>
        <v>110.23747146899997</v>
      </c>
      <c r="AM100" s="15"/>
      <c r="AN100" s="499">
        <f t="shared" si="157"/>
        <v>21.75607923387097</v>
      </c>
      <c r="AO100" s="499">
        <f t="shared" si="158"/>
        <v>23.583422983870967</v>
      </c>
      <c r="AP100" s="499">
        <f t="shared" si="159"/>
        <v>20.895648420467033</v>
      </c>
      <c r="AQ100" s="499"/>
      <c r="AR100" s="228">
        <v>22.399708</v>
      </c>
      <c r="AS100" s="13">
        <v>342</v>
      </c>
      <c r="AT100" s="13">
        <v>2.665943</v>
      </c>
      <c r="AU100" s="13">
        <f t="shared" si="149"/>
        <v>0</v>
      </c>
      <c r="AV100" s="13">
        <f t="shared" si="140"/>
        <v>22.399708</v>
      </c>
      <c r="AW100" s="13">
        <f t="shared" si="141"/>
        <v>22.399708</v>
      </c>
      <c r="AX100" s="13">
        <f t="shared" si="142"/>
        <v>22.399708</v>
      </c>
      <c r="AY100" s="13">
        <v>1001.194539</v>
      </c>
      <c r="AZ100" s="13">
        <f t="shared" si="143"/>
        <v>0</v>
      </c>
      <c r="BA100" s="13">
        <f t="shared" si="144"/>
        <v>0</v>
      </c>
      <c r="BB100" s="97">
        <f t="shared" si="145"/>
        <v>0</v>
      </c>
      <c r="BC100" s="499"/>
      <c r="BD100" s="499">
        <v>93.95</v>
      </c>
      <c r="BE100" s="499">
        <v>23.368752419354841</v>
      </c>
      <c r="BF100" s="499">
        <v>20.451544758064518</v>
      </c>
      <c r="BG100" s="499">
        <v>21.90509143681318</v>
      </c>
      <c r="BI100" s="499">
        <f t="shared" ref="BI100:BJ100" si="177">AS103</f>
        <v>93</v>
      </c>
      <c r="BJ100" s="499">
        <f t="shared" si="177"/>
        <v>2.6743830000000002</v>
      </c>
      <c r="BK100" s="5">
        <f t="shared" si="118"/>
        <v>0</v>
      </c>
      <c r="BL100" s="499">
        <f t="shared" si="119"/>
        <v>16.87659</v>
      </c>
      <c r="BM100" s="499">
        <f t="shared" si="120"/>
        <v>1001.771291</v>
      </c>
      <c r="BO100" s="499">
        <f t="shared" si="121"/>
        <v>93</v>
      </c>
      <c r="BP100" s="499">
        <f t="shared" si="122"/>
        <v>2.6743830000000002</v>
      </c>
      <c r="BQ100" s="5">
        <f t="shared" si="114"/>
        <v>0</v>
      </c>
      <c r="BR100" s="499">
        <f t="shared" si="123"/>
        <v>16.87659</v>
      </c>
      <c r="BS100" s="499">
        <f t="shared" si="124"/>
        <v>1001.771291</v>
      </c>
      <c r="BU100" s="499">
        <f t="shared" si="125"/>
        <v>93</v>
      </c>
      <c r="BV100" s="499">
        <f t="shared" si="126"/>
        <v>2.6743830000000002</v>
      </c>
      <c r="BW100" s="5">
        <f t="shared" si="115"/>
        <v>0</v>
      </c>
      <c r="BX100" s="499">
        <f t="shared" si="127"/>
        <v>16.87659</v>
      </c>
      <c r="BY100" s="499">
        <f t="shared" si="128"/>
        <v>1001.771291</v>
      </c>
      <c r="CA100">
        <v>93</v>
      </c>
      <c r="CB100">
        <v>2.6743830000000002</v>
      </c>
      <c r="CC100">
        <v>0</v>
      </c>
      <c r="CD100">
        <v>16.87659</v>
      </c>
      <c r="CE100">
        <v>1001.771291</v>
      </c>
      <c r="CG100" s="499">
        <f t="shared" si="129"/>
        <v>0</v>
      </c>
      <c r="CH100" s="499">
        <f t="shared" si="130"/>
        <v>0</v>
      </c>
      <c r="CI100" s="499">
        <f t="shared" si="131"/>
        <v>0</v>
      </c>
      <c r="CJ100" s="499">
        <f t="shared" si="132"/>
        <v>0</v>
      </c>
      <c r="CP100" s="499"/>
      <c r="CQ100" s="65">
        <f t="shared" si="134"/>
        <v>0.95570324537876172</v>
      </c>
      <c r="CR100" s="499">
        <f t="shared" si="135"/>
        <v>0.95570324537876172</v>
      </c>
      <c r="CS100" s="499">
        <f t="shared" si="136"/>
        <v>0.95570324537876172</v>
      </c>
      <c r="CT100" s="38">
        <f t="shared" si="137"/>
        <v>1</v>
      </c>
      <c r="CU100" s="498">
        <f t="shared" si="138"/>
        <v>1</v>
      </c>
    </row>
    <row r="101" spans="1:99">
      <c r="A101" s="499">
        <f t="shared" si="112"/>
        <v>1</v>
      </c>
      <c r="B101">
        <v>59</v>
      </c>
      <c r="C101">
        <v>58</v>
      </c>
      <c r="D101" t="s">
        <v>1043</v>
      </c>
      <c r="E101">
        <v>58</v>
      </c>
      <c r="F101">
        <v>0</v>
      </c>
      <c r="G101">
        <v>0.5</v>
      </c>
      <c r="H101">
        <v>91</v>
      </c>
      <c r="I101">
        <v>2</v>
      </c>
      <c r="J101">
        <v>379279.82611999998</v>
      </c>
      <c r="K101">
        <v>4938867.4325750005</v>
      </c>
      <c r="L101">
        <v>379428.51671</v>
      </c>
      <c r="M101">
        <v>4939343.4670000002</v>
      </c>
      <c r="N101">
        <v>1287.5</v>
      </c>
      <c r="O101">
        <v>11.003518</v>
      </c>
      <c r="P101">
        <v>11.003518</v>
      </c>
      <c r="Q101">
        <v>5</v>
      </c>
      <c r="R101">
        <v>18.506</v>
      </c>
      <c r="S101">
        <v>17.847999999999999</v>
      </c>
      <c r="T101">
        <v>18.352</v>
      </c>
      <c r="U101">
        <v>19.975999999999999</v>
      </c>
      <c r="V101">
        <v>15.06</v>
      </c>
      <c r="W101">
        <v>18.13</v>
      </c>
      <c r="X101">
        <v>17.064</v>
      </c>
      <c r="Y101">
        <v>15.11</v>
      </c>
      <c r="Z101">
        <v>15.106</v>
      </c>
      <c r="AA101">
        <v>1227.2</v>
      </c>
      <c r="AB101">
        <v>577714817.79999995</v>
      </c>
      <c r="AC101">
        <v>17.239111000000001</v>
      </c>
      <c r="AD101">
        <v>21.747067000000001</v>
      </c>
      <c r="AE101">
        <v>75</v>
      </c>
      <c r="AF101">
        <v>112</v>
      </c>
      <c r="AG101">
        <v>3953.7420029999998</v>
      </c>
      <c r="AH101">
        <v>279118.66242100002</v>
      </c>
      <c r="AI101">
        <v>483.06021199999998</v>
      </c>
      <c r="AJ101">
        <v>89</v>
      </c>
      <c r="AK101" s="499">
        <f t="shared" si="116"/>
        <v>83.673660323999968</v>
      </c>
      <c r="AL101" s="15">
        <f>AK101+27.34</f>
        <v>111.01366032399997</v>
      </c>
      <c r="AM101" s="15"/>
      <c r="AN101" s="499">
        <f t="shared" si="157"/>
        <v>22.096878225806453</v>
      </c>
      <c r="AO101" s="499">
        <f t="shared" si="158"/>
        <v>23.461415725806457</v>
      </c>
      <c r="AP101" s="499">
        <f t="shared" si="159"/>
        <v>21.507244972948726</v>
      </c>
      <c r="AQ101" s="499"/>
      <c r="AR101" s="228">
        <v>22.480862999999999</v>
      </c>
      <c r="AS101" s="13">
        <v>48</v>
      </c>
      <c r="AT101" s="13">
        <v>2.6664949999999998</v>
      </c>
      <c r="AU101" s="13">
        <f t="shared" si="149"/>
        <v>0</v>
      </c>
      <c r="AV101" s="13">
        <f t="shared" si="140"/>
        <v>22.480862999999999</v>
      </c>
      <c r="AW101" s="13">
        <f t="shared" si="141"/>
        <v>22.480862999999999</v>
      </c>
      <c r="AX101" s="13">
        <f t="shared" si="142"/>
        <v>22.480862999999999</v>
      </c>
      <c r="AY101" s="13">
        <v>1174.1447109999999</v>
      </c>
      <c r="AZ101" s="13">
        <f t="shared" si="143"/>
        <v>0</v>
      </c>
      <c r="BA101" s="13">
        <f t="shared" si="144"/>
        <v>0</v>
      </c>
      <c r="BB101" s="97">
        <f t="shared" si="145"/>
        <v>0</v>
      </c>
      <c r="BC101" s="499"/>
      <c r="BD101" s="499">
        <v>93.75</v>
      </c>
      <c r="BE101" s="499">
        <v>23.430577620967735</v>
      </c>
      <c r="BF101" s="499">
        <v>20.427644354838709</v>
      </c>
      <c r="BG101" s="499">
        <v>21.800747878383703</v>
      </c>
      <c r="BI101" s="499">
        <f t="shared" ref="BI101:BJ101" si="178">AS104</f>
        <v>428</v>
      </c>
      <c r="BJ101" s="499">
        <f t="shared" si="178"/>
        <v>2.6797770000000001</v>
      </c>
      <c r="BK101" s="5">
        <f t="shared" si="118"/>
        <v>1</v>
      </c>
      <c r="BL101" s="499">
        <f t="shared" si="119"/>
        <v>30.770900000000001</v>
      </c>
      <c r="BM101" s="499">
        <f t="shared" si="120"/>
        <v>1095.4229029999999</v>
      </c>
      <c r="BO101" s="499">
        <f t="shared" si="121"/>
        <v>428</v>
      </c>
      <c r="BP101" s="499">
        <f t="shared" si="122"/>
        <v>2.6797770000000001</v>
      </c>
      <c r="BQ101" s="5">
        <f t="shared" si="114"/>
        <v>1</v>
      </c>
      <c r="BR101" s="499">
        <f t="shared" si="123"/>
        <v>30.770900000000001</v>
      </c>
      <c r="BS101" s="499">
        <f t="shared" si="124"/>
        <v>1095.4229029999999</v>
      </c>
      <c r="BU101" s="499">
        <f t="shared" si="125"/>
        <v>428</v>
      </c>
      <c r="BV101" s="499">
        <f t="shared" si="126"/>
        <v>2.6797770000000001</v>
      </c>
      <c r="BW101" s="5">
        <f t="shared" si="115"/>
        <v>1</v>
      </c>
      <c r="BX101" s="499">
        <f t="shared" si="127"/>
        <v>30.770900000000001</v>
      </c>
      <c r="BY101" s="499">
        <f t="shared" si="128"/>
        <v>1095.4229029999999</v>
      </c>
      <c r="CA101">
        <v>428</v>
      </c>
      <c r="CB101">
        <v>2.6797770000000001</v>
      </c>
      <c r="CC101">
        <v>1</v>
      </c>
      <c r="CD101">
        <v>30.770900000000001</v>
      </c>
      <c r="CE101">
        <v>1095.4229029999999</v>
      </c>
      <c r="CG101" s="499">
        <f t="shared" si="129"/>
        <v>1</v>
      </c>
      <c r="CH101" s="499">
        <f t="shared" si="130"/>
        <v>1</v>
      </c>
      <c r="CI101" s="499">
        <f t="shared" si="131"/>
        <v>1</v>
      </c>
      <c r="CJ101" s="499">
        <f t="shared" si="132"/>
        <v>1</v>
      </c>
      <c r="CP101" s="499"/>
      <c r="CQ101" s="65">
        <f t="shared" si="134"/>
        <v>0.97885965391539909</v>
      </c>
      <c r="CR101" s="499">
        <f t="shared" si="135"/>
        <v>0.97885965391539909</v>
      </c>
      <c r="CS101" s="499">
        <f t="shared" si="136"/>
        <v>0.97885965391539909</v>
      </c>
      <c r="CT101" s="38">
        <f t="shared" si="137"/>
        <v>1</v>
      </c>
      <c r="CU101" s="498">
        <f t="shared" si="138"/>
        <v>1</v>
      </c>
    </row>
    <row r="102" spans="1:99">
      <c r="A102" s="499">
        <f t="shared" si="112"/>
        <v>1</v>
      </c>
      <c r="B102">
        <v>253</v>
      </c>
      <c r="C102">
        <v>252</v>
      </c>
      <c r="D102" t="s">
        <v>1043</v>
      </c>
      <c r="E102">
        <v>252</v>
      </c>
      <c r="F102">
        <v>0</v>
      </c>
      <c r="G102">
        <v>0.9</v>
      </c>
      <c r="H102">
        <v>90</v>
      </c>
      <c r="I102">
        <v>3</v>
      </c>
      <c r="J102">
        <v>379765.51727299998</v>
      </c>
      <c r="K102">
        <v>4938724.3277669996</v>
      </c>
      <c r="L102">
        <v>379904.89086300001</v>
      </c>
      <c r="M102">
        <v>4939198.9040529998</v>
      </c>
      <c r="N102">
        <v>1274</v>
      </c>
      <c r="O102">
        <v>10.063871000000001</v>
      </c>
      <c r="P102">
        <v>10.063871000000001</v>
      </c>
      <c r="Q102">
        <v>3</v>
      </c>
      <c r="R102">
        <v>18.966667000000001</v>
      </c>
      <c r="S102">
        <v>18.68</v>
      </c>
      <c r="T102">
        <v>18.936667</v>
      </c>
      <c r="U102">
        <v>20.626667000000001</v>
      </c>
      <c r="V102">
        <v>15.723333</v>
      </c>
      <c r="W102">
        <v>18.773333000000001</v>
      </c>
      <c r="X102">
        <v>17.586666999999998</v>
      </c>
      <c r="Y102">
        <v>15.786667</v>
      </c>
      <c r="Z102">
        <v>15.573333</v>
      </c>
      <c r="AA102">
        <v>405</v>
      </c>
      <c r="AB102">
        <v>331477639.33333302</v>
      </c>
      <c r="AC102">
        <v>17.850370000000002</v>
      </c>
      <c r="AD102">
        <v>22.525600000000001</v>
      </c>
      <c r="AE102">
        <v>75</v>
      </c>
      <c r="AF102">
        <v>105.666667</v>
      </c>
      <c r="AG102">
        <v>3036.7791299999999</v>
      </c>
      <c r="AH102">
        <v>210246.58549299999</v>
      </c>
      <c r="AI102">
        <v>884.22825599999999</v>
      </c>
      <c r="AJ102">
        <v>90</v>
      </c>
      <c r="AK102" s="499">
        <f>AK101+AI101/1000</f>
        <v>84.156720535999966</v>
      </c>
      <c r="AL102" s="15">
        <f>AK102+27.34</f>
        <v>111.49672053599997</v>
      </c>
      <c r="AM102" s="15"/>
      <c r="AN102" s="499">
        <f t="shared" si="157"/>
        <v>22.098295362903222</v>
      </c>
      <c r="AO102" s="499">
        <f t="shared" si="158"/>
        <v>23.420152016129038</v>
      </c>
      <c r="AP102" s="499">
        <f t="shared" si="159"/>
        <v>21.146601993910259</v>
      </c>
      <c r="AQ102" s="499"/>
      <c r="AR102" s="228">
        <v>22.480862999999999</v>
      </c>
      <c r="AS102" s="13">
        <v>435</v>
      </c>
      <c r="AT102" s="13">
        <v>2.671948</v>
      </c>
      <c r="AU102" s="13">
        <f t="shared" si="149"/>
        <v>0</v>
      </c>
      <c r="AV102" s="13">
        <f t="shared" si="140"/>
        <v>22.480862999999999</v>
      </c>
      <c r="AW102" s="13">
        <f t="shared" si="141"/>
        <v>22.480862999999999</v>
      </c>
      <c r="AX102" s="13">
        <f t="shared" si="142"/>
        <v>22.480862999999999</v>
      </c>
      <c r="AY102" s="13">
        <v>999.41684499999997</v>
      </c>
      <c r="AZ102" s="13">
        <f t="shared" si="143"/>
        <v>0</v>
      </c>
      <c r="BA102" s="13">
        <f t="shared" si="144"/>
        <v>0</v>
      </c>
      <c r="BB102" s="97">
        <f t="shared" si="145"/>
        <v>0</v>
      </c>
      <c r="BC102" s="499"/>
      <c r="BD102" s="499">
        <v>93.55</v>
      </c>
      <c r="BE102" s="499">
        <v>23.005662298387112</v>
      </c>
      <c r="BF102" s="499">
        <v>20.075907862903229</v>
      </c>
      <c r="BG102" s="499">
        <v>21.417979162637362</v>
      </c>
      <c r="BI102" s="499">
        <f t="shared" ref="BI102:BJ102" si="179">AS105</f>
        <v>389</v>
      </c>
      <c r="BJ102" s="499">
        <f t="shared" si="179"/>
        <v>2.7216230000000001</v>
      </c>
      <c r="BK102" s="5">
        <f t="shared" si="118"/>
        <v>0</v>
      </c>
      <c r="BL102" s="499">
        <f t="shared" si="119"/>
        <v>17.974986999999999</v>
      </c>
      <c r="BM102" s="499">
        <f t="shared" si="120"/>
        <v>1001.739689</v>
      </c>
      <c r="BO102" s="499">
        <f t="shared" si="121"/>
        <v>389</v>
      </c>
      <c r="BP102" s="499">
        <f t="shared" si="122"/>
        <v>2.7216230000000001</v>
      </c>
      <c r="BQ102" s="5">
        <f t="shared" si="114"/>
        <v>0</v>
      </c>
      <c r="BR102" s="499">
        <f t="shared" si="123"/>
        <v>17.974986999999999</v>
      </c>
      <c r="BS102" s="499">
        <f t="shared" si="124"/>
        <v>1001.739689</v>
      </c>
      <c r="BU102" s="499">
        <f t="shared" si="125"/>
        <v>389</v>
      </c>
      <c r="BV102" s="499">
        <f t="shared" si="126"/>
        <v>2.7216230000000001</v>
      </c>
      <c r="BW102" s="5">
        <f t="shared" si="115"/>
        <v>0</v>
      </c>
      <c r="BX102" s="499">
        <f t="shared" si="127"/>
        <v>17.974986999999999</v>
      </c>
      <c r="BY102" s="499">
        <f t="shared" si="128"/>
        <v>1001.739689</v>
      </c>
      <c r="CA102">
        <v>389</v>
      </c>
      <c r="CB102">
        <v>2.7216230000000001</v>
      </c>
      <c r="CC102">
        <v>0</v>
      </c>
      <c r="CD102">
        <v>17.974986999999999</v>
      </c>
      <c r="CE102">
        <v>1001.739689</v>
      </c>
      <c r="CG102" s="499">
        <f t="shared" si="129"/>
        <v>0</v>
      </c>
      <c r="CH102" s="499">
        <f t="shared" si="130"/>
        <v>0</v>
      </c>
      <c r="CI102" s="499">
        <f t="shared" si="131"/>
        <v>0</v>
      </c>
      <c r="CJ102" s="499">
        <f t="shared" si="132"/>
        <v>0</v>
      </c>
      <c r="CP102" s="499"/>
      <c r="CQ102" s="65">
        <f t="shared" si="134"/>
        <v>2.8375441524771997E-6</v>
      </c>
      <c r="CR102" s="499">
        <f t="shared" si="135"/>
        <v>2.8375441524771997E-6</v>
      </c>
      <c r="CS102" s="499">
        <f t="shared" si="136"/>
        <v>2.8375441524771997E-6</v>
      </c>
      <c r="CT102" s="38">
        <f t="shared" si="137"/>
        <v>1</v>
      </c>
      <c r="CU102" s="498">
        <f t="shared" si="138"/>
        <v>1</v>
      </c>
    </row>
    <row r="103" spans="1:99">
      <c r="AQ103" s="499"/>
      <c r="AR103" s="228">
        <v>16.87659</v>
      </c>
      <c r="AS103" s="13">
        <v>93</v>
      </c>
      <c r="AT103" s="13">
        <v>2.6743830000000002</v>
      </c>
      <c r="AU103" s="13">
        <f t="shared" si="149"/>
        <v>0</v>
      </c>
      <c r="AV103" s="13">
        <f t="shared" si="140"/>
        <v>16.87659</v>
      </c>
      <c r="AW103" s="13">
        <f t="shared" si="141"/>
        <v>16.87659</v>
      </c>
      <c r="AX103" s="13">
        <f t="shared" si="142"/>
        <v>16.87659</v>
      </c>
      <c r="AY103" s="13">
        <v>1001.771291</v>
      </c>
      <c r="AZ103" s="13">
        <f t="shared" si="143"/>
        <v>0</v>
      </c>
      <c r="BA103" s="13">
        <f t="shared" si="144"/>
        <v>0</v>
      </c>
      <c r="BB103" s="97">
        <f t="shared" si="145"/>
        <v>0</v>
      </c>
      <c r="BC103" s="499"/>
      <c r="BD103" s="499">
        <v>93.35</v>
      </c>
      <c r="BE103" s="499">
        <v>23.067909274193543</v>
      </c>
      <c r="BF103" s="499">
        <v>20.050146169354843</v>
      </c>
      <c r="BG103" s="499">
        <v>21.312332211561351</v>
      </c>
      <c r="BI103" s="499">
        <f t="shared" ref="BI103:BJ103" si="180">AS106</f>
        <v>233</v>
      </c>
      <c r="BJ103" s="499">
        <f t="shared" si="180"/>
        <v>2.7296589999999998</v>
      </c>
      <c r="BK103" s="5">
        <f t="shared" si="118"/>
        <v>0</v>
      </c>
      <c r="BL103" s="499">
        <f t="shared" si="119"/>
        <v>20.828133999999999</v>
      </c>
      <c r="BM103" s="499">
        <f t="shared" si="120"/>
        <v>1680.4047880000001</v>
      </c>
      <c r="BO103" s="499">
        <f t="shared" si="121"/>
        <v>233</v>
      </c>
      <c r="BP103" s="499">
        <f t="shared" si="122"/>
        <v>2.7296589999999998</v>
      </c>
      <c r="BQ103" s="5">
        <f t="shared" si="114"/>
        <v>0</v>
      </c>
      <c r="BR103" s="499">
        <f t="shared" si="123"/>
        <v>20.828133999999999</v>
      </c>
      <c r="BS103" s="499">
        <f t="shared" si="124"/>
        <v>1680.4047880000001</v>
      </c>
      <c r="BU103" s="499">
        <f t="shared" si="125"/>
        <v>233</v>
      </c>
      <c r="BV103" s="499">
        <f t="shared" si="126"/>
        <v>2.7296589999999998</v>
      </c>
      <c r="BW103" s="5">
        <f t="shared" si="115"/>
        <v>0</v>
      </c>
      <c r="BX103" s="499">
        <f t="shared" si="127"/>
        <v>20.828133999999999</v>
      </c>
      <c r="BY103" s="499">
        <f t="shared" si="128"/>
        <v>1680.4047880000001</v>
      </c>
      <c r="CA103">
        <v>233</v>
      </c>
      <c r="CB103">
        <v>2.7296589999999998</v>
      </c>
      <c r="CC103">
        <v>0</v>
      </c>
      <c r="CD103">
        <v>20.828133999999999</v>
      </c>
      <c r="CE103">
        <v>1680.4047880000001</v>
      </c>
      <c r="CG103" s="499">
        <f t="shared" si="129"/>
        <v>0</v>
      </c>
      <c r="CH103" s="499">
        <f t="shared" si="130"/>
        <v>0</v>
      </c>
      <c r="CI103" s="499">
        <f t="shared" si="131"/>
        <v>0</v>
      </c>
      <c r="CJ103" s="499">
        <f t="shared" si="132"/>
        <v>0</v>
      </c>
      <c r="CP103" s="499"/>
      <c r="CQ103" s="65">
        <f t="shared" si="134"/>
        <v>0.97885693111157213</v>
      </c>
      <c r="CR103" s="499">
        <f t="shared" si="135"/>
        <v>0.97885693111157213</v>
      </c>
      <c r="CS103" s="499">
        <f t="shared" si="136"/>
        <v>0.97885693111157213</v>
      </c>
      <c r="CT103" s="38">
        <f t="shared" si="137"/>
        <v>1</v>
      </c>
      <c r="CU103" s="498">
        <f t="shared" si="138"/>
        <v>1</v>
      </c>
    </row>
    <row r="104" spans="1:99">
      <c r="AQ104" s="499"/>
      <c r="AR104" s="228">
        <v>30.770900000000001</v>
      </c>
      <c r="AS104" s="13">
        <v>428</v>
      </c>
      <c r="AT104" s="13">
        <v>2.6797770000000001</v>
      </c>
      <c r="AU104" s="13">
        <f t="shared" si="149"/>
        <v>1</v>
      </c>
      <c r="AV104" s="13">
        <f t="shared" si="140"/>
        <v>30.770900000000001</v>
      </c>
      <c r="AW104" s="13">
        <f t="shared" si="141"/>
        <v>30.770900000000001</v>
      </c>
      <c r="AX104" s="13">
        <f t="shared" si="142"/>
        <v>30.770900000000001</v>
      </c>
      <c r="AY104" s="13">
        <v>1095.4229029999999</v>
      </c>
      <c r="AZ104" s="13">
        <f t="shared" si="143"/>
        <v>0</v>
      </c>
      <c r="BA104" s="13">
        <f t="shared" si="144"/>
        <v>0</v>
      </c>
      <c r="BB104" s="97">
        <f t="shared" si="145"/>
        <v>0</v>
      </c>
      <c r="BC104" s="499"/>
      <c r="BD104" s="499">
        <v>93.15</v>
      </c>
      <c r="BE104" s="499">
        <v>23.186716330645154</v>
      </c>
      <c r="BF104" s="499">
        <v>20.003833669354837</v>
      </c>
      <c r="BG104" s="499">
        <v>21.222578005961548</v>
      </c>
      <c r="BI104" s="499">
        <f t="shared" ref="BI104:BJ104" si="181">AS107</f>
        <v>122</v>
      </c>
      <c r="BJ104" s="499">
        <f t="shared" si="181"/>
        <v>2.731144</v>
      </c>
      <c r="BK104" s="5">
        <f t="shared" si="118"/>
        <v>0</v>
      </c>
      <c r="BL104" s="499">
        <f t="shared" si="119"/>
        <v>22.480862999999999</v>
      </c>
      <c r="BM104" s="499">
        <f t="shared" si="120"/>
        <v>998.89066800000001</v>
      </c>
      <c r="BO104" s="499">
        <f t="shared" si="121"/>
        <v>122</v>
      </c>
      <c r="BP104" s="499">
        <f t="shared" si="122"/>
        <v>2.731144</v>
      </c>
      <c r="BQ104" s="5">
        <f t="shared" si="114"/>
        <v>0</v>
      </c>
      <c r="BR104" s="499">
        <f t="shared" si="123"/>
        <v>22.480862999999999</v>
      </c>
      <c r="BS104" s="499">
        <f t="shared" si="124"/>
        <v>998.89066800000001</v>
      </c>
      <c r="BU104" s="499">
        <f t="shared" si="125"/>
        <v>122</v>
      </c>
      <c r="BV104" s="499">
        <f t="shared" si="126"/>
        <v>2.731144</v>
      </c>
      <c r="BW104" s="5">
        <f t="shared" si="115"/>
        <v>0</v>
      </c>
      <c r="BX104" s="499">
        <f t="shared" si="127"/>
        <v>22.480862999999999</v>
      </c>
      <c r="BY104" s="499">
        <f t="shared" si="128"/>
        <v>998.89066800000001</v>
      </c>
      <c r="CA104">
        <v>122</v>
      </c>
      <c r="CB104">
        <v>2.731144</v>
      </c>
      <c r="CC104">
        <v>0</v>
      </c>
      <c r="CD104">
        <v>22.480862999999999</v>
      </c>
      <c r="CE104">
        <v>998.89066800000001</v>
      </c>
      <c r="CG104" s="499">
        <f t="shared" si="129"/>
        <v>0</v>
      </c>
      <c r="CH104" s="499">
        <f t="shared" si="130"/>
        <v>0</v>
      </c>
      <c r="CI104" s="499">
        <f t="shared" si="131"/>
        <v>0</v>
      </c>
      <c r="CJ104" s="499">
        <f t="shared" si="132"/>
        <v>0</v>
      </c>
      <c r="CP104" s="499"/>
      <c r="CQ104" s="65">
        <f t="shared" si="134"/>
        <v>0.97797171727797894</v>
      </c>
      <c r="CR104" s="499">
        <f t="shared" si="135"/>
        <v>0.97797171727797894</v>
      </c>
      <c r="CS104" s="499">
        <f t="shared" si="136"/>
        <v>0.97797171727797894</v>
      </c>
      <c r="CT104" s="38">
        <f t="shared" si="137"/>
        <v>1</v>
      </c>
      <c r="CU104" s="498">
        <f t="shared" si="138"/>
        <v>1</v>
      </c>
    </row>
    <row r="105" spans="1:99">
      <c r="AQ105" s="499"/>
      <c r="AR105" s="228">
        <v>17.974986999999999</v>
      </c>
      <c r="AS105" s="13">
        <v>389</v>
      </c>
      <c r="AT105" s="13">
        <v>2.7216230000000001</v>
      </c>
      <c r="AU105" s="13">
        <f t="shared" si="149"/>
        <v>0</v>
      </c>
      <c r="AV105" s="13">
        <f t="shared" si="140"/>
        <v>17.974986999999999</v>
      </c>
      <c r="AW105" s="13">
        <f t="shared" si="141"/>
        <v>17.974986999999999</v>
      </c>
      <c r="AX105" s="13">
        <f t="shared" si="142"/>
        <v>17.974986999999999</v>
      </c>
      <c r="AY105" s="13">
        <v>1001.739689</v>
      </c>
      <c r="AZ105" s="13">
        <f t="shared" si="143"/>
        <v>0</v>
      </c>
      <c r="BA105" s="13">
        <f t="shared" si="144"/>
        <v>0</v>
      </c>
      <c r="BB105" s="97">
        <f t="shared" si="145"/>
        <v>0</v>
      </c>
      <c r="BC105" s="499"/>
      <c r="BD105" s="499">
        <v>92.95</v>
      </c>
      <c r="BE105" s="499">
        <v>23.247599596774187</v>
      </c>
      <c r="BF105" s="499">
        <v>19.97368225806451</v>
      </c>
      <c r="BG105" s="499">
        <v>21.143634338003665</v>
      </c>
      <c r="BI105" s="499">
        <f t="shared" ref="BI105:BJ105" si="182">AS108</f>
        <v>307</v>
      </c>
      <c r="BJ105" s="499">
        <f t="shared" si="182"/>
        <v>2.7423709999999999</v>
      </c>
      <c r="BK105" s="5">
        <f t="shared" si="118"/>
        <v>0</v>
      </c>
      <c r="BL105" s="499">
        <f t="shared" si="119"/>
        <v>18.001528</v>
      </c>
      <c r="BM105" s="499">
        <f t="shared" si="120"/>
        <v>562.04332299999999</v>
      </c>
      <c r="BO105" s="499">
        <f t="shared" si="121"/>
        <v>307</v>
      </c>
      <c r="BP105" s="499">
        <f t="shared" si="122"/>
        <v>2.7423709999999999</v>
      </c>
      <c r="BQ105" s="5">
        <f t="shared" si="114"/>
        <v>0</v>
      </c>
      <c r="BR105" s="499">
        <f t="shared" si="123"/>
        <v>18.001528</v>
      </c>
      <c r="BS105" s="499">
        <f t="shared" si="124"/>
        <v>562.04332299999999</v>
      </c>
      <c r="BU105" s="499">
        <f t="shared" si="125"/>
        <v>307</v>
      </c>
      <c r="BV105" s="499">
        <f t="shared" si="126"/>
        <v>2.7423709999999999</v>
      </c>
      <c r="BW105" s="5">
        <f t="shared" si="115"/>
        <v>0</v>
      </c>
      <c r="BX105" s="499">
        <f t="shared" si="127"/>
        <v>18.001528</v>
      </c>
      <c r="BY105" s="499">
        <f t="shared" si="128"/>
        <v>562.04332299999999</v>
      </c>
      <c r="CA105">
        <v>307</v>
      </c>
      <c r="CB105">
        <v>2.7423709999999999</v>
      </c>
      <c r="CC105">
        <v>0</v>
      </c>
      <c r="CD105">
        <v>18.001528</v>
      </c>
      <c r="CE105">
        <v>562.04332299999999</v>
      </c>
      <c r="CG105" s="499">
        <f t="shared" si="129"/>
        <v>0</v>
      </c>
      <c r="CH105" s="499">
        <f t="shared" si="130"/>
        <v>0</v>
      </c>
      <c r="CI105" s="499">
        <f t="shared" si="131"/>
        <v>0</v>
      </c>
      <c r="CJ105" s="499">
        <f t="shared" si="132"/>
        <v>0</v>
      </c>
      <c r="CP105" s="499"/>
      <c r="CQ105" s="65">
        <f t="shared" si="134"/>
        <v>0.95570324537876172</v>
      </c>
      <c r="CR105" s="499">
        <f t="shared" si="135"/>
        <v>0.95570324537876172</v>
      </c>
      <c r="CS105" s="499">
        <f t="shared" si="136"/>
        <v>0.95570324537876172</v>
      </c>
      <c r="CT105" s="38">
        <f t="shared" si="137"/>
        <v>1</v>
      </c>
      <c r="CU105" s="498">
        <f t="shared" si="138"/>
        <v>1</v>
      </c>
    </row>
    <row r="106" spans="1:99">
      <c r="AQ106" s="499"/>
      <c r="AR106" s="228">
        <v>20.828133999999999</v>
      </c>
      <c r="AS106" s="13">
        <v>233</v>
      </c>
      <c r="AT106" s="13">
        <v>2.7296589999999998</v>
      </c>
      <c r="AU106" s="13">
        <f t="shared" si="149"/>
        <v>0</v>
      </c>
      <c r="AV106" s="13">
        <f t="shared" si="140"/>
        <v>20.828133999999999</v>
      </c>
      <c r="AW106" s="13">
        <f t="shared" si="141"/>
        <v>20.828133999999999</v>
      </c>
      <c r="AX106" s="13">
        <f t="shared" si="142"/>
        <v>20.828133999999999</v>
      </c>
      <c r="AY106" s="13">
        <v>1680.4047880000001</v>
      </c>
      <c r="AZ106" s="13">
        <f t="shared" si="143"/>
        <v>0</v>
      </c>
      <c r="BA106" s="13">
        <f t="shared" si="144"/>
        <v>0</v>
      </c>
      <c r="BB106" s="97">
        <f t="shared" si="145"/>
        <v>0</v>
      </c>
      <c r="BC106" s="499"/>
      <c r="BD106" s="499">
        <v>92.75</v>
      </c>
      <c r="BE106" s="499">
        <v>23.293633870967742</v>
      </c>
      <c r="BF106" s="499">
        <v>19.957087298387105</v>
      </c>
      <c r="BG106" s="499">
        <v>21.176935732266486</v>
      </c>
      <c r="BI106" s="499">
        <f t="shared" ref="BI106:BJ106" si="183">AS109</f>
        <v>292</v>
      </c>
      <c r="BJ106" s="499">
        <f t="shared" si="183"/>
        <v>2.7720579999999999</v>
      </c>
      <c r="BK106" s="5">
        <f t="shared" si="118"/>
        <v>0</v>
      </c>
      <c r="BL106" s="499">
        <f t="shared" si="119"/>
        <v>19.372482000000002</v>
      </c>
      <c r="BM106" s="499">
        <f t="shared" si="120"/>
        <v>999.99405899999999</v>
      </c>
      <c r="BO106" s="499">
        <f t="shared" si="121"/>
        <v>292</v>
      </c>
      <c r="BP106" s="499">
        <f t="shared" si="122"/>
        <v>2.7720579999999999</v>
      </c>
      <c r="BQ106" s="5">
        <f t="shared" si="114"/>
        <v>0</v>
      </c>
      <c r="BR106" s="499">
        <f t="shared" si="123"/>
        <v>19.372482000000002</v>
      </c>
      <c r="BS106" s="499">
        <f t="shared" si="124"/>
        <v>999.99405899999999</v>
      </c>
      <c r="BU106" s="499">
        <f t="shared" si="125"/>
        <v>292</v>
      </c>
      <c r="BV106" s="499">
        <f t="shared" si="126"/>
        <v>2.7720579999999999</v>
      </c>
      <c r="BW106" s="5">
        <f t="shared" si="115"/>
        <v>0</v>
      </c>
      <c r="BX106" s="499">
        <f t="shared" si="127"/>
        <v>19.372482000000002</v>
      </c>
      <c r="BY106" s="499">
        <f t="shared" si="128"/>
        <v>999.99405899999999</v>
      </c>
      <c r="CA106">
        <v>292</v>
      </c>
      <c r="CB106">
        <v>2.7720579999999999</v>
      </c>
      <c r="CC106">
        <v>0</v>
      </c>
      <c r="CD106">
        <v>19.372482000000002</v>
      </c>
      <c r="CE106">
        <v>999.99405899999999</v>
      </c>
      <c r="CG106" s="499">
        <f t="shared" si="129"/>
        <v>0</v>
      </c>
      <c r="CH106" s="499">
        <f t="shared" si="130"/>
        <v>0</v>
      </c>
      <c r="CI106" s="499">
        <f t="shared" si="131"/>
        <v>0</v>
      </c>
      <c r="CJ106" s="499">
        <f t="shared" si="132"/>
        <v>0</v>
      </c>
      <c r="CP106" s="499"/>
      <c r="CQ106" s="65">
        <f t="shared" si="134"/>
        <v>0.97885676493439822</v>
      </c>
      <c r="CR106" s="499">
        <f t="shared" si="135"/>
        <v>0.97885676493439822</v>
      </c>
      <c r="CS106" s="499">
        <f t="shared" si="136"/>
        <v>0.97885676493439822</v>
      </c>
      <c r="CT106" s="38">
        <f t="shared" si="137"/>
        <v>1</v>
      </c>
      <c r="CU106" s="498">
        <f t="shared" si="138"/>
        <v>1</v>
      </c>
    </row>
    <row r="107" spans="1:99">
      <c r="AQ107" s="499"/>
      <c r="AR107" s="228">
        <v>22.480862999999999</v>
      </c>
      <c r="AS107" s="13">
        <v>122</v>
      </c>
      <c r="AT107" s="13">
        <v>2.731144</v>
      </c>
      <c r="AU107" s="13">
        <f t="shared" si="149"/>
        <v>0</v>
      </c>
      <c r="AV107" s="13">
        <f t="shared" si="140"/>
        <v>22.480862999999999</v>
      </c>
      <c r="AW107" s="13">
        <f t="shared" si="141"/>
        <v>22.480862999999999</v>
      </c>
      <c r="AX107" s="13">
        <f t="shared" si="142"/>
        <v>22.480862999999999</v>
      </c>
      <c r="AY107" s="13">
        <v>998.89066800000001</v>
      </c>
      <c r="AZ107" s="13">
        <f t="shared" si="143"/>
        <v>0</v>
      </c>
      <c r="BA107" s="13">
        <f t="shared" si="144"/>
        <v>0</v>
      </c>
      <c r="BB107" s="97">
        <f t="shared" si="145"/>
        <v>0</v>
      </c>
      <c r="BC107" s="499"/>
      <c r="BD107" s="499">
        <v>92.55</v>
      </c>
      <c r="BE107" s="499">
        <v>23.324833467741929</v>
      </c>
      <c r="BF107" s="499">
        <v>19.970684677419356</v>
      </c>
      <c r="BG107" s="499">
        <v>21.22181633045787</v>
      </c>
      <c r="BI107" s="499">
        <f t="shared" ref="BI107:BJ107" si="184">AS110</f>
        <v>227</v>
      </c>
      <c r="BJ107" s="499">
        <f t="shared" si="184"/>
        <v>2.7769520000000001</v>
      </c>
      <c r="BK107" s="5">
        <f t="shared" si="118"/>
        <v>0</v>
      </c>
      <c r="BL107" s="499">
        <f t="shared" si="119"/>
        <v>19.155049000000002</v>
      </c>
      <c r="BM107" s="499">
        <f t="shared" si="120"/>
        <v>1001.461334</v>
      </c>
      <c r="BO107" s="499">
        <f t="shared" si="121"/>
        <v>227</v>
      </c>
      <c r="BP107" s="499">
        <f t="shared" si="122"/>
        <v>2.7769520000000001</v>
      </c>
      <c r="BQ107" s="5">
        <f t="shared" si="114"/>
        <v>0</v>
      </c>
      <c r="BR107" s="499">
        <f t="shared" si="123"/>
        <v>19.155049000000002</v>
      </c>
      <c r="BS107" s="499">
        <f t="shared" si="124"/>
        <v>1001.461334</v>
      </c>
      <c r="BU107" s="499">
        <f t="shared" si="125"/>
        <v>227</v>
      </c>
      <c r="BV107" s="499">
        <f t="shared" si="126"/>
        <v>2.7769520000000001</v>
      </c>
      <c r="BW107" s="5">
        <f t="shared" si="115"/>
        <v>0</v>
      </c>
      <c r="BX107" s="499">
        <f t="shared" si="127"/>
        <v>19.155049000000002</v>
      </c>
      <c r="BY107" s="499">
        <f t="shared" si="128"/>
        <v>1001.461334</v>
      </c>
      <c r="CA107">
        <v>227</v>
      </c>
      <c r="CB107">
        <v>2.7769520000000001</v>
      </c>
      <c r="CC107">
        <v>0</v>
      </c>
      <c r="CD107">
        <v>19.155049000000002</v>
      </c>
      <c r="CE107">
        <v>1001.461334</v>
      </c>
      <c r="CG107" s="499">
        <f t="shared" si="129"/>
        <v>0</v>
      </c>
      <c r="CH107" s="499">
        <f t="shared" si="130"/>
        <v>0</v>
      </c>
      <c r="CI107" s="499">
        <f t="shared" si="131"/>
        <v>0</v>
      </c>
      <c r="CJ107" s="499">
        <f t="shared" si="132"/>
        <v>0</v>
      </c>
      <c r="CP107" s="499"/>
      <c r="CQ107" s="65">
        <f t="shared" si="134"/>
        <v>0.97881069959940636</v>
      </c>
      <c r="CR107" s="499">
        <f t="shared" si="135"/>
        <v>0.97881069959940636</v>
      </c>
      <c r="CS107" s="499">
        <f t="shared" si="136"/>
        <v>0.97881069959940636</v>
      </c>
      <c r="CT107" s="38">
        <f t="shared" si="137"/>
        <v>1</v>
      </c>
      <c r="CU107" s="498">
        <f t="shared" si="138"/>
        <v>1</v>
      </c>
    </row>
    <row r="108" spans="1:99">
      <c r="AQ108" s="499"/>
      <c r="AR108" s="228">
        <v>18.001528</v>
      </c>
      <c r="AS108" s="13">
        <v>307</v>
      </c>
      <c r="AT108" s="13">
        <v>2.7423709999999999</v>
      </c>
      <c r="AU108" s="13">
        <f t="shared" si="149"/>
        <v>0</v>
      </c>
      <c r="AV108" s="13">
        <f t="shared" si="140"/>
        <v>18.001528</v>
      </c>
      <c r="AW108" s="13">
        <f t="shared" si="141"/>
        <v>18.001528</v>
      </c>
      <c r="AX108" s="13">
        <f t="shared" si="142"/>
        <v>18.001528</v>
      </c>
      <c r="AY108" s="13">
        <v>562.04332299999999</v>
      </c>
      <c r="AZ108" s="13">
        <f t="shared" si="143"/>
        <v>0</v>
      </c>
      <c r="BA108" s="13">
        <f t="shared" si="144"/>
        <v>0</v>
      </c>
      <c r="BB108" s="97">
        <f t="shared" si="145"/>
        <v>0</v>
      </c>
      <c r="BC108" s="499"/>
      <c r="BD108" s="499">
        <v>92.35</v>
      </c>
      <c r="BE108" s="499">
        <v>23.355623588709683</v>
      </c>
      <c r="BF108" s="499">
        <v>19.981097983870963</v>
      </c>
      <c r="BG108" s="499">
        <v>21.223425170059528</v>
      </c>
      <c r="BI108" s="499">
        <f t="shared" ref="BI108:BJ108" si="185">AS111</f>
        <v>388</v>
      </c>
      <c r="BJ108" s="499">
        <f t="shared" si="185"/>
        <v>2.777399</v>
      </c>
      <c r="BK108" s="5">
        <f t="shared" si="118"/>
        <v>0</v>
      </c>
      <c r="BL108" s="499">
        <f t="shared" si="119"/>
        <v>18.755400000000002</v>
      </c>
      <c r="BM108" s="499">
        <f t="shared" si="120"/>
        <v>1000.238369</v>
      </c>
      <c r="BO108" s="499">
        <f t="shared" si="121"/>
        <v>388</v>
      </c>
      <c r="BP108" s="499">
        <f t="shared" si="122"/>
        <v>2.777399</v>
      </c>
      <c r="BQ108" s="5">
        <f t="shared" si="114"/>
        <v>0</v>
      </c>
      <c r="BR108" s="499">
        <f t="shared" si="123"/>
        <v>18.755400000000002</v>
      </c>
      <c r="BS108" s="499">
        <f t="shared" si="124"/>
        <v>1000.238369</v>
      </c>
      <c r="BU108" s="499">
        <f t="shared" si="125"/>
        <v>388</v>
      </c>
      <c r="BV108" s="499">
        <f t="shared" si="126"/>
        <v>2.777399</v>
      </c>
      <c r="BW108" s="5">
        <f t="shared" si="115"/>
        <v>0</v>
      </c>
      <c r="BX108" s="499">
        <f t="shared" si="127"/>
        <v>18.755400000000002</v>
      </c>
      <c r="BY108" s="499">
        <f t="shared" si="128"/>
        <v>1000.238369</v>
      </c>
      <c r="CA108">
        <v>388</v>
      </c>
      <c r="CB108">
        <v>2.777399</v>
      </c>
      <c r="CC108">
        <v>0</v>
      </c>
      <c r="CD108">
        <v>18.755400000000002</v>
      </c>
      <c r="CE108">
        <v>1000.238369</v>
      </c>
      <c r="CG108" s="499">
        <f t="shared" si="129"/>
        <v>0</v>
      </c>
      <c r="CH108" s="499">
        <f t="shared" si="130"/>
        <v>0</v>
      </c>
      <c r="CI108" s="499">
        <f t="shared" si="131"/>
        <v>0</v>
      </c>
      <c r="CJ108" s="499">
        <f t="shared" si="132"/>
        <v>0</v>
      </c>
      <c r="CP108" s="499"/>
      <c r="CQ108" s="65">
        <f t="shared" si="134"/>
        <v>0.97882799362275219</v>
      </c>
      <c r="CR108" s="499">
        <f t="shared" si="135"/>
        <v>0.97882799362275219</v>
      </c>
      <c r="CS108" s="499">
        <f t="shared" si="136"/>
        <v>0.97882799362275219</v>
      </c>
      <c r="CT108" s="38">
        <f t="shared" si="137"/>
        <v>1</v>
      </c>
      <c r="CU108" s="498">
        <f t="shared" si="138"/>
        <v>1</v>
      </c>
    </row>
    <row r="109" spans="1:99">
      <c r="AQ109" s="499"/>
      <c r="AR109" s="228">
        <v>19.372482000000002</v>
      </c>
      <c r="AS109" s="13">
        <v>292</v>
      </c>
      <c r="AT109" s="13">
        <v>2.7720579999999999</v>
      </c>
      <c r="AU109" s="13">
        <f t="shared" si="149"/>
        <v>0</v>
      </c>
      <c r="AV109" s="13">
        <f t="shared" si="140"/>
        <v>19.372482000000002</v>
      </c>
      <c r="AW109" s="13">
        <f t="shared" si="141"/>
        <v>19.372482000000002</v>
      </c>
      <c r="AX109" s="13">
        <f t="shared" si="142"/>
        <v>19.372482000000002</v>
      </c>
      <c r="AY109" s="13">
        <v>999.99405899999999</v>
      </c>
      <c r="AZ109" s="13">
        <f t="shared" si="143"/>
        <v>0</v>
      </c>
      <c r="BA109" s="13">
        <f t="shared" si="144"/>
        <v>0</v>
      </c>
      <c r="BB109" s="97">
        <f t="shared" si="145"/>
        <v>0</v>
      </c>
      <c r="BC109" s="499"/>
      <c r="BD109" s="499">
        <v>92.15</v>
      </c>
      <c r="BE109" s="499">
        <v>23.265303225806456</v>
      </c>
      <c r="BF109" s="499">
        <v>19.908608064516127</v>
      </c>
      <c r="BG109" s="499">
        <v>21.146482008315019</v>
      </c>
      <c r="BI109" s="499">
        <f t="shared" ref="BI109:BJ109" si="186">AS112</f>
        <v>485</v>
      </c>
      <c r="BJ109" s="499">
        <f t="shared" si="186"/>
        <v>2.7964470000000001</v>
      </c>
      <c r="BK109" s="5">
        <f t="shared" si="118"/>
        <v>0</v>
      </c>
      <c r="BL109" s="499">
        <f t="shared" si="119"/>
        <v>19.896159999999998</v>
      </c>
      <c r="BM109" s="499">
        <f t="shared" si="120"/>
        <v>1277.2402480000001</v>
      </c>
      <c r="BO109" s="499">
        <f t="shared" si="121"/>
        <v>485</v>
      </c>
      <c r="BP109" s="499">
        <f t="shared" si="122"/>
        <v>2.7964470000000001</v>
      </c>
      <c r="BQ109" s="5">
        <f t="shared" si="114"/>
        <v>0</v>
      </c>
      <c r="BR109" s="499">
        <f t="shared" si="123"/>
        <v>19.896159999999998</v>
      </c>
      <c r="BS109" s="499">
        <f t="shared" si="124"/>
        <v>1277.2402480000001</v>
      </c>
      <c r="BU109" s="499">
        <f t="shared" si="125"/>
        <v>485</v>
      </c>
      <c r="BV109" s="499">
        <f t="shared" si="126"/>
        <v>2.7964470000000001</v>
      </c>
      <c r="BW109" s="5">
        <f t="shared" si="115"/>
        <v>0</v>
      </c>
      <c r="BX109" s="499">
        <f t="shared" si="127"/>
        <v>19.896159999999998</v>
      </c>
      <c r="BY109" s="499">
        <f t="shared" si="128"/>
        <v>1277.2402480000001</v>
      </c>
      <c r="CA109">
        <v>485</v>
      </c>
      <c r="CB109">
        <v>2.7964470000000001</v>
      </c>
      <c r="CC109">
        <v>0</v>
      </c>
      <c r="CD109">
        <v>19.896159999999998</v>
      </c>
      <c r="CE109">
        <v>1277.2402480000001</v>
      </c>
      <c r="CG109" s="499">
        <f t="shared" si="129"/>
        <v>0</v>
      </c>
      <c r="CH109" s="499">
        <f t="shared" si="130"/>
        <v>0</v>
      </c>
      <c r="CI109" s="499">
        <f t="shared" si="131"/>
        <v>0</v>
      </c>
      <c r="CJ109" s="499">
        <f t="shared" si="132"/>
        <v>0</v>
      </c>
      <c r="CP109" s="499"/>
      <c r="CQ109" s="65">
        <f t="shared" si="134"/>
        <v>0.97884553262856699</v>
      </c>
      <c r="CR109" s="499">
        <f t="shared" si="135"/>
        <v>0.97884553262856699</v>
      </c>
      <c r="CS109" s="499">
        <f t="shared" si="136"/>
        <v>0.97884553262856699</v>
      </c>
      <c r="CT109" s="38">
        <f t="shared" si="137"/>
        <v>1</v>
      </c>
      <c r="CU109" s="498">
        <f t="shared" si="138"/>
        <v>1</v>
      </c>
    </row>
    <row r="110" spans="1:99">
      <c r="AQ110" s="499"/>
      <c r="AR110" s="228">
        <v>19.155049000000002</v>
      </c>
      <c r="AS110" s="13">
        <v>227</v>
      </c>
      <c r="AT110" s="13">
        <v>2.7769520000000001</v>
      </c>
      <c r="AU110" s="13">
        <f t="shared" si="149"/>
        <v>0</v>
      </c>
      <c r="AV110" s="13">
        <f t="shared" si="140"/>
        <v>19.155049000000002</v>
      </c>
      <c r="AW110" s="13">
        <f t="shared" si="141"/>
        <v>19.155049000000002</v>
      </c>
      <c r="AX110" s="13">
        <f t="shared" si="142"/>
        <v>19.155049000000002</v>
      </c>
      <c r="AY110" s="13">
        <v>1001.461334</v>
      </c>
      <c r="AZ110" s="13">
        <f t="shared" si="143"/>
        <v>0</v>
      </c>
      <c r="BA110" s="13">
        <f t="shared" si="144"/>
        <v>0</v>
      </c>
      <c r="BB110" s="97">
        <f t="shared" si="145"/>
        <v>0</v>
      </c>
      <c r="BC110" s="499"/>
      <c r="BD110" s="499">
        <v>91.95</v>
      </c>
      <c r="BE110" s="499">
        <v>23.293078427419356</v>
      </c>
      <c r="BF110" s="499">
        <v>19.910824193548386</v>
      </c>
      <c r="BG110" s="499">
        <v>21.120136168956044</v>
      </c>
      <c r="BI110" s="499">
        <f t="shared" ref="BI110:BJ110" si="187">AS113</f>
        <v>408</v>
      </c>
      <c r="BJ110" s="499">
        <f t="shared" si="187"/>
        <v>2.798924</v>
      </c>
      <c r="BK110" s="5">
        <f t="shared" si="118"/>
        <v>0</v>
      </c>
      <c r="BL110" s="499">
        <f t="shared" si="119"/>
        <v>21.126752</v>
      </c>
      <c r="BM110" s="499">
        <f t="shared" si="120"/>
        <v>999.42886799999997</v>
      </c>
      <c r="BO110" s="499">
        <f t="shared" si="121"/>
        <v>408</v>
      </c>
      <c r="BP110" s="499">
        <f t="shared" si="122"/>
        <v>2.798924</v>
      </c>
      <c r="BQ110" s="5">
        <f t="shared" si="114"/>
        <v>0</v>
      </c>
      <c r="BR110" s="499">
        <f t="shared" si="123"/>
        <v>21.126752</v>
      </c>
      <c r="BS110" s="499">
        <f t="shared" si="124"/>
        <v>999.42886799999997</v>
      </c>
      <c r="BU110" s="499">
        <f t="shared" si="125"/>
        <v>408</v>
      </c>
      <c r="BV110" s="499">
        <f t="shared" si="126"/>
        <v>2.798924</v>
      </c>
      <c r="BW110" s="5">
        <f t="shared" si="115"/>
        <v>0</v>
      </c>
      <c r="BX110" s="499">
        <f t="shared" si="127"/>
        <v>21.126752</v>
      </c>
      <c r="BY110" s="499">
        <f t="shared" si="128"/>
        <v>999.42886799999997</v>
      </c>
      <c r="CA110">
        <v>408</v>
      </c>
      <c r="CB110">
        <v>2.798924</v>
      </c>
      <c r="CC110">
        <v>0</v>
      </c>
      <c r="CD110">
        <v>21.126752</v>
      </c>
      <c r="CE110">
        <v>999.42886799999997</v>
      </c>
      <c r="CG110" s="499">
        <f t="shared" si="129"/>
        <v>0</v>
      </c>
      <c r="CH110" s="499">
        <f t="shared" si="130"/>
        <v>0</v>
      </c>
      <c r="CI110" s="499">
        <f t="shared" si="131"/>
        <v>0</v>
      </c>
      <c r="CJ110" s="499">
        <f t="shared" si="132"/>
        <v>0</v>
      </c>
      <c r="CP110" s="499"/>
      <c r="CQ110" s="65">
        <f t="shared" si="134"/>
        <v>0.97872046314127781</v>
      </c>
      <c r="CR110" s="499">
        <f t="shared" si="135"/>
        <v>0.97872046314127781</v>
      </c>
      <c r="CS110" s="499">
        <f t="shared" si="136"/>
        <v>0.97872046314127781</v>
      </c>
      <c r="CT110" s="38">
        <f t="shared" si="137"/>
        <v>1</v>
      </c>
      <c r="CU110" s="498">
        <f t="shared" si="138"/>
        <v>1</v>
      </c>
    </row>
    <row r="111" spans="1:99">
      <c r="AQ111" s="499"/>
      <c r="AR111" s="228">
        <v>18.755400000000002</v>
      </c>
      <c r="AS111" s="13">
        <v>388</v>
      </c>
      <c r="AT111" s="13">
        <v>2.777399</v>
      </c>
      <c r="AU111" s="13">
        <f t="shared" si="149"/>
        <v>0</v>
      </c>
      <c r="AV111" s="13">
        <f t="shared" si="140"/>
        <v>18.755400000000002</v>
      </c>
      <c r="AW111" s="13">
        <f t="shared" si="141"/>
        <v>18.755400000000002</v>
      </c>
      <c r="AX111" s="13">
        <f t="shared" si="142"/>
        <v>18.755400000000002</v>
      </c>
      <c r="AY111" s="13">
        <v>1000.238369</v>
      </c>
      <c r="AZ111" s="13">
        <f t="shared" si="143"/>
        <v>0</v>
      </c>
      <c r="BA111" s="13">
        <f t="shared" si="144"/>
        <v>0</v>
      </c>
      <c r="BB111" s="97">
        <f t="shared" si="145"/>
        <v>0</v>
      </c>
      <c r="BC111" s="499"/>
      <c r="BD111" s="499">
        <v>91.75</v>
      </c>
      <c r="BE111" s="499">
        <v>23.307661290322585</v>
      </c>
      <c r="BF111" s="499">
        <v>19.886187298387096</v>
      </c>
      <c r="BG111" s="499">
        <v>20.978857928159343</v>
      </c>
      <c r="BI111" s="499">
        <f t="shared" ref="BI111:BJ111" si="188">AS114</f>
        <v>437</v>
      </c>
      <c r="BJ111" s="499">
        <f t="shared" si="188"/>
        <v>2.8</v>
      </c>
      <c r="BK111" s="5">
        <f t="shared" si="118"/>
        <v>1</v>
      </c>
      <c r="BL111" s="499">
        <f t="shared" si="119"/>
        <v>33.969624000000003</v>
      </c>
      <c r="BM111" s="499">
        <f t="shared" si="120"/>
        <v>999.04258900000002</v>
      </c>
      <c r="BO111" s="499">
        <f t="shared" si="121"/>
        <v>437</v>
      </c>
      <c r="BP111" s="499">
        <f t="shared" si="122"/>
        <v>2.8</v>
      </c>
      <c r="BQ111" s="5">
        <f t="shared" si="114"/>
        <v>1</v>
      </c>
      <c r="BR111" s="499">
        <f t="shared" si="123"/>
        <v>33.969624000000003</v>
      </c>
      <c r="BS111" s="499">
        <f t="shared" si="124"/>
        <v>999.04258900000002</v>
      </c>
      <c r="BU111" s="499">
        <f t="shared" si="125"/>
        <v>437</v>
      </c>
      <c r="BV111" s="499">
        <f t="shared" si="126"/>
        <v>2.8</v>
      </c>
      <c r="BW111" s="5">
        <f t="shared" si="115"/>
        <v>1</v>
      </c>
      <c r="BX111" s="499">
        <f t="shared" si="127"/>
        <v>33.969624000000003</v>
      </c>
      <c r="BY111" s="499">
        <f t="shared" si="128"/>
        <v>999.04258900000002</v>
      </c>
      <c r="CA111">
        <v>437</v>
      </c>
      <c r="CB111">
        <v>2.8</v>
      </c>
      <c r="CC111">
        <v>1</v>
      </c>
      <c r="CD111">
        <v>33.969624000000003</v>
      </c>
      <c r="CE111">
        <v>999.04258900000002</v>
      </c>
      <c r="CG111" s="499">
        <f t="shared" si="129"/>
        <v>1</v>
      </c>
      <c r="CH111" s="499">
        <f t="shared" si="130"/>
        <v>1</v>
      </c>
      <c r="CI111" s="499">
        <f t="shared" si="131"/>
        <v>1</v>
      </c>
      <c r="CJ111" s="499">
        <f t="shared" si="132"/>
        <v>1</v>
      </c>
      <c r="CP111" s="499"/>
      <c r="CQ111" s="65">
        <f t="shared" si="134"/>
        <v>0.97725340004844397</v>
      </c>
      <c r="CR111" s="499">
        <f t="shared" si="135"/>
        <v>0.97725340004844397</v>
      </c>
      <c r="CS111" s="499">
        <f t="shared" si="136"/>
        <v>0.97725340004844397</v>
      </c>
      <c r="CT111" s="38">
        <f t="shared" si="137"/>
        <v>1</v>
      </c>
      <c r="CU111" s="498">
        <f t="shared" si="138"/>
        <v>1</v>
      </c>
    </row>
    <row r="112" spans="1:99">
      <c r="AQ112" s="499"/>
      <c r="AR112" s="228">
        <v>19.896159999999998</v>
      </c>
      <c r="AS112" s="13">
        <v>485</v>
      </c>
      <c r="AT112" s="13">
        <v>2.7964470000000001</v>
      </c>
      <c r="AU112" s="13">
        <f t="shared" si="149"/>
        <v>0</v>
      </c>
      <c r="AV112" s="13">
        <f t="shared" si="140"/>
        <v>19.896159999999998</v>
      </c>
      <c r="AW112" s="13">
        <f t="shared" si="141"/>
        <v>19.896159999999998</v>
      </c>
      <c r="AX112" s="13">
        <f t="shared" si="142"/>
        <v>19.896159999999998</v>
      </c>
      <c r="AY112" s="13">
        <v>1277.2402480000001</v>
      </c>
      <c r="AZ112" s="13">
        <f t="shared" si="143"/>
        <v>0</v>
      </c>
      <c r="BA112" s="13">
        <f t="shared" si="144"/>
        <v>0</v>
      </c>
      <c r="BB112" s="97">
        <f t="shared" si="145"/>
        <v>0</v>
      </c>
      <c r="BC112" s="499"/>
      <c r="BD112" s="499">
        <v>91.55</v>
      </c>
      <c r="BE112" s="499">
        <v>23.317484072580655</v>
      </c>
      <c r="BF112" s="499">
        <v>19.85611875</v>
      </c>
      <c r="BG112" s="499">
        <v>20.848484988951469</v>
      </c>
      <c r="BI112" s="499">
        <f t="shared" ref="BI112:BJ112" si="189">AS115</f>
        <v>204</v>
      </c>
      <c r="BJ112" s="499">
        <f t="shared" si="189"/>
        <v>2.8</v>
      </c>
      <c r="BK112" s="5">
        <f t="shared" si="118"/>
        <v>1</v>
      </c>
      <c r="BL112" s="499">
        <f t="shared" si="119"/>
        <v>34.643360999999999</v>
      </c>
      <c r="BM112" s="499">
        <f t="shared" si="120"/>
        <v>999.35898099999997</v>
      </c>
      <c r="BO112" s="499">
        <f t="shared" si="121"/>
        <v>204</v>
      </c>
      <c r="BP112" s="499">
        <f t="shared" si="122"/>
        <v>2.8</v>
      </c>
      <c r="BQ112" s="5">
        <f t="shared" si="114"/>
        <v>1</v>
      </c>
      <c r="BR112" s="499">
        <f t="shared" si="123"/>
        <v>34.643360999999999</v>
      </c>
      <c r="BS112" s="499">
        <f t="shared" si="124"/>
        <v>999.35898099999997</v>
      </c>
      <c r="BU112" s="499">
        <f t="shared" si="125"/>
        <v>204</v>
      </c>
      <c r="BV112" s="499">
        <f t="shared" si="126"/>
        <v>2.8</v>
      </c>
      <c r="BW112" s="5">
        <f t="shared" si="115"/>
        <v>1</v>
      </c>
      <c r="BX112" s="499">
        <f t="shared" si="127"/>
        <v>34.643360999999999</v>
      </c>
      <c r="BY112" s="499">
        <f t="shared" si="128"/>
        <v>999.35898099999997</v>
      </c>
      <c r="CA112">
        <v>204</v>
      </c>
      <c r="CB112">
        <v>2.8</v>
      </c>
      <c r="CC112">
        <v>1</v>
      </c>
      <c r="CD112">
        <v>34.643360999999999</v>
      </c>
      <c r="CE112">
        <v>999.35898099999997</v>
      </c>
      <c r="CG112" s="499">
        <f t="shared" si="129"/>
        <v>1</v>
      </c>
      <c r="CH112" s="499">
        <f t="shared" si="130"/>
        <v>1</v>
      </c>
      <c r="CI112" s="499">
        <f t="shared" si="131"/>
        <v>1</v>
      </c>
      <c r="CJ112" s="499">
        <f t="shared" si="132"/>
        <v>1</v>
      </c>
      <c r="CP112" s="499"/>
      <c r="CQ112" s="65">
        <f t="shared" si="134"/>
        <v>4.9292922945707466E-9</v>
      </c>
      <c r="CR112" s="499">
        <f t="shared" si="135"/>
        <v>4.9292922945707466E-9</v>
      </c>
      <c r="CS112" s="499">
        <f t="shared" si="136"/>
        <v>4.9292922945707466E-9</v>
      </c>
      <c r="CT112" s="38">
        <f t="shared" si="137"/>
        <v>1</v>
      </c>
      <c r="CU112" s="498">
        <f t="shared" si="138"/>
        <v>1</v>
      </c>
    </row>
    <row r="113" spans="43:99">
      <c r="AQ113" s="499"/>
      <c r="AR113" s="228">
        <v>21.126752</v>
      </c>
      <c r="AS113" s="13">
        <v>408</v>
      </c>
      <c r="AT113" s="13">
        <v>2.798924</v>
      </c>
      <c r="AU113" s="13">
        <f t="shared" si="149"/>
        <v>0</v>
      </c>
      <c r="AV113" s="13">
        <f t="shared" si="140"/>
        <v>21.126752</v>
      </c>
      <c r="AW113" s="13">
        <f t="shared" si="141"/>
        <v>21.126752</v>
      </c>
      <c r="AX113" s="13">
        <f t="shared" si="142"/>
        <v>21.126752</v>
      </c>
      <c r="AY113" s="13">
        <v>999.42886799999997</v>
      </c>
      <c r="AZ113" s="13">
        <f t="shared" si="143"/>
        <v>0</v>
      </c>
      <c r="BA113" s="13">
        <f t="shared" si="144"/>
        <v>0</v>
      </c>
      <c r="BB113" s="97">
        <f t="shared" si="145"/>
        <v>0</v>
      </c>
      <c r="BC113" s="499"/>
      <c r="BD113" s="499">
        <v>91.35</v>
      </c>
      <c r="BE113" s="499">
        <v>23.34318447580646</v>
      </c>
      <c r="BF113" s="499">
        <v>19.824943346774184</v>
      </c>
      <c r="BG113" s="499">
        <v>20.740852701204211</v>
      </c>
      <c r="BI113" s="499">
        <f t="shared" ref="BI113:BJ113" si="190">AS116</f>
        <v>300</v>
      </c>
      <c r="BJ113" s="499">
        <f t="shared" si="190"/>
        <v>2.8</v>
      </c>
      <c r="BK113" s="5">
        <f t="shared" si="118"/>
        <v>1</v>
      </c>
      <c r="BL113" s="499">
        <f t="shared" si="119"/>
        <v>34.643360999999999</v>
      </c>
      <c r="BM113" s="499">
        <f t="shared" si="120"/>
        <v>1151.9661610000001</v>
      </c>
      <c r="BO113" s="499">
        <f t="shared" si="121"/>
        <v>300</v>
      </c>
      <c r="BP113" s="499">
        <f t="shared" si="122"/>
        <v>2.8</v>
      </c>
      <c r="BQ113" s="5">
        <f t="shared" si="114"/>
        <v>1</v>
      </c>
      <c r="BR113" s="499">
        <f t="shared" si="123"/>
        <v>34.643360999999999</v>
      </c>
      <c r="BS113" s="499">
        <f t="shared" si="124"/>
        <v>1151.9661610000001</v>
      </c>
      <c r="BU113" s="499">
        <f t="shared" si="125"/>
        <v>300</v>
      </c>
      <c r="BV113" s="499">
        <f t="shared" si="126"/>
        <v>2.8</v>
      </c>
      <c r="BW113" s="5">
        <f t="shared" si="115"/>
        <v>1</v>
      </c>
      <c r="BX113" s="499">
        <f t="shared" si="127"/>
        <v>34.643360999999999</v>
      </c>
      <c r="BY113" s="499">
        <f t="shared" si="128"/>
        <v>1151.9661610000001</v>
      </c>
      <c r="CA113">
        <v>300</v>
      </c>
      <c r="CB113">
        <v>2.8</v>
      </c>
      <c r="CC113">
        <v>1</v>
      </c>
      <c r="CD113">
        <v>34.643360999999999</v>
      </c>
      <c r="CE113">
        <v>1151.9661610000001</v>
      </c>
      <c r="CG113" s="499">
        <f t="shared" si="129"/>
        <v>1</v>
      </c>
      <c r="CH113" s="499">
        <f t="shared" si="130"/>
        <v>1</v>
      </c>
      <c r="CI113" s="499">
        <f t="shared" si="131"/>
        <v>1</v>
      </c>
      <c r="CJ113" s="499">
        <f t="shared" si="132"/>
        <v>1</v>
      </c>
      <c r="CP113" s="499"/>
      <c r="CQ113" s="65">
        <f t="shared" si="134"/>
        <v>1.2924717211254448E-9</v>
      </c>
      <c r="CR113" s="499">
        <f t="shared" si="135"/>
        <v>1.2924717211254448E-9</v>
      </c>
      <c r="CS113" s="499">
        <f t="shared" si="136"/>
        <v>1.2924717211254448E-9</v>
      </c>
      <c r="CT113" s="38">
        <f t="shared" si="137"/>
        <v>1</v>
      </c>
      <c r="CU113" s="498">
        <f t="shared" si="138"/>
        <v>1</v>
      </c>
    </row>
    <row r="114" spans="43:99">
      <c r="AQ114" s="499"/>
      <c r="AR114" s="228">
        <v>33.969624000000003</v>
      </c>
      <c r="AS114" s="13">
        <v>437</v>
      </c>
      <c r="AT114" s="13">
        <v>2.8</v>
      </c>
      <c r="AU114" s="13">
        <f t="shared" si="149"/>
        <v>1</v>
      </c>
      <c r="AV114" s="13">
        <f t="shared" si="140"/>
        <v>33.969624000000003</v>
      </c>
      <c r="AW114" s="13">
        <f t="shared" si="141"/>
        <v>33.969624000000003</v>
      </c>
      <c r="AX114" s="13">
        <f t="shared" si="142"/>
        <v>33.969624000000003</v>
      </c>
      <c r="AY114" s="13">
        <v>999.04258900000002</v>
      </c>
      <c r="AZ114" s="13">
        <f t="shared" si="143"/>
        <v>0</v>
      </c>
      <c r="BA114" s="13">
        <f t="shared" si="144"/>
        <v>0</v>
      </c>
      <c r="BB114" s="97">
        <f t="shared" si="145"/>
        <v>0</v>
      </c>
      <c r="BC114" s="499"/>
      <c r="BD114" s="499">
        <v>91.15</v>
      </c>
      <c r="BE114" s="499">
        <v>23.207362701612904</v>
      </c>
      <c r="BF114" s="499">
        <v>19.799901411290318</v>
      </c>
      <c r="BG114" s="499">
        <v>20.642497273837002</v>
      </c>
      <c r="BI114" s="499">
        <f t="shared" ref="BI114:BJ114" si="191">AS117</f>
        <v>83</v>
      </c>
      <c r="BJ114" s="499">
        <f t="shared" si="191"/>
        <v>2.8172440000000001</v>
      </c>
      <c r="BK114" s="5">
        <f t="shared" si="118"/>
        <v>0</v>
      </c>
      <c r="BL114" s="499">
        <f t="shared" si="119"/>
        <v>22.245564999999999</v>
      </c>
      <c r="BM114" s="499">
        <f t="shared" si="120"/>
        <v>460.59288500000002</v>
      </c>
      <c r="BO114" s="499">
        <f t="shared" si="121"/>
        <v>83</v>
      </c>
      <c r="BP114" s="499">
        <f t="shared" si="122"/>
        <v>2.8172440000000001</v>
      </c>
      <c r="BQ114" s="5">
        <f t="shared" si="114"/>
        <v>0</v>
      </c>
      <c r="BR114" s="499">
        <f t="shared" si="123"/>
        <v>22.245564999999999</v>
      </c>
      <c r="BS114" s="499">
        <f t="shared" si="124"/>
        <v>460.59288500000002</v>
      </c>
      <c r="BU114" s="499">
        <f t="shared" si="125"/>
        <v>83</v>
      </c>
      <c r="BV114" s="499">
        <f t="shared" si="126"/>
        <v>2.8172440000000001</v>
      </c>
      <c r="BW114" s="5">
        <f t="shared" si="115"/>
        <v>0</v>
      </c>
      <c r="BX114" s="499">
        <f t="shared" si="127"/>
        <v>22.245564999999999</v>
      </c>
      <c r="BY114" s="499">
        <f t="shared" si="128"/>
        <v>460.59288500000002</v>
      </c>
      <c r="CA114">
        <v>83</v>
      </c>
      <c r="CB114">
        <v>2.8172440000000001</v>
      </c>
      <c r="CC114">
        <v>0</v>
      </c>
      <c r="CD114">
        <v>22.245564999999999</v>
      </c>
      <c r="CE114">
        <v>460.59288500000002</v>
      </c>
      <c r="CG114" s="499">
        <f t="shared" si="129"/>
        <v>0</v>
      </c>
      <c r="CH114" s="499">
        <f t="shared" si="130"/>
        <v>0</v>
      </c>
      <c r="CI114" s="499">
        <f t="shared" si="131"/>
        <v>0</v>
      </c>
      <c r="CJ114" s="499">
        <f t="shared" si="132"/>
        <v>0</v>
      </c>
      <c r="CP114" s="499"/>
      <c r="CQ114" s="65">
        <f t="shared" si="134"/>
        <v>1.2924717211254448E-9</v>
      </c>
      <c r="CR114" s="499">
        <f t="shared" si="135"/>
        <v>1.2924717211254448E-9</v>
      </c>
      <c r="CS114" s="499">
        <f t="shared" si="136"/>
        <v>1.2924717211254448E-9</v>
      </c>
      <c r="CT114" s="38">
        <f t="shared" si="137"/>
        <v>1</v>
      </c>
      <c r="CU114" s="498">
        <f t="shared" si="138"/>
        <v>1</v>
      </c>
    </row>
    <row r="115" spans="43:99">
      <c r="AQ115" s="499"/>
      <c r="AR115" s="228">
        <v>34.643360999999999</v>
      </c>
      <c r="AS115" s="13">
        <v>204</v>
      </c>
      <c r="AT115" s="13">
        <v>2.8</v>
      </c>
      <c r="AU115" s="13">
        <f t="shared" si="149"/>
        <v>1</v>
      </c>
      <c r="AV115" s="13">
        <f t="shared" si="140"/>
        <v>34.643360999999999</v>
      </c>
      <c r="AW115" s="13">
        <f t="shared" si="141"/>
        <v>34.643360999999999</v>
      </c>
      <c r="AX115" s="13">
        <f t="shared" si="142"/>
        <v>34.643360999999999</v>
      </c>
      <c r="AY115" s="13">
        <v>999.35898099999997</v>
      </c>
      <c r="AZ115" s="13">
        <f t="shared" si="143"/>
        <v>0</v>
      </c>
      <c r="BA115" s="13">
        <f t="shared" si="144"/>
        <v>0</v>
      </c>
      <c r="BB115" s="97">
        <f t="shared" si="145"/>
        <v>0</v>
      </c>
      <c r="BC115" s="499"/>
      <c r="BD115" s="499">
        <v>90.95</v>
      </c>
      <c r="BE115" s="499">
        <v>23.241518548387088</v>
      </c>
      <c r="BF115" s="499">
        <v>19.792959475806452</v>
      </c>
      <c r="BG115" s="499">
        <v>20.629669324166667</v>
      </c>
      <c r="BI115" s="499">
        <f t="shared" ref="BI115:BJ115" si="192">AS118</f>
        <v>4</v>
      </c>
      <c r="BJ115" s="499">
        <f t="shared" si="192"/>
        <v>2.8173430000000002</v>
      </c>
      <c r="BK115" s="5">
        <f t="shared" si="118"/>
        <v>1</v>
      </c>
      <c r="BL115" s="499">
        <f t="shared" si="119"/>
        <v>33.236679000000002</v>
      </c>
      <c r="BM115" s="499">
        <f t="shared" si="120"/>
        <v>1001.280856</v>
      </c>
      <c r="BO115" s="499">
        <f t="shared" si="121"/>
        <v>4</v>
      </c>
      <c r="BP115" s="499">
        <f t="shared" si="122"/>
        <v>2.8173430000000002</v>
      </c>
      <c r="BQ115" s="5">
        <f t="shared" si="114"/>
        <v>1</v>
      </c>
      <c r="BR115" s="499">
        <f t="shared" si="123"/>
        <v>33.236679000000002</v>
      </c>
      <c r="BS115" s="499">
        <f t="shared" si="124"/>
        <v>1001.280856</v>
      </c>
      <c r="BU115" s="499">
        <f t="shared" si="125"/>
        <v>4</v>
      </c>
      <c r="BV115" s="499">
        <f t="shared" si="126"/>
        <v>2.8173430000000002</v>
      </c>
      <c r="BW115" s="5">
        <f t="shared" si="115"/>
        <v>1</v>
      </c>
      <c r="BX115" s="499">
        <f t="shared" si="127"/>
        <v>33.236679000000002</v>
      </c>
      <c r="BY115" s="499">
        <f t="shared" si="128"/>
        <v>1001.280856</v>
      </c>
      <c r="CA115">
        <v>4</v>
      </c>
      <c r="CB115">
        <v>2.8173430000000002</v>
      </c>
      <c r="CC115">
        <v>1</v>
      </c>
      <c r="CD115">
        <v>33.236679000000002</v>
      </c>
      <c r="CE115">
        <v>1001.280856</v>
      </c>
      <c r="CG115" s="499">
        <f t="shared" si="129"/>
        <v>1</v>
      </c>
      <c r="CH115" s="499">
        <f t="shared" si="130"/>
        <v>1</v>
      </c>
      <c r="CI115" s="499">
        <f t="shared" si="131"/>
        <v>1</v>
      </c>
      <c r="CJ115" s="499">
        <f t="shared" si="132"/>
        <v>1</v>
      </c>
      <c r="CP115" s="499"/>
      <c r="CQ115" s="65">
        <f t="shared" si="134"/>
        <v>0.9642215774795676</v>
      </c>
      <c r="CR115" s="499">
        <f t="shared" si="135"/>
        <v>0.9642215774795676</v>
      </c>
      <c r="CS115" s="499">
        <f t="shared" si="136"/>
        <v>0.9642215774795676</v>
      </c>
      <c r="CT115" s="38">
        <f t="shared" si="137"/>
        <v>1</v>
      </c>
      <c r="CU115" s="498">
        <f t="shared" si="138"/>
        <v>1</v>
      </c>
    </row>
    <row r="116" spans="43:99">
      <c r="AQ116" s="499"/>
      <c r="AR116" s="228">
        <v>34.643360999999999</v>
      </c>
      <c r="AS116" s="13">
        <v>300</v>
      </c>
      <c r="AT116" s="13">
        <v>2.8</v>
      </c>
      <c r="AU116" s="13">
        <f t="shared" si="149"/>
        <v>1</v>
      </c>
      <c r="AV116" s="13">
        <f t="shared" si="140"/>
        <v>34.643360999999999</v>
      </c>
      <c r="AW116" s="13">
        <f t="shared" si="141"/>
        <v>34.643360999999999</v>
      </c>
      <c r="AX116" s="13">
        <f t="shared" si="142"/>
        <v>34.643360999999999</v>
      </c>
      <c r="AY116" s="13">
        <v>1151.9661610000001</v>
      </c>
      <c r="AZ116" s="13">
        <f t="shared" si="143"/>
        <v>0</v>
      </c>
      <c r="BA116" s="13">
        <f t="shared" si="144"/>
        <v>0</v>
      </c>
      <c r="BB116" s="97">
        <f t="shared" si="145"/>
        <v>0</v>
      </c>
      <c r="BC116" s="499"/>
      <c r="BD116" s="499">
        <v>90.75</v>
      </c>
      <c r="BE116" s="499">
        <v>23.28994052419355</v>
      </c>
      <c r="BF116" s="499">
        <v>19.775018548387091</v>
      </c>
      <c r="BG116" s="499">
        <v>20.61209737434524</v>
      </c>
      <c r="BI116" s="499">
        <f t="shared" ref="BI116:BJ116" si="193">AS119</f>
        <v>40</v>
      </c>
      <c r="BJ116" s="499">
        <f t="shared" si="193"/>
        <v>2.830041</v>
      </c>
      <c r="BK116" s="5">
        <f t="shared" si="118"/>
        <v>0</v>
      </c>
      <c r="BL116" s="499">
        <f t="shared" si="119"/>
        <v>17.419153000000001</v>
      </c>
      <c r="BM116" s="499">
        <f t="shared" si="120"/>
        <v>998.55532400000004</v>
      </c>
      <c r="BO116" s="499">
        <f t="shared" si="121"/>
        <v>40</v>
      </c>
      <c r="BP116" s="499">
        <f t="shared" si="122"/>
        <v>2.830041</v>
      </c>
      <c r="BQ116" s="5">
        <f t="shared" si="114"/>
        <v>0</v>
      </c>
      <c r="BR116" s="499">
        <f t="shared" si="123"/>
        <v>17.419153000000001</v>
      </c>
      <c r="BS116" s="499">
        <f t="shared" si="124"/>
        <v>998.55532400000004</v>
      </c>
      <c r="BU116" s="499">
        <f t="shared" si="125"/>
        <v>40</v>
      </c>
      <c r="BV116" s="499">
        <f t="shared" si="126"/>
        <v>2.830041</v>
      </c>
      <c r="BW116" s="5">
        <f t="shared" si="115"/>
        <v>0</v>
      </c>
      <c r="BX116" s="499">
        <f t="shared" si="127"/>
        <v>17.419153000000001</v>
      </c>
      <c r="BY116" s="499">
        <f t="shared" si="128"/>
        <v>998.55532400000004</v>
      </c>
      <c r="CA116">
        <v>40</v>
      </c>
      <c r="CB116">
        <v>2.830041</v>
      </c>
      <c r="CC116">
        <v>0</v>
      </c>
      <c r="CD116">
        <v>17.419153000000001</v>
      </c>
      <c r="CE116">
        <v>998.55532400000004</v>
      </c>
      <c r="CG116" s="499">
        <f t="shared" si="129"/>
        <v>0</v>
      </c>
      <c r="CH116" s="499">
        <f t="shared" si="130"/>
        <v>0</v>
      </c>
      <c r="CI116" s="499">
        <f t="shared" si="131"/>
        <v>0</v>
      </c>
      <c r="CJ116" s="499">
        <f t="shared" si="132"/>
        <v>0</v>
      </c>
      <c r="CP116" s="499"/>
      <c r="CQ116" s="65">
        <f t="shared" si="134"/>
        <v>2.1146490795253469E-8</v>
      </c>
      <c r="CR116" s="499">
        <f t="shared" si="135"/>
        <v>2.1146490795253469E-8</v>
      </c>
      <c r="CS116" s="499">
        <f t="shared" si="136"/>
        <v>2.1146490795253469E-8</v>
      </c>
      <c r="CT116" s="38">
        <f t="shared" si="137"/>
        <v>1</v>
      </c>
      <c r="CU116" s="498">
        <f t="shared" si="138"/>
        <v>1</v>
      </c>
    </row>
    <row r="117" spans="43:99">
      <c r="AQ117" s="499"/>
      <c r="AR117" s="228">
        <v>22.245564999999999</v>
      </c>
      <c r="AS117" s="13">
        <v>83</v>
      </c>
      <c r="AT117" s="13">
        <v>2.8172440000000001</v>
      </c>
      <c r="AU117" s="13">
        <f t="shared" si="149"/>
        <v>0</v>
      </c>
      <c r="AV117" s="13">
        <f t="shared" si="140"/>
        <v>22.245564999999999</v>
      </c>
      <c r="AW117" s="13">
        <f t="shared" si="141"/>
        <v>22.245564999999999</v>
      </c>
      <c r="AX117" s="13">
        <f t="shared" si="142"/>
        <v>22.245564999999999</v>
      </c>
      <c r="AY117" s="13">
        <v>460.59288500000002</v>
      </c>
      <c r="AZ117" s="13">
        <f t="shared" si="143"/>
        <v>0</v>
      </c>
      <c r="BA117" s="13">
        <f t="shared" si="144"/>
        <v>0</v>
      </c>
      <c r="BB117" s="97">
        <f t="shared" si="145"/>
        <v>0</v>
      </c>
      <c r="BC117" s="499"/>
      <c r="BD117" s="499">
        <v>90.55</v>
      </c>
      <c r="BE117" s="499">
        <v>23.339065927419348</v>
      </c>
      <c r="BF117" s="499">
        <v>19.743710282258057</v>
      </c>
      <c r="BG117" s="499">
        <v>20.67242394758242</v>
      </c>
      <c r="BI117" s="499">
        <f t="shared" ref="BI117:BJ117" si="194">AS120</f>
        <v>173</v>
      </c>
      <c r="BJ117" s="499">
        <f t="shared" si="194"/>
        <v>2.837367</v>
      </c>
      <c r="BK117" s="5">
        <f t="shared" si="118"/>
        <v>0</v>
      </c>
      <c r="BL117" s="499">
        <f t="shared" si="119"/>
        <v>20.523961</v>
      </c>
      <c r="BM117" s="499">
        <f t="shared" si="120"/>
        <v>998.91558599999996</v>
      </c>
      <c r="BO117" s="499">
        <f t="shared" si="121"/>
        <v>173</v>
      </c>
      <c r="BP117" s="499">
        <f t="shared" si="122"/>
        <v>2.837367</v>
      </c>
      <c r="BQ117" s="5">
        <f t="shared" si="114"/>
        <v>0</v>
      </c>
      <c r="BR117" s="499">
        <f t="shared" si="123"/>
        <v>20.523961</v>
      </c>
      <c r="BS117" s="499">
        <f t="shared" si="124"/>
        <v>998.91558599999996</v>
      </c>
      <c r="BU117" s="499">
        <f t="shared" si="125"/>
        <v>173</v>
      </c>
      <c r="BV117" s="499">
        <f t="shared" si="126"/>
        <v>2.837367</v>
      </c>
      <c r="BW117" s="5">
        <f t="shared" si="115"/>
        <v>0</v>
      </c>
      <c r="BX117" s="499">
        <f t="shared" si="127"/>
        <v>20.523961</v>
      </c>
      <c r="BY117" s="499">
        <f t="shared" si="128"/>
        <v>998.91558599999996</v>
      </c>
      <c r="CA117">
        <v>173</v>
      </c>
      <c r="CB117">
        <v>2.837367</v>
      </c>
      <c r="CC117">
        <v>0</v>
      </c>
      <c r="CD117">
        <v>20.523961</v>
      </c>
      <c r="CE117">
        <v>998.91558599999996</v>
      </c>
      <c r="CG117" s="499">
        <f t="shared" si="129"/>
        <v>0</v>
      </c>
      <c r="CH117" s="499">
        <f t="shared" si="130"/>
        <v>0</v>
      </c>
      <c r="CI117" s="499">
        <f t="shared" si="131"/>
        <v>0</v>
      </c>
      <c r="CJ117" s="499">
        <f t="shared" si="132"/>
        <v>0</v>
      </c>
      <c r="CP117" s="499"/>
      <c r="CQ117" s="65">
        <f t="shared" si="134"/>
        <v>0.97885898291731299</v>
      </c>
      <c r="CR117" s="499">
        <f t="shared" si="135"/>
        <v>0.97885898291731299</v>
      </c>
      <c r="CS117" s="499">
        <f t="shared" si="136"/>
        <v>0.97885898291731299</v>
      </c>
      <c r="CT117" s="38">
        <f t="shared" si="137"/>
        <v>1</v>
      </c>
      <c r="CU117" s="498">
        <f t="shared" si="138"/>
        <v>1</v>
      </c>
    </row>
    <row r="118" spans="43:99">
      <c r="AQ118" s="499"/>
      <c r="AR118" s="228">
        <v>33.236679000000002</v>
      </c>
      <c r="AS118" s="13">
        <v>4</v>
      </c>
      <c r="AT118" s="13">
        <v>2.8173430000000002</v>
      </c>
      <c r="AU118" s="13">
        <f t="shared" si="149"/>
        <v>1</v>
      </c>
      <c r="AV118" s="13">
        <f t="shared" si="140"/>
        <v>33.236679000000002</v>
      </c>
      <c r="AW118" s="13">
        <f t="shared" si="141"/>
        <v>33.236679000000002</v>
      </c>
      <c r="AX118" s="13">
        <f t="shared" si="142"/>
        <v>33.236679000000002</v>
      </c>
      <c r="AY118" s="13">
        <v>1001.280856</v>
      </c>
      <c r="AZ118" s="13">
        <f t="shared" si="143"/>
        <v>0</v>
      </c>
      <c r="BA118" s="13">
        <f t="shared" si="144"/>
        <v>0</v>
      </c>
      <c r="BB118" s="97">
        <f t="shared" si="145"/>
        <v>0</v>
      </c>
      <c r="BC118" s="499"/>
      <c r="BD118" s="499">
        <v>90.35</v>
      </c>
      <c r="BE118" s="499">
        <v>23.405122177419351</v>
      </c>
      <c r="BF118" s="499">
        <v>19.74433084677419</v>
      </c>
      <c r="BG118" s="499">
        <v>20.879093378264653</v>
      </c>
      <c r="BI118" s="499">
        <f t="shared" ref="BI118:BJ118" si="195">AS121</f>
        <v>429</v>
      </c>
      <c r="BJ118" s="499">
        <f t="shared" si="195"/>
        <v>2.8428779999999998</v>
      </c>
      <c r="BK118" s="5">
        <f t="shared" si="118"/>
        <v>0</v>
      </c>
      <c r="BL118" s="499">
        <f t="shared" si="119"/>
        <v>18.415161999999999</v>
      </c>
      <c r="BM118" s="499">
        <f t="shared" si="120"/>
        <v>945.13485500000002</v>
      </c>
      <c r="BO118" s="499">
        <f t="shared" si="121"/>
        <v>429</v>
      </c>
      <c r="BP118" s="499">
        <f t="shared" si="122"/>
        <v>2.8428779999999998</v>
      </c>
      <c r="BQ118" s="5">
        <f t="shared" si="114"/>
        <v>0</v>
      </c>
      <c r="BR118" s="499">
        <f t="shared" si="123"/>
        <v>18.415161999999999</v>
      </c>
      <c r="BS118" s="499">
        <f t="shared" si="124"/>
        <v>945.13485500000002</v>
      </c>
      <c r="BU118" s="499">
        <f t="shared" si="125"/>
        <v>429</v>
      </c>
      <c r="BV118" s="499">
        <f t="shared" si="126"/>
        <v>2.8428779999999998</v>
      </c>
      <c r="BW118" s="5">
        <f t="shared" si="115"/>
        <v>0</v>
      </c>
      <c r="BX118" s="499">
        <f t="shared" si="127"/>
        <v>18.415161999999999</v>
      </c>
      <c r="BY118" s="499">
        <f t="shared" si="128"/>
        <v>945.13485500000002</v>
      </c>
      <c r="CA118">
        <v>429</v>
      </c>
      <c r="CB118">
        <v>2.8428779999999998</v>
      </c>
      <c r="CC118">
        <v>0</v>
      </c>
      <c r="CD118">
        <v>18.415161999999999</v>
      </c>
      <c r="CE118">
        <v>945.13485500000002</v>
      </c>
      <c r="CG118" s="499">
        <f t="shared" si="129"/>
        <v>0</v>
      </c>
      <c r="CH118" s="499">
        <f t="shared" si="130"/>
        <v>0</v>
      </c>
      <c r="CI118" s="499">
        <f t="shared" si="131"/>
        <v>0</v>
      </c>
      <c r="CJ118" s="499">
        <f t="shared" si="132"/>
        <v>0</v>
      </c>
      <c r="CP118" s="499"/>
      <c r="CQ118" s="65">
        <f t="shared" si="134"/>
        <v>0.97837441977350947</v>
      </c>
      <c r="CR118" s="499">
        <f t="shared" si="135"/>
        <v>0.97837441977350947</v>
      </c>
      <c r="CS118" s="499">
        <f t="shared" si="136"/>
        <v>0.97837441977350947</v>
      </c>
      <c r="CT118" s="38">
        <f t="shared" si="137"/>
        <v>1</v>
      </c>
      <c r="CU118" s="498">
        <f t="shared" si="138"/>
        <v>1</v>
      </c>
    </row>
    <row r="119" spans="43:99">
      <c r="AQ119" s="499"/>
      <c r="AR119" s="228">
        <v>17.419153000000001</v>
      </c>
      <c r="AS119" s="13">
        <v>40</v>
      </c>
      <c r="AT119" s="13">
        <v>2.830041</v>
      </c>
      <c r="AU119" s="13">
        <f t="shared" si="149"/>
        <v>0</v>
      </c>
      <c r="AV119" s="13">
        <f t="shared" si="140"/>
        <v>17.419153000000001</v>
      </c>
      <c r="AW119" s="13">
        <f t="shared" si="141"/>
        <v>17.419153000000001</v>
      </c>
      <c r="AX119" s="13">
        <f t="shared" si="142"/>
        <v>17.419153000000001</v>
      </c>
      <c r="AY119" s="13">
        <v>998.55532400000004</v>
      </c>
      <c r="AZ119" s="13">
        <f t="shared" si="143"/>
        <v>0</v>
      </c>
      <c r="BA119" s="13">
        <f t="shared" si="144"/>
        <v>0</v>
      </c>
      <c r="BB119" s="97">
        <f t="shared" si="145"/>
        <v>0</v>
      </c>
      <c r="BC119" s="499"/>
      <c r="BD119" s="499">
        <v>90.15</v>
      </c>
      <c r="BE119" s="499">
        <v>23.444145161290322</v>
      </c>
      <c r="BF119" s="499">
        <v>19.743203427419353</v>
      </c>
      <c r="BG119" s="499">
        <v>20.996215174130036</v>
      </c>
      <c r="BI119" s="499">
        <f t="shared" ref="BI119:BJ119" si="196">AS122</f>
        <v>239</v>
      </c>
      <c r="BJ119" s="499">
        <f t="shared" si="196"/>
        <v>2.847032</v>
      </c>
      <c r="BK119" s="5">
        <f t="shared" si="118"/>
        <v>0</v>
      </c>
      <c r="BL119" s="499">
        <f t="shared" si="119"/>
        <v>17.900977999999999</v>
      </c>
      <c r="BM119" s="499">
        <f t="shared" si="120"/>
        <v>433.43039900000002</v>
      </c>
      <c r="BO119" s="499">
        <f t="shared" si="121"/>
        <v>239</v>
      </c>
      <c r="BP119" s="499">
        <f t="shared" si="122"/>
        <v>2.847032</v>
      </c>
      <c r="BQ119" s="5">
        <f t="shared" si="114"/>
        <v>0</v>
      </c>
      <c r="BR119" s="499">
        <f t="shared" si="123"/>
        <v>17.900977999999999</v>
      </c>
      <c r="BS119" s="499">
        <f t="shared" si="124"/>
        <v>433.43039900000002</v>
      </c>
      <c r="BU119" s="499">
        <f t="shared" si="125"/>
        <v>239</v>
      </c>
      <c r="BV119" s="499">
        <f t="shared" si="126"/>
        <v>2.847032</v>
      </c>
      <c r="BW119" s="5">
        <f t="shared" si="115"/>
        <v>0</v>
      </c>
      <c r="BX119" s="499">
        <f t="shared" si="127"/>
        <v>17.900977999999999</v>
      </c>
      <c r="BY119" s="499">
        <f t="shared" si="128"/>
        <v>433.43039900000002</v>
      </c>
      <c r="CA119">
        <v>239</v>
      </c>
      <c r="CB119">
        <v>2.847032</v>
      </c>
      <c r="CC119">
        <v>0</v>
      </c>
      <c r="CD119">
        <v>17.900977999999999</v>
      </c>
      <c r="CE119">
        <v>433.43039900000002</v>
      </c>
      <c r="CG119" s="499">
        <f t="shared" si="129"/>
        <v>0</v>
      </c>
      <c r="CH119" s="499">
        <f t="shared" si="130"/>
        <v>0</v>
      </c>
      <c r="CI119" s="499">
        <f t="shared" si="131"/>
        <v>0</v>
      </c>
      <c r="CJ119" s="499">
        <f t="shared" si="132"/>
        <v>0</v>
      </c>
      <c r="CP119" s="499"/>
      <c r="CQ119" s="65">
        <f t="shared" si="134"/>
        <v>0.9788526412592492</v>
      </c>
      <c r="CR119" s="499">
        <f t="shared" si="135"/>
        <v>0.9788526412592492</v>
      </c>
      <c r="CS119" s="499">
        <f t="shared" si="136"/>
        <v>0.9788526412592492</v>
      </c>
      <c r="CT119" s="38">
        <f t="shared" si="137"/>
        <v>1</v>
      </c>
      <c r="CU119" s="498">
        <f t="shared" si="138"/>
        <v>1</v>
      </c>
    </row>
    <row r="120" spans="43:99">
      <c r="AQ120" s="499"/>
      <c r="AR120" s="228">
        <v>20.523961</v>
      </c>
      <c r="AS120" s="13">
        <v>173</v>
      </c>
      <c r="AT120" s="13">
        <v>2.837367</v>
      </c>
      <c r="AU120" s="13">
        <f t="shared" si="149"/>
        <v>0</v>
      </c>
      <c r="AV120" s="13">
        <f t="shared" si="140"/>
        <v>20.523961</v>
      </c>
      <c r="AW120" s="13">
        <f t="shared" si="141"/>
        <v>20.523961</v>
      </c>
      <c r="AX120" s="13">
        <f t="shared" si="142"/>
        <v>20.523961</v>
      </c>
      <c r="AY120" s="13">
        <v>998.91558599999996</v>
      </c>
      <c r="AZ120" s="13">
        <f t="shared" si="143"/>
        <v>0</v>
      </c>
      <c r="BA120" s="13">
        <f t="shared" si="144"/>
        <v>0</v>
      </c>
      <c r="BB120" s="97">
        <f t="shared" si="145"/>
        <v>0</v>
      </c>
      <c r="BC120" s="499"/>
      <c r="BD120" s="499">
        <v>89.95</v>
      </c>
      <c r="BE120" s="499">
        <v>23.42293447580645</v>
      </c>
      <c r="BF120" s="499">
        <v>19.721981653225807</v>
      </c>
      <c r="BG120" s="499">
        <v>21.082431906474358</v>
      </c>
      <c r="BI120" s="499">
        <f t="shared" ref="BI120:BJ120" si="197">AS123</f>
        <v>171</v>
      </c>
      <c r="BJ120" s="499">
        <f t="shared" si="197"/>
        <v>2.882342</v>
      </c>
      <c r="BK120" s="5">
        <f t="shared" si="118"/>
        <v>0</v>
      </c>
      <c r="BL120" s="499">
        <f t="shared" si="119"/>
        <v>18.196503</v>
      </c>
      <c r="BM120" s="499">
        <f t="shared" si="120"/>
        <v>998.80986700000005</v>
      </c>
      <c r="BO120" s="499">
        <f t="shared" si="121"/>
        <v>171</v>
      </c>
      <c r="BP120" s="499">
        <f t="shared" si="122"/>
        <v>2.882342</v>
      </c>
      <c r="BQ120" s="5">
        <f t="shared" si="114"/>
        <v>0</v>
      </c>
      <c r="BR120" s="499">
        <f t="shared" si="123"/>
        <v>18.196503</v>
      </c>
      <c r="BS120" s="499">
        <f t="shared" si="124"/>
        <v>998.80986700000005</v>
      </c>
      <c r="BU120" s="499">
        <f t="shared" si="125"/>
        <v>171</v>
      </c>
      <c r="BV120" s="499">
        <f t="shared" si="126"/>
        <v>2.882342</v>
      </c>
      <c r="BW120" s="5">
        <f t="shared" si="115"/>
        <v>0</v>
      </c>
      <c r="BX120" s="499">
        <f t="shared" si="127"/>
        <v>18.196503</v>
      </c>
      <c r="BY120" s="499">
        <f t="shared" si="128"/>
        <v>998.80986700000005</v>
      </c>
      <c r="CA120">
        <v>171</v>
      </c>
      <c r="CB120">
        <v>2.882342</v>
      </c>
      <c r="CC120">
        <v>0</v>
      </c>
      <c r="CD120">
        <v>18.196503</v>
      </c>
      <c r="CE120">
        <v>998.80986700000005</v>
      </c>
      <c r="CG120" s="499">
        <f t="shared" si="129"/>
        <v>0</v>
      </c>
      <c r="CH120" s="499">
        <f t="shared" si="130"/>
        <v>0</v>
      </c>
      <c r="CI120" s="499">
        <f t="shared" si="131"/>
        <v>0</v>
      </c>
      <c r="CJ120" s="499">
        <f t="shared" si="132"/>
        <v>0</v>
      </c>
      <c r="CP120" s="499"/>
      <c r="CQ120" s="65">
        <f t="shared" si="134"/>
        <v>0.97885735077177283</v>
      </c>
      <c r="CR120" s="499">
        <f t="shared" si="135"/>
        <v>0.97885735077177283</v>
      </c>
      <c r="CS120" s="499">
        <f t="shared" si="136"/>
        <v>0.97885735077177283</v>
      </c>
      <c r="CT120" s="38">
        <f t="shared" si="137"/>
        <v>1</v>
      </c>
      <c r="CU120" s="498">
        <f t="shared" si="138"/>
        <v>1</v>
      </c>
    </row>
    <row r="121" spans="43:99">
      <c r="AQ121" s="499"/>
      <c r="AR121" s="228">
        <v>18.415161999999999</v>
      </c>
      <c r="AS121" s="13">
        <v>429</v>
      </c>
      <c r="AT121" s="13">
        <v>2.8428779999999998</v>
      </c>
      <c r="AU121" s="13">
        <f t="shared" si="149"/>
        <v>0</v>
      </c>
      <c r="AV121" s="13">
        <f t="shared" si="140"/>
        <v>18.415161999999999</v>
      </c>
      <c r="AW121" s="13">
        <f t="shared" si="141"/>
        <v>18.415161999999999</v>
      </c>
      <c r="AX121" s="13">
        <f t="shared" si="142"/>
        <v>18.415161999999999</v>
      </c>
      <c r="AY121" s="13">
        <v>945.13485500000002</v>
      </c>
      <c r="AZ121" s="13">
        <f t="shared" si="143"/>
        <v>0</v>
      </c>
      <c r="BA121" s="13">
        <f t="shared" si="144"/>
        <v>0</v>
      </c>
      <c r="BB121" s="97">
        <f t="shared" si="145"/>
        <v>0</v>
      </c>
      <c r="BC121" s="499"/>
      <c r="BD121" s="499">
        <v>89.75</v>
      </c>
      <c r="BE121" s="499">
        <v>23.409834072580644</v>
      </c>
      <c r="BF121" s="499">
        <v>19.688763709677421</v>
      </c>
      <c r="BG121" s="499">
        <v>21.125262423292128</v>
      </c>
      <c r="BI121" s="499">
        <f t="shared" ref="BI121:BJ121" si="198">AS124</f>
        <v>483</v>
      </c>
      <c r="BJ121" s="499">
        <f t="shared" si="198"/>
        <v>2.889548</v>
      </c>
      <c r="BK121" s="5">
        <f t="shared" si="118"/>
        <v>0</v>
      </c>
      <c r="BL121" s="499">
        <f t="shared" si="119"/>
        <v>21.604493999999999</v>
      </c>
      <c r="BM121" s="499">
        <f t="shared" si="120"/>
        <v>1002.135434</v>
      </c>
      <c r="BO121" s="499">
        <f t="shared" si="121"/>
        <v>483</v>
      </c>
      <c r="BP121" s="499">
        <f t="shared" si="122"/>
        <v>2.889548</v>
      </c>
      <c r="BQ121" s="5">
        <f t="shared" si="114"/>
        <v>0</v>
      </c>
      <c r="BR121" s="499">
        <f t="shared" si="123"/>
        <v>21.604493999999999</v>
      </c>
      <c r="BS121" s="499">
        <f t="shared" si="124"/>
        <v>1002.135434</v>
      </c>
      <c r="BU121" s="499">
        <f t="shared" si="125"/>
        <v>483</v>
      </c>
      <c r="BV121" s="499">
        <f t="shared" si="126"/>
        <v>2.889548</v>
      </c>
      <c r="BW121" s="5">
        <f t="shared" si="115"/>
        <v>0</v>
      </c>
      <c r="BX121" s="499">
        <f t="shared" si="127"/>
        <v>21.604493999999999</v>
      </c>
      <c r="BY121" s="499">
        <f t="shared" si="128"/>
        <v>1002.135434</v>
      </c>
      <c r="CA121">
        <v>483</v>
      </c>
      <c r="CB121">
        <v>2.889548</v>
      </c>
      <c r="CC121">
        <v>0</v>
      </c>
      <c r="CD121">
        <v>21.604493999999999</v>
      </c>
      <c r="CE121">
        <v>1002.135434</v>
      </c>
      <c r="CG121" s="499">
        <f t="shared" si="129"/>
        <v>0</v>
      </c>
      <c r="CH121" s="499">
        <f t="shared" si="130"/>
        <v>0</v>
      </c>
      <c r="CI121" s="499">
        <f t="shared" si="131"/>
        <v>0</v>
      </c>
      <c r="CJ121" s="499">
        <f t="shared" si="132"/>
        <v>0</v>
      </c>
      <c r="CP121" s="499"/>
      <c r="CQ121" s="65">
        <f t="shared" si="134"/>
        <v>0.97885523431707611</v>
      </c>
      <c r="CR121" s="499">
        <f t="shared" si="135"/>
        <v>0.97885523431707611</v>
      </c>
      <c r="CS121" s="499">
        <f t="shared" si="136"/>
        <v>0.97885523431707611</v>
      </c>
      <c r="CT121" s="38">
        <f t="shared" si="137"/>
        <v>1</v>
      </c>
      <c r="CU121" s="498">
        <f t="shared" si="138"/>
        <v>1</v>
      </c>
    </row>
    <row r="122" spans="43:99">
      <c r="AQ122" s="499"/>
      <c r="AR122" s="228">
        <v>17.900977999999999</v>
      </c>
      <c r="AS122" s="13">
        <v>239</v>
      </c>
      <c r="AT122" s="13">
        <v>2.847032</v>
      </c>
      <c r="AU122" s="13">
        <f t="shared" si="149"/>
        <v>0</v>
      </c>
      <c r="AV122" s="13">
        <f t="shared" si="140"/>
        <v>17.900977999999999</v>
      </c>
      <c r="AW122" s="13">
        <f t="shared" si="141"/>
        <v>17.900977999999999</v>
      </c>
      <c r="AX122" s="13">
        <f t="shared" si="142"/>
        <v>17.900977999999999</v>
      </c>
      <c r="AY122" s="13">
        <v>433.43039900000002</v>
      </c>
      <c r="AZ122" s="13">
        <f t="shared" si="143"/>
        <v>0</v>
      </c>
      <c r="BA122" s="13">
        <f t="shared" si="144"/>
        <v>0</v>
      </c>
      <c r="BB122" s="97">
        <f t="shared" si="145"/>
        <v>0</v>
      </c>
      <c r="BC122" s="499"/>
      <c r="BD122" s="499">
        <v>89.55</v>
      </c>
      <c r="BE122" s="499">
        <v>23.449503225806456</v>
      </c>
      <c r="BF122" s="499">
        <v>19.655981048387108</v>
      </c>
      <c r="BG122" s="499">
        <v>21.312054499281135</v>
      </c>
      <c r="BI122" s="499">
        <f t="shared" ref="BI122:BJ122" si="199">AS125</f>
        <v>25</v>
      </c>
      <c r="BJ122" s="499">
        <f t="shared" si="199"/>
        <v>2.8897970000000002</v>
      </c>
      <c r="BK122" s="5">
        <f t="shared" si="118"/>
        <v>0</v>
      </c>
      <c r="BL122" s="499">
        <f t="shared" si="119"/>
        <v>20.629615999999999</v>
      </c>
      <c r="BM122" s="499">
        <f t="shared" si="120"/>
        <v>1001.301815</v>
      </c>
      <c r="BO122" s="499">
        <f t="shared" si="121"/>
        <v>25</v>
      </c>
      <c r="BP122" s="499">
        <f t="shared" si="122"/>
        <v>2.8897970000000002</v>
      </c>
      <c r="BQ122" s="5">
        <f t="shared" si="114"/>
        <v>0</v>
      </c>
      <c r="BR122" s="499">
        <f t="shared" si="123"/>
        <v>20.629615999999999</v>
      </c>
      <c r="BS122" s="499">
        <f t="shared" si="124"/>
        <v>1001.301815</v>
      </c>
      <c r="BU122" s="499">
        <f t="shared" si="125"/>
        <v>25</v>
      </c>
      <c r="BV122" s="499">
        <f t="shared" si="126"/>
        <v>2.8897970000000002</v>
      </c>
      <c r="BW122" s="5">
        <f t="shared" si="115"/>
        <v>0</v>
      </c>
      <c r="BX122" s="499">
        <f t="shared" si="127"/>
        <v>20.629615999999999</v>
      </c>
      <c r="BY122" s="499">
        <f t="shared" si="128"/>
        <v>1001.301815</v>
      </c>
      <c r="CA122">
        <v>25</v>
      </c>
      <c r="CB122">
        <v>2.8897970000000002</v>
      </c>
      <c r="CC122">
        <v>0</v>
      </c>
      <c r="CD122">
        <v>20.629615999999999</v>
      </c>
      <c r="CE122">
        <v>1001.301815</v>
      </c>
      <c r="CG122" s="499">
        <f t="shared" si="129"/>
        <v>0</v>
      </c>
      <c r="CH122" s="499">
        <f t="shared" si="130"/>
        <v>0</v>
      </c>
      <c r="CI122" s="499">
        <f t="shared" si="131"/>
        <v>0</v>
      </c>
      <c r="CJ122" s="499">
        <f t="shared" si="132"/>
        <v>0</v>
      </c>
      <c r="CP122" s="499"/>
      <c r="CQ122" s="65">
        <f t="shared" si="134"/>
        <v>0.97471980315981721</v>
      </c>
      <c r="CR122" s="499">
        <f t="shared" si="135"/>
        <v>0.97471980315981721</v>
      </c>
      <c r="CS122" s="499">
        <f t="shared" si="136"/>
        <v>0.97471980315981721</v>
      </c>
      <c r="CT122" s="38">
        <f t="shared" si="137"/>
        <v>1</v>
      </c>
      <c r="CU122" s="498">
        <f t="shared" si="138"/>
        <v>1</v>
      </c>
    </row>
    <row r="123" spans="43:99">
      <c r="AQ123" s="499"/>
      <c r="AR123" s="228">
        <v>18.196503</v>
      </c>
      <c r="AS123" s="13">
        <v>171</v>
      </c>
      <c r="AT123" s="13">
        <v>2.882342</v>
      </c>
      <c r="AU123" s="13">
        <f t="shared" si="149"/>
        <v>0</v>
      </c>
      <c r="AV123" s="13">
        <f t="shared" si="140"/>
        <v>18.196503</v>
      </c>
      <c r="AW123" s="13">
        <f t="shared" si="141"/>
        <v>18.196503</v>
      </c>
      <c r="AX123" s="13">
        <f t="shared" si="142"/>
        <v>18.196503</v>
      </c>
      <c r="AY123" s="13">
        <v>998.80986700000005</v>
      </c>
      <c r="AZ123" s="13">
        <f t="shared" si="143"/>
        <v>0</v>
      </c>
      <c r="BA123" s="13">
        <f t="shared" si="144"/>
        <v>0</v>
      </c>
      <c r="BB123" s="97">
        <f t="shared" si="145"/>
        <v>0</v>
      </c>
      <c r="BC123" s="499"/>
      <c r="BD123" s="499">
        <v>89.35</v>
      </c>
      <c r="BE123" s="499">
        <v>23.366787701612907</v>
      </c>
      <c r="BF123" s="499">
        <v>19.632381854838719</v>
      </c>
      <c r="BG123" s="499">
        <v>21.48065861410257</v>
      </c>
      <c r="BI123" s="499">
        <f t="shared" ref="BI123:BJ123" si="200">AS126</f>
        <v>61</v>
      </c>
      <c r="BJ123" s="499">
        <f t="shared" si="200"/>
        <v>2.8897970000000002</v>
      </c>
      <c r="BK123" s="5">
        <f t="shared" si="118"/>
        <v>0</v>
      </c>
      <c r="BL123" s="499">
        <f t="shared" si="119"/>
        <v>21.942233999999999</v>
      </c>
      <c r="BM123" s="499">
        <f t="shared" si="120"/>
        <v>879.98183100000006</v>
      </c>
      <c r="BO123" s="499">
        <f t="shared" si="121"/>
        <v>61</v>
      </c>
      <c r="BP123" s="499">
        <f t="shared" si="122"/>
        <v>2.8897970000000002</v>
      </c>
      <c r="BQ123" s="5">
        <f t="shared" si="114"/>
        <v>0</v>
      </c>
      <c r="BR123" s="499">
        <f t="shared" si="123"/>
        <v>21.942233999999999</v>
      </c>
      <c r="BS123" s="499">
        <f t="shared" si="124"/>
        <v>879.98183100000006</v>
      </c>
      <c r="BU123" s="499">
        <f t="shared" si="125"/>
        <v>61</v>
      </c>
      <c r="BV123" s="499">
        <f t="shared" si="126"/>
        <v>2.8897970000000002</v>
      </c>
      <c r="BW123" s="5">
        <f t="shared" si="115"/>
        <v>0</v>
      </c>
      <c r="BX123" s="499">
        <f t="shared" si="127"/>
        <v>21.942233999999999</v>
      </c>
      <c r="BY123" s="499">
        <f t="shared" si="128"/>
        <v>879.98183100000006</v>
      </c>
      <c r="CA123">
        <v>61</v>
      </c>
      <c r="CB123">
        <v>2.8897970000000002</v>
      </c>
      <c r="CC123">
        <v>0</v>
      </c>
      <c r="CD123">
        <v>21.942233999999999</v>
      </c>
      <c r="CE123">
        <v>879.98183100000006</v>
      </c>
      <c r="CG123" s="499">
        <f t="shared" si="129"/>
        <v>0</v>
      </c>
      <c r="CH123" s="499">
        <f t="shared" si="130"/>
        <v>0</v>
      </c>
      <c r="CI123" s="499">
        <f t="shared" si="131"/>
        <v>0</v>
      </c>
      <c r="CJ123" s="499">
        <f t="shared" si="132"/>
        <v>0</v>
      </c>
      <c r="CP123" s="499"/>
      <c r="CQ123" s="65">
        <f t="shared" si="134"/>
        <v>0.97826106495665754</v>
      </c>
      <c r="CR123" s="499">
        <f t="shared" si="135"/>
        <v>0.97826106495665754</v>
      </c>
      <c r="CS123" s="499">
        <f t="shared" si="136"/>
        <v>0.97826106495665754</v>
      </c>
      <c r="CT123" s="38">
        <f t="shared" si="137"/>
        <v>1</v>
      </c>
      <c r="CU123" s="498">
        <f t="shared" si="138"/>
        <v>1</v>
      </c>
    </row>
    <row r="124" spans="43:99">
      <c r="AQ124" s="499"/>
      <c r="AR124" s="228">
        <v>21.604493999999999</v>
      </c>
      <c r="AS124" s="13">
        <v>483</v>
      </c>
      <c r="AT124" s="13">
        <v>2.889548</v>
      </c>
      <c r="AU124" s="13">
        <f t="shared" si="149"/>
        <v>0</v>
      </c>
      <c r="AV124" s="13">
        <f t="shared" si="140"/>
        <v>21.604493999999999</v>
      </c>
      <c r="AW124" s="13">
        <f t="shared" si="141"/>
        <v>21.604493999999999</v>
      </c>
      <c r="AX124" s="13">
        <f t="shared" si="142"/>
        <v>21.604493999999999</v>
      </c>
      <c r="AY124" s="13">
        <v>1002.135434</v>
      </c>
      <c r="AZ124" s="13">
        <f t="shared" si="143"/>
        <v>0</v>
      </c>
      <c r="BA124" s="13">
        <f t="shared" si="144"/>
        <v>0</v>
      </c>
      <c r="BB124" s="97">
        <f t="shared" si="145"/>
        <v>0</v>
      </c>
      <c r="BC124" s="499"/>
      <c r="BD124" s="499">
        <v>89.15</v>
      </c>
      <c r="BE124" s="499">
        <v>23.399322983870967</v>
      </c>
      <c r="BF124" s="499">
        <v>19.612305241935481</v>
      </c>
      <c r="BG124" s="499">
        <v>21.676464505128202</v>
      </c>
      <c r="BI124" s="499">
        <f t="shared" ref="BI124:BJ124" si="201">AS127</f>
        <v>282</v>
      </c>
      <c r="BJ124" s="499">
        <f t="shared" si="201"/>
        <v>2.891664</v>
      </c>
      <c r="BK124" s="5">
        <f t="shared" si="118"/>
        <v>0</v>
      </c>
      <c r="BL124" s="499">
        <f t="shared" si="119"/>
        <v>20.73527</v>
      </c>
      <c r="BM124" s="499">
        <f t="shared" si="120"/>
        <v>1001.368843</v>
      </c>
      <c r="BO124" s="499">
        <f t="shared" si="121"/>
        <v>282</v>
      </c>
      <c r="BP124" s="499">
        <f t="shared" si="122"/>
        <v>2.891664</v>
      </c>
      <c r="BQ124" s="5">
        <f t="shared" si="114"/>
        <v>0</v>
      </c>
      <c r="BR124" s="499">
        <f t="shared" si="123"/>
        <v>20.73527</v>
      </c>
      <c r="BS124" s="499">
        <f t="shared" si="124"/>
        <v>1001.368843</v>
      </c>
      <c r="BU124" s="499">
        <f t="shared" si="125"/>
        <v>282</v>
      </c>
      <c r="BV124" s="499">
        <f t="shared" si="126"/>
        <v>2.891664</v>
      </c>
      <c r="BW124" s="5">
        <f t="shared" si="115"/>
        <v>0</v>
      </c>
      <c r="BX124" s="499">
        <f t="shared" si="127"/>
        <v>20.73527</v>
      </c>
      <c r="BY124" s="499">
        <f t="shared" si="128"/>
        <v>1001.368843</v>
      </c>
      <c r="CA124">
        <v>282</v>
      </c>
      <c r="CB124">
        <v>2.891664</v>
      </c>
      <c r="CC124">
        <v>0</v>
      </c>
      <c r="CD124">
        <v>20.73527</v>
      </c>
      <c r="CE124">
        <v>1001.368843</v>
      </c>
      <c r="CG124" s="499">
        <f t="shared" si="129"/>
        <v>0</v>
      </c>
      <c r="CH124" s="499">
        <f t="shared" si="130"/>
        <v>0</v>
      </c>
      <c r="CI124" s="499">
        <f t="shared" si="131"/>
        <v>0</v>
      </c>
      <c r="CJ124" s="499">
        <f t="shared" si="132"/>
        <v>0</v>
      </c>
      <c r="CP124" s="499"/>
      <c r="CQ124" s="65">
        <f t="shared" si="134"/>
        <v>0.970793192453135</v>
      </c>
      <c r="CR124" s="499">
        <f t="shared" si="135"/>
        <v>0.970793192453135</v>
      </c>
      <c r="CS124" s="499">
        <f t="shared" si="136"/>
        <v>0.970793192453135</v>
      </c>
      <c r="CT124" s="38">
        <f t="shared" si="137"/>
        <v>1</v>
      </c>
      <c r="CU124" s="498">
        <f t="shared" si="138"/>
        <v>1</v>
      </c>
    </row>
    <row r="125" spans="43:99">
      <c r="AQ125" s="499"/>
      <c r="AR125" s="228">
        <v>20.629615999999999</v>
      </c>
      <c r="AS125" s="13">
        <v>25</v>
      </c>
      <c r="AT125" s="13">
        <v>2.8897970000000002</v>
      </c>
      <c r="AU125" s="13">
        <f t="shared" si="149"/>
        <v>0</v>
      </c>
      <c r="AV125" s="13">
        <f t="shared" si="140"/>
        <v>20.629615999999999</v>
      </c>
      <c r="AW125" s="13">
        <f t="shared" si="141"/>
        <v>20.629615999999999</v>
      </c>
      <c r="AX125" s="13">
        <f t="shared" si="142"/>
        <v>20.629615999999999</v>
      </c>
      <c r="AY125" s="13">
        <v>1001.301815</v>
      </c>
      <c r="AZ125" s="13">
        <f t="shared" si="143"/>
        <v>0</v>
      </c>
      <c r="BA125" s="13">
        <f t="shared" si="144"/>
        <v>0</v>
      </c>
      <c r="BB125" s="97">
        <f t="shared" si="145"/>
        <v>0</v>
      </c>
      <c r="BC125" s="499"/>
      <c r="BD125" s="499">
        <v>88.95</v>
      </c>
      <c r="BE125" s="499">
        <v>23.464137701612898</v>
      </c>
      <c r="BF125" s="499">
        <v>19.588203629032265</v>
      </c>
      <c r="BG125" s="499">
        <v>21.845372422014652</v>
      </c>
      <c r="BI125" s="499">
        <f t="shared" ref="BI125:BJ125" si="202">AS128</f>
        <v>26</v>
      </c>
      <c r="BJ125" s="499">
        <f t="shared" si="202"/>
        <v>2.8950559999999999</v>
      </c>
      <c r="BK125" s="5">
        <f t="shared" si="118"/>
        <v>0</v>
      </c>
      <c r="BL125" s="499">
        <f t="shared" si="119"/>
        <v>19.503861000000001</v>
      </c>
      <c r="BM125" s="499">
        <f t="shared" si="120"/>
        <v>1138.773081</v>
      </c>
      <c r="BO125" s="499">
        <f t="shared" si="121"/>
        <v>26</v>
      </c>
      <c r="BP125" s="499">
        <f t="shared" si="122"/>
        <v>2.8950559999999999</v>
      </c>
      <c r="BQ125" s="5">
        <f t="shared" si="114"/>
        <v>0</v>
      </c>
      <c r="BR125" s="499">
        <f t="shared" si="123"/>
        <v>19.503861000000001</v>
      </c>
      <c r="BS125" s="499">
        <f t="shared" si="124"/>
        <v>1138.773081</v>
      </c>
      <c r="BU125" s="499">
        <f t="shared" si="125"/>
        <v>26</v>
      </c>
      <c r="BV125" s="499">
        <f t="shared" si="126"/>
        <v>2.8950559999999999</v>
      </c>
      <c r="BW125" s="5">
        <f t="shared" si="115"/>
        <v>0</v>
      </c>
      <c r="BX125" s="499">
        <f t="shared" si="127"/>
        <v>19.503861000000001</v>
      </c>
      <c r="BY125" s="499">
        <f t="shared" si="128"/>
        <v>1138.773081</v>
      </c>
      <c r="CA125">
        <v>26</v>
      </c>
      <c r="CB125">
        <v>2.8950559999999999</v>
      </c>
      <c r="CC125">
        <v>0</v>
      </c>
      <c r="CD125">
        <v>19.503861000000001</v>
      </c>
      <c r="CE125">
        <v>1138.773081</v>
      </c>
      <c r="CG125" s="499">
        <f t="shared" si="129"/>
        <v>0</v>
      </c>
      <c r="CH125" s="499">
        <f t="shared" si="130"/>
        <v>0</v>
      </c>
      <c r="CI125" s="499">
        <f t="shared" si="131"/>
        <v>0</v>
      </c>
      <c r="CJ125" s="499">
        <f t="shared" si="132"/>
        <v>0</v>
      </c>
      <c r="CP125" s="499"/>
      <c r="CQ125" s="65">
        <f t="shared" si="134"/>
        <v>0.97812126981210734</v>
      </c>
      <c r="CR125" s="499">
        <f t="shared" si="135"/>
        <v>0.97812126981210734</v>
      </c>
      <c r="CS125" s="499">
        <f t="shared" si="136"/>
        <v>0.97812126981210734</v>
      </c>
      <c r="CT125" s="38">
        <f t="shared" si="137"/>
        <v>1</v>
      </c>
      <c r="CU125" s="498">
        <f t="shared" si="138"/>
        <v>1</v>
      </c>
    </row>
    <row r="126" spans="43:99">
      <c r="AQ126" s="499"/>
      <c r="AR126" s="228">
        <v>21.942233999999999</v>
      </c>
      <c r="AS126" s="13">
        <v>61</v>
      </c>
      <c r="AT126" s="13">
        <v>2.8897970000000002</v>
      </c>
      <c r="AU126" s="13">
        <f t="shared" si="149"/>
        <v>0</v>
      </c>
      <c r="AV126" s="13">
        <f t="shared" si="140"/>
        <v>21.942233999999999</v>
      </c>
      <c r="AW126" s="13">
        <f t="shared" si="141"/>
        <v>21.942233999999999</v>
      </c>
      <c r="AX126" s="13">
        <f t="shared" si="142"/>
        <v>21.942233999999999</v>
      </c>
      <c r="AY126" s="13">
        <v>879.98183100000006</v>
      </c>
      <c r="AZ126" s="13">
        <f t="shared" si="143"/>
        <v>0</v>
      </c>
      <c r="BA126" s="13">
        <f t="shared" si="144"/>
        <v>0</v>
      </c>
      <c r="BB126" s="97">
        <f t="shared" si="145"/>
        <v>0</v>
      </c>
      <c r="BC126" s="499"/>
      <c r="BD126" s="499">
        <v>88.75</v>
      </c>
      <c r="BE126" s="499">
        <v>23.481366935483873</v>
      </c>
      <c r="BF126" s="499">
        <v>19.589494354838713</v>
      </c>
      <c r="BG126" s="499">
        <v>21.940715690059523</v>
      </c>
      <c r="BI126" s="499">
        <f t="shared" ref="BI126:BJ126" si="203">AS129</f>
        <v>367</v>
      </c>
      <c r="BJ126" s="499">
        <f t="shared" si="203"/>
        <v>2.9168349999999998</v>
      </c>
      <c r="BK126" s="5">
        <f t="shared" si="118"/>
        <v>0</v>
      </c>
      <c r="BL126" s="499">
        <f t="shared" si="119"/>
        <v>20.73527</v>
      </c>
      <c r="BM126" s="499">
        <f t="shared" si="120"/>
        <v>1001.716391</v>
      </c>
      <c r="BO126" s="499">
        <f t="shared" si="121"/>
        <v>367</v>
      </c>
      <c r="BP126" s="499">
        <f t="shared" si="122"/>
        <v>2.9168349999999998</v>
      </c>
      <c r="BQ126" s="5">
        <f t="shared" si="114"/>
        <v>0</v>
      </c>
      <c r="BR126" s="499">
        <f t="shared" si="123"/>
        <v>20.73527</v>
      </c>
      <c r="BS126" s="499">
        <f t="shared" si="124"/>
        <v>1001.716391</v>
      </c>
      <c r="BU126" s="499">
        <f t="shared" si="125"/>
        <v>367</v>
      </c>
      <c r="BV126" s="499">
        <f t="shared" si="126"/>
        <v>2.9168349999999998</v>
      </c>
      <c r="BW126" s="5">
        <f t="shared" si="115"/>
        <v>0</v>
      </c>
      <c r="BX126" s="499">
        <f t="shared" si="127"/>
        <v>20.73527</v>
      </c>
      <c r="BY126" s="499">
        <f t="shared" si="128"/>
        <v>1001.716391</v>
      </c>
      <c r="CA126">
        <v>367</v>
      </c>
      <c r="CB126">
        <v>2.9168349999999998</v>
      </c>
      <c r="CC126">
        <v>0</v>
      </c>
      <c r="CD126">
        <v>20.73527</v>
      </c>
      <c r="CE126">
        <v>1001.716391</v>
      </c>
      <c r="CG126" s="499">
        <f t="shared" si="129"/>
        <v>0</v>
      </c>
      <c r="CH126" s="499">
        <f t="shared" si="130"/>
        <v>0</v>
      </c>
      <c r="CI126" s="499">
        <f t="shared" si="131"/>
        <v>0</v>
      </c>
      <c r="CJ126" s="499">
        <f t="shared" si="132"/>
        <v>0</v>
      </c>
      <c r="CP126" s="499"/>
      <c r="CQ126" s="65">
        <f t="shared" si="134"/>
        <v>0.97879599556664831</v>
      </c>
      <c r="CR126" s="499">
        <f t="shared" si="135"/>
        <v>0.97879599556664831</v>
      </c>
      <c r="CS126" s="499">
        <f t="shared" si="136"/>
        <v>0.97879599556664831</v>
      </c>
      <c r="CT126" s="38">
        <f t="shared" si="137"/>
        <v>1</v>
      </c>
      <c r="CU126" s="498">
        <f t="shared" si="138"/>
        <v>1</v>
      </c>
    </row>
    <row r="127" spans="43:99">
      <c r="AQ127" s="499"/>
      <c r="AR127" s="228">
        <v>20.73527</v>
      </c>
      <c r="AS127" s="13">
        <v>282</v>
      </c>
      <c r="AT127" s="13">
        <v>2.891664</v>
      </c>
      <c r="AU127" s="13">
        <f t="shared" si="149"/>
        <v>0</v>
      </c>
      <c r="AV127" s="13">
        <f t="shared" si="140"/>
        <v>20.73527</v>
      </c>
      <c r="AW127" s="13">
        <f t="shared" si="141"/>
        <v>20.73527</v>
      </c>
      <c r="AX127" s="13">
        <f t="shared" si="142"/>
        <v>20.73527</v>
      </c>
      <c r="AY127" s="13">
        <v>1001.368843</v>
      </c>
      <c r="AZ127" s="13">
        <f t="shared" si="143"/>
        <v>0</v>
      </c>
      <c r="BA127" s="13">
        <f t="shared" si="144"/>
        <v>0</v>
      </c>
      <c r="BB127" s="97">
        <f t="shared" si="145"/>
        <v>0</v>
      </c>
      <c r="BC127" s="499"/>
      <c r="BD127" s="499">
        <v>88.55</v>
      </c>
      <c r="BE127" s="499">
        <v>23.532373588709685</v>
      </c>
      <c r="BF127" s="499">
        <v>19.565005040322589</v>
      </c>
      <c r="BG127" s="499">
        <v>21.913818492674004</v>
      </c>
      <c r="BI127" s="499">
        <f t="shared" ref="BI127:BJ127" si="204">AS130</f>
        <v>182</v>
      </c>
      <c r="BJ127" s="499">
        <f t="shared" si="204"/>
        <v>2.9208289999999999</v>
      </c>
      <c r="BK127" s="5">
        <f t="shared" si="118"/>
        <v>0</v>
      </c>
      <c r="BL127" s="499">
        <f t="shared" si="119"/>
        <v>16.714791000000002</v>
      </c>
      <c r="BM127" s="499">
        <f t="shared" si="120"/>
        <v>1653.331606</v>
      </c>
      <c r="BO127" s="499">
        <f t="shared" si="121"/>
        <v>182</v>
      </c>
      <c r="BP127" s="499">
        <f t="shared" si="122"/>
        <v>2.9208289999999999</v>
      </c>
      <c r="BQ127" s="5">
        <f t="shared" si="114"/>
        <v>0</v>
      </c>
      <c r="BR127" s="499">
        <f t="shared" si="123"/>
        <v>16.714791000000002</v>
      </c>
      <c r="BS127" s="499">
        <f t="shared" si="124"/>
        <v>1653.331606</v>
      </c>
      <c r="BU127" s="499">
        <f t="shared" si="125"/>
        <v>182</v>
      </c>
      <c r="BV127" s="499">
        <f t="shared" si="126"/>
        <v>2.9208289999999999</v>
      </c>
      <c r="BW127" s="5">
        <f t="shared" si="115"/>
        <v>0</v>
      </c>
      <c r="BX127" s="499">
        <f t="shared" si="127"/>
        <v>16.714791000000002</v>
      </c>
      <c r="BY127" s="499">
        <f t="shared" si="128"/>
        <v>1653.331606</v>
      </c>
      <c r="CA127">
        <v>182</v>
      </c>
      <c r="CB127">
        <v>2.9208289999999999</v>
      </c>
      <c r="CC127">
        <v>0</v>
      </c>
      <c r="CD127">
        <v>16.714791000000002</v>
      </c>
      <c r="CE127">
        <v>1653.331606</v>
      </c>
      <c r="CG127" s="499">
        <f t="shared" si="129"/>
        <v>0</v>
      </c>
      <c r="CH127" s="499">
        <f t="shared" si="130"/>
        <v>0</v>
      </c>
      <c r="CI127" s="499">
        <f t="shared" si="131"/>
        <v>0</v>
      </c>
      <c r="CJ127" s="499">
        <f t="shared" si="132"/>
        <v>0</v>
      </c>
      <c r="CP127" s="499"/>
      <c r="CQ127" s="65">
        <f t="shared" si="134"/>
        <v>0.97812126981210734</v>
      </c>
      <c r="CR127" s="499">
        <f t="shared" si="135"/>
        <v>0.97812126981210734</v>
      </c>
      <c r="CS127" s="499">
        <f t="shared" si="136"/>
        <v>0.97812126981210734</v>
      </c>
      <c r="CT127" s="38">
        <f t="shared" si="137"/>
        <v>1</v>
      </c>
      <c r="CU127" s="498">
        <f t="shared" si="138"/>
        <v>1</v>
      </c>
    </row>
    <row r="128" spans="43:99">
      <c r="AQ128" s="499"/>
      <c r="AR128" s="228">
        <v>19.503861000000001</v>
      </c>
      <c r="AS128" s="13">
        <v>26</v>
      </c>
      <c r="AT128" s="13">
        <v>2.8950559999999999</v>
      </c>
      <c r="AU128" s="13">
        <f t="shared" si="149"/>
        <v>0</v>
      </c>
      <c r="AV128" s="13">
        <f t="shared" si="140"/>
        <v>19.503861000000001</v>
      </c>
      <c r="AW128" s="13">
        <f t="shared" si="141"/>
        <v>19.503861000000001</v>
      </c>
      <c r="AX128" s="13">
        <f t="shared" si="142"/>
        <v>19.503861000000001</v>
      </c>
      <c r="AY128" s="13">
        <v>1138.773081</v>
      </c>
      <c r="AZ128" s="13">
        <f t="shared" si="143"/>
        <v>0</v>
      </c>
      <c r="BA128" s="13">
        <f t="shared" si="144"/>
        <v>0</v>
      </c>
      <c r="BB128" s="97">
        <f t="shared" si="145"/>
        <v>0</v>
      </c>
      <c r="BC128" s="499"/>
      <c r="BD128" s="499">
        <v>88.35</v>
      </c>
      <c r="BE128" s="499">
        <v>23.273582661290316</v>
      </c>
      <c r="BF128" s="499">
        <v>19.516229435483869</v>
      </c>
      <c r="BG128" s="499">
        <v>21.70781309499084</v>
      </c>
      <c r="BI128" s="499">
        <f t="shared" ref="BI128:BJ128" si="205">AS131</f>
        <v>306</v>
      </c>
      <c r="BJ128" s="499">
        <f t="shared" si="205"/>
        <v>2.924766</v>
      </c>
      <c r="BK128" s="5">
        <f t="shared" si="118"/>
        <v>0</v>
      </c>
      <c r="BL128" s="499">
        <f t="shared" si="119"/>
        <v>21.113482000000001</v>
      </c>
      <c r="BM128" s="499">
        <f t="shared" si="120"/>
        <v>998.98075400000005</v>
      </c>
      <c r="BO128" s="499">
        <f t="shared" si="121"/>
        <v>306</v>
      </c>
      <c r="BP128" s="499">
        <f t="shared" si="122"/>
        <v>2.924766</v>
      </c>
      <c r="BQ128" s="5">
        <f t="shared" si="114"/>
        <v>0</v>
      </c>
      <c r="BR128" s="499">
        <f t="shared" si="123"/>
        <v>21.113482000000001</v>
      </c>
      <c r="BS128" s="499">
        <f t="shared" si="124"/>
        <v>998.98075400000005</v>
      </c>
      <c r="BU128" s="499">
        <f t="shared" si="125"/>
        <v>306</v>
      </c>
      <c r="BV128" s="499">
        <f t="shared" si="126"/>
        <v>2.924766</v>
      </c>
      <c r="BW128" s="5">
        <f t="shared" si="115"/>
        <v>0</v>
      </c>
      <c r="BX128" s="499">
        <f t="shared" si="127"/>
        <v>21.113482000000001</v>
      </c>
      <c r="BY128" s="499">
        <f t="shared" si="128"/>
        <v>998.98075400000005</v>
      </c>
      <c r="CA128">
        <v>306</v>
      </c>
      <c r="CB128">
        <v>2.924766</v>
      </c>
      <c r="CC128">
        <v>0</v>
      </c>
      <c r="CD128">
        <v>21.113482000000001</v>
      </c>
      <c r="CE128">
        <v>998.98075400000005</v>
      </c>
      <c r="CG128" s="499">
        <f t="shared" si="129"/>
        <v>0</v>
      </c>
      <c r="CH128" s="499">
        <f t="shared" si="130"/>
        <v>0</v>
      </c>
      <c r="CI128" s="499">
        <f t="shared" si="131"/>
        <v>0</v>
      </c>
      <c r="CJ128" s="499">
        <f t="shared" si="132"/>
        <v>0</v>
      </c>
      <c r="CP128" s="499"/>
      <c r="CQ128" s="65">
        <f t="shared" si="134"/>
        <v>0.97885974906169881</v>
      </c>
      <c r="CR128" s="499">
        <f t="shared" si="135"/>
        <v>0.97885974906169881</v>
      </c>
      <c r="CS128" s="499">
        <f t="shared" si="136"/>
        <v>0.97885974906169881</v>
      </c>
      <c r="CT128" s="38">
        <f t="shared" si="137"/>
        <v>1</v>
      </c>
      <c r="CU128" s="498">
        <f t="shared" si="138"/>
        <v>1</v>
      </c>
    </row>
    <row r="129" spans="43:99">
      <c r="AQ129" s="499"/>
      <c r="AR129" s="228">
        <v>20.73527</v>
      </c>
      <c r="AS129" s="13">
        <v>367</v>
      </c>
      <c r="AT129" s="13">
        <v>2.9168349999999998</v>
      </c>
      <c r="AU129" s="13">
        <f t="shared" si="149"/>
        <v>0</v>
      </c>
      <c r="AV129" s="13">
        <f t="shared" si="140"/>
        <v>20.73527</v>
      </c>
      <c r="AW129" s="13">
        <f t="shared" si="141"/>
        <v>20.73527</v>
      </c>
      <c r="AX129" s="13">
        <f t="shared" si="142"/>
        <v>20.73527</v>
      </c>
      <c r="AY129" s="13">
        <v>1001.716391</v>
      </c>
      <c r="AZ129" s="13">
        <f t="shared" si="143"/>
        <v>0</v>
      </c>
      <c r="BA129" s="13">
        <f t="shared" si="144"/>
        <v>0</v>
      </c>
      <c r="BB129" s="97">
        <f t="shared" si="145"/>
        <v>0</v>
      </c>
      <c r="BC129" s="499"/>
      <c r="BD129" s="499">
        <v>88.15</v>
      </c>
      <c r="BE129" s="499">
        <v>23.063186290322584</v>
      </c>
      <c r="BF129" s="499">
        <v>19.45172036290322</v>
      </c>
      <c r="BG129" s="499">
        <v>21.641397412715211</v>
      </c>
      <c r="BI129" s="499">
        <f t="shared" ref="BI129:BJ129" si="206">AS132</f>
        <v>216</v>
      </c>
      <c r="BJ129" s="499">
        <f t="shared" si="206"/>
        <v>2.9434999999999998</v>
      </c>
      <c r="BK129" s="5">
        <f t="shared" si="118"/>
        <v>0</v>
      </c>
      <c r="BL129" s="499">
        <f t="shared" si="119"/>
        <v>23.401229000000001</v>
      </c>
      <c r="BM129" s="499">
        <f t="shared" si="120"/>
        <v>669.54926999999998</v>
      </c>
      <c r="BO129" s="499">
        <f t="shared" si="121"/>
        <v>216</v>
      </c>
      <c r="BP129" s="499">
        <f t="shared" si="122"/>
        <v>2.9434999999999998</v>
      </c>
      <c r="BQ129" s="5">
        <f t="shared" si="114"/>
        <v>0</v>
      </c>
      <c r="BR129" s="499">
        <f t="shared" si="123"/>
        <v>23.401229000000001</v>
      </c>
      <c r="BS129" s="499">
        <f t="shared" si="124"/>
        <v>669.54926999999998</v>
      </c>
      <c r="BU129" s="499">
        <f t="shared" si="125"/>
        <v>216</v>
      </c>
      <c r="BV129" s="499">
        <f t="shared" si="126"/>
        <v>2.9434999999999998</v>
      </c>
      <c r="BW129" s="5">
        <f t="shared" si="115"/>
        <v>0</v>
      </c>
      <c r="BX129" s="499">
        <f t="shared" si="127"/>
        <v>23.401229000000001</v>
      </c>
      <c r="BY129" s="499">
        <f t="shared" si="128"/>
        <v>669.54926999999998</v>
      </c>
      <c r="CA129">
        <v>216</v>
      </c>
      <c r="CB129">
        <v>2.9434999999999998</v>
      </c>
      <c r="CC129">
        <v>0</v>
      </c>
      <c r="CD129">
        <v>23.401229000000001</v>
      </c>
      <c r="CE129">
        <v>669.54926999999998</v>
      </c>
      <c r="CG129" s="499">
        <f t="shared" si="129"/>
        <v>0</v>
      </c>
      <c r="CH129" s="499">
        <f t="shared" si="130"/>
        <v>0</v>
      </c>
      <c r="CI129" s="499">
        <f t="shared" si="131"/>
        <v>0</v>
      </c>
      <c r="CJ129" s="499">
        <f t="shared" si="132"/>
        <v>0</v>
      </c>
      <c r="CP129" s="499"/>
      <c r="CQ129" s="65">
        <f t="shared" si="134"/>
        <v>0.9772951392538779</v>
      </c>
      <c r="CR129" s="499">
        <f t="shared" si="135"/>
        <v>0.9772951392538779</v>
      </c>
      <c r="CS129" s="499">
        <f t="shared" si="136"/>
        <v>0.9772951392538779</v>
      </c>
      <c r="CT129" s="38">
        <f t="shared" si="137"/>
        <v>1</v>
      </c>
      <c r="CU129" s="498">
        <f t="shared" si="138"/>
        <v>1</v>
      </c>
    </row>
    <row r="130" spans="43:99">
      <c r="AQ130" s="499"/>
      <c r="AR130" s="228">
        <v>16.714791000000002</v>
      </c>
      <c r="AS130" s="13">
        <v>182</v>
      </c>
      <c r="AT130" s="13">
        <v>2.9208289999999999</v>
      </c>
      <c r="AU130" s="13">
        <f t="shared" si="149"/>
        <v>0</v>
      </c>
      <c r="AV130" s="13">
        <f t="shared" si="140"/>
        <v>16.714791000000002</v>
      </c>
      <c r="AW130" s="13">
        <f t="shared" si="141"/>
        <v>16.714791000000002</v>
      </c>
      <c r="AX130" s="13">
        <f t="shared" si="142"/>
        <v>16.714791000000002</v>
      </c>
      <c r="AY130" s="13">
        <v>1653.331606</v>
      </c>
      <c r="AZ130" s="13">
        <f t="shared" si="143"/>
        <v>0</v>
      </c>
      <c r="BA130" s="13">
        <f t="shared" si="144"/>
        <v>0</v>
      </c>
      <c r="BB130" s="97">
        <f t="shared" si="145"/>
        <v>0</v>
      </c>
      <c r="BC130" s="499"/>
      <c r="BD130" s="499">
        <v>87.95</v>
      </c>
      <c r="BE130" s="499">
        <v>22.935141935483877</v>
      </c>
      <c r="BF130" s="499">
        <v>19.413302419354839</v>
      </c>
      <c r="BG130" s="499">
        <v>21.616044675760076</v>
      </c>
      <c r="BI130" s="499">
        <f t="shared" ref="BI130:BJ130" si="207">AS133</f>
        <v>167</v>
      </c>
      <c r="BJ130" s="499">
        <f t="shared" si="207"/>
        <v>2.947975</v>
      </c>
      <c r="BK130" s="5">
        <f t="shared" si="118"/>
        <v>0</v>
      </c>
      <c r="BL130" s="499">
        <f t="shared" si="119"/>
        <v>19.372482000000002</v>
      </c>
      <c r="BM130" s="499">
        <f t="shared" si="120"/>
        <v>1000.001845</v>
      </c>
      <c r="BO130" s="499">
        <f t="shared" si="121"/>
        <v>167</v>
      </c>
      <c r="BP130" s="499">
        <f t="shared" si="122"/>
        <v>2.947975</v>
      </c>
      <c r="BQ130" s="5">
        <f t="shared" si="114"/>
        <v>0</v>
      </c>
      <c r="BR130" s="499">
        <f t="shared" si="123"/>
        <v>19.372482000000002</v>
      </c>
      <c r="BS130" s="499">
        <f t="shared" si="124"/>
        <v>1000.001845</v>
      </c>
      <c r="BU130" s="499">
        <f t="shared" si="125"/>
        <v>167</v>
      </c>
      <c r="BV130" s="499">
        <f t="shared" si="126"/>
        <v>2.947975</v>
      </c>
      <c r="BW130" s="5">
        <f t="shared" si="115"/>
        <v>0</v>
      </c>
      <c r="BX130" s="499">
        <f t="shared" si="127"/>
        <v>19.372482000000002</v>
      </c>
      <c r="BY130" s="499">
        <f t="shared" si="128"/>
        <v>1000.001845</v>
      </c>
      <c r="CA130">
        <v>167</v>
      </c>
      <c r="CB130">
        <v>2.947975</v>
      </c>
      <c r="CC130">
        <v>0</v>
      </c>
      <c r="CD130">
        <v>19.372482000000002</v>
      </c>
      <c r="CE130">
        <v>1000.001845</v>
      </c>
      <c r="CG130" s="499">
        <f t="shared" si="129"/>
        <v>0</v>
      </c>
      <c r="CH130" s="499">
        <f t="shared" si="130"/>
        <v>0</v>
      </c>
      <c r="CI130" s="499">
        <f t="shared" si="131"/>
        <v>0</v>
      </c>
      <c r="CJ130" s="499">
        <f t="shared" si="132"/>
        <v>0</v>
      </c>
      <c r="CP130" s="499"/>
      <c r="CQ130" s="65">
        <f t="shared" si="134"/>
        <v>0.85055714911358105</v>
      </c>
      <c r="CR130" s="499">
        <f t="shared" si="135"/>
        <v>0.85055714911358105</v>
      </c>
      <c r="CS130" s="499">
        <f t="shared" si="136"/>
        <v>0.85055714911358105</v>
      </c>
      <c r="CT130" s="38">
        <f t="shared" si="137"/>
        <v>1</v>
      </c>
      <c r="CU130" s="498">
        <f t="shared" si="138"/>
        <v>1</v>
      </c>
    </row>
    <row r="131" spans="43:99">
      <c r="AQ131" s="499"/>
      <c r="AR131" s="228">
        <v>21.113482000000001</v>
      </c>
      <c r="AS131" s="13">
        <v>306</v>
      </c>
      <c r="AT131" s="13">
        <v>2.924766</v>
      </c>
      <c r="AU131" s="13">
        <f t="shared" si="149"/>
        <v>0</v>
      </c>
      <c r="AV131" s="13">
        <f t="shared" si="140"/>
        <v>21.113482000000001</v>
      </c>
      <c r="AW131" s="13">
        <f t="shared" si="141"/>
        <v>21.113482000000001</v>
      </c>
      <c r="AX131" s="13">
        <f t="shared" si="142"/>
        <v>21.113482000000001</v>
      </c>
      <c r="AY131" s="13">
        <v>998.98075400000005</v>
      </c>
      <c r="AZ131" s="13">
        <f t="shared" si="143"/>
        <v>0</v>
      </c>
      <c r="BA131" s="13">
        <f t="shared" si="144"/>
        <v>0</v>
      </c>
      <c r="BB131" s="97">
        <f t="shared" si="145"/>
        <v>0</v>
      </c>
      <c r="BC131" s="499"/>
      <c r="BD131" s="499">
        <v>87.75</v>
      </c>
      <c r="BE131" s="499">
        <v>22.900179032258059</v>
      </c>
      <c r="BF131" s="499">
        <v>19.386533266129032</v>
      </c>
      <c r="BG131" s="499">
        <v>21.602635028978938</v>
      </c>
      <c r="BI131" s="499">
        <f t="shared" ref="BI131:BJ131" si="208">AS134</f>
        <v>192</v>
      </c>
      <c r="BJ131" s="499">
        <f t="shared" si="208"/>
        <v>2.947975</v>
      </c>
      <c r="BK131" s="5">
        <f t="shared" si="118"/>
        <v>0</v>
      </c>
      <c r="BL131" s="499">
        <f t="shared" si="119"/>
        <v>22.000641999999999</v>
      </c>
      <c r="BM131" s="499">
        <f t="shared" si="120"/>
        <v>999.10761600000001</v>
      </c>
      <c r="BO131" s="499">
        <f t="shared" si="121"/>
        <v>192</v>
      </c>
      <c r="BP131" s="499">
        <f t="shared" si="122"/>
        <v>2.947975</v>
      </c>
      <c r="BQ131" s="5">
        <f t="shared" si="114"/>
        <v>0</v>
      </c>
      <c r="BR131" s="499">
        <f t="shared" si="123"/>
        <v>22.000641999999999</v>
      </c>
      <c r="BS131" s="499">
        <f t="shared" si="124"/>
        <v>999.10761600000001</v>
      </c>
      <c r="BU131" s="499">
        <f t="shared" si="125"/>
        <v>192</v>
      </c>
      <c r="BV131" s="499">
        <f t="shared" si="126"/>
        <v>2.947975</v>
      </c>
      <c r="BW131" s="5">
        <f t="shared" si="115"/>
        <v>0</v>
      </c>
      <c r="BX131" s="499">
        <f t="shared" si="127"/>
        <v>22.000641999999999</v>
      </c>
      <c r="BY131" s="499">
        <f t="shared" si="128"/>
        <v>999.10761600000001</v>
      </c>
      <c r="CA131">
        <v>192</v>
      </c>
      <c r="CB131">
        <v>2.947975</v>
      </c>
      <c r="CC131">
        <v>0</v>
      </c>
      <c r="CD131">
        <v>22.000641999999999</v>
      </c>
      <c r="CE131">
        <v>999.10761600000001</v>
      </c>
      <c r="CG131" s="499">
        <f t="shared" si="129"/>
        <v>0</v>
      </c>
      <c r="CH131" s="499">
        <f t="shared" si="130"/>
        <v>0</v>
      </c>
      <c r="CI131" s="499">
        <f t="shared" si="131"/>
        <v>0</v>
      </c>
      <c r="CJ131" s="499">
        <f t="shared" si="132"/>
        <v>0</v>
      </c>
      <c r="CP131" s="499"/>
      <c r="CQ131" s="65">
        <f t="shared" si="134"/>
        <v>0.97881069959940636</v>
      </c>
      <c r="CR131" s="499">
        <f t="shared" si="135"/>
        <v>0.97881069959940636</v>
      </c>
      <c r="CS131" s="499">
        <f t="shared" si="136"/>
        <v>0.97881069959940636</v>
      </c>
      <c r="CT131" s="38">
        <f t="shared" si="137"/>
        <v>1</v>
      </c>
      <c r="CU131" s="498">
        <f t="shared" si="138"/>
        <v>1</v>
      </c>
    </row>
    <row r="132" spans="43:99">
      <c r="AQ132" s="499"/>
      <c r="AR132" s="228">
        <v>23.401229000000001</v>
      </c>
      <c r="AS132" s="13">
        <v>216</v>
      </c>
      <c r="AT132" s="13">
        <v>2.9434999999999998</v>
      </c>
      <c r="AU132" s="13">
        <f t="shared" si="149"/>
        <v>0</v>
      </c>
      <c r="AV132" s="13">
        <f t="shared" si="140"/>
        <v>23.401229000000001</v>
      </c>
      <c r="AW132" s="13">
        <f t="shared" si="141"/>
        <v>23.401229000000001</v>
      </c>
      <c r="AX132" s="13">
        <f t="shared" si="142"/>
        <v>23.401229000000001</v>
      </c>
      <c r="AY132" s="13">
        <v>669.54926999999998</v>
      </c>
      <c r="AZ132" s="13">
        <f t="shared" si="143"/>
        <v>0</v>
      </c>
      <c r="BA132" s="13">
        <f t="shared" si="144"/>
        <v>0</v>
      </c>
      <c r="BB132" s="97">
        <f t="shared" si="145"/>
        <v>0</v>
      </c>
      <c r="BC132" s="499"/>
      <c r="BD132" s="499">
        <v>87.55</v>
      </c>
      <c r="BE132" s="499">
        <v>22.896363709677416</v>
      </c>
      <c r="BF132" s="499">
        <v>19.370783870967749</v>
      </c>
      <c r="BG132" s="499">
        <v>21.641257505673078</v>
      </c>
      <c r="BI132" s="499">
        <f t="shared" ref="BI132:BJ132" si="209">AS135</f>
        <v>315</v>
      </c>
      <c r="BJ132" s="499">
        <f t="shared" si="209"/>
        <v>2.947975</v>
      </c>
      <c r="BK132" s="5">
        <f t="shared" si="118"/>
        <v>0</v>
      </c>
      <c r="BL132" s="499">
        <f t="shared" si="119"/>
        <v>22.384224</v>
      </c>
      <c r="BM132" s="499">
        <f t="shared" si="120"/>
        <v>1001.372377</v>
      </c>
      <c r="BO132" s="499">
        <f t="shared" si="121"/>
        <v>315</v>
      </c>
      <c r="BP132" s="499">
        <f t="shared" si="122"/>
        <v>2.947975</v>
      </c>
      <c r="BQ132" s="5">
        <f t="shared" si="114"/>
        <v>0</v>
      </c>
      <c r="BR132" s="499">
        <f t="shared" si="123"/>
        <v>22.384224</v>
      </c>
      <c r="BS132" s="499">
        <f t="shared" si="124"/>
        <v>1001.372377</v>
      </c>
      <c r="BU132" s="499">
        <f t="shared" si="125"/>
        <v>315</v>
      </c>
      <c r="BV132" s="499">
        <f t="shared" si="126"/>
        <v>2.947975</v>
      </c>
      <c r="BW132" s="5">
        <f t="shared" si="115"/>
        <v>0</v>
      </c>
      <c r="BX132" s="499">
        <f t="shared" si="127"/>
        <v>22.384224</v>
      </c>
      <c r="BY132" s="499">
        <f t="shared" si="128"/>
        <v>1001.372377</v>
      </c>
      <c r="CA132">
        <v>315</v>
      </c>
      <c r="CB132">
        <v>2.947975</v>
      </c>
      <c r="CC132">
        <v>0</v>
      </c>
      <c r="CD132">
        <v>22.384224</v>
      </c>
      <c r="CE132">
        <v>1001.372377</v>
      </c>
      <c r="CG132" s="499">
        <f t="shared" si="129"/>
        <v>0</v>
      </c>
      <c r="CH132" s="499">
        <f t="shared" si="130"/>
        <v>0</v>
      </c>
      <c r="CI132" s="499">
        <f t="shared" si="131"/>
        <v>0</v>
      </c>
      <c r="CJ132" s="499">
        <f t="shared" si="132"/>
        <v>0</v>
      </c>
      <c r="CP132" s="499"/>
      <c r="CQ132" s="65">
        <f t="shared" si="134"/>
        <v>0.96980973248423685</v>
      </c>
      <c r="CR132" s="499">
        <f t="shared" si="135"/>
        <v>0.96980973248423685</v>
      </c>
      <c r="CS132" s="499">
        <f t="shared" si="136"/>
        <v>0.96980973248423685</v>
      </c>
      <c r="CT132" s="38">
        <f t="shared" si="137"/>
        <v>1</v>
      </c>
      <c r="CU132" s="498">
        <f t="shared" si="138"/>
        <v>1</v>
      </c>
    </row>
    <row r="133" spans="43:99">
      <c r="AQ133" s="499"/>
      <c r="AR133" s="228">
        <v>19.372482000000002</v>
      </c>
      <c r="AS133" s="13">
        <v>167</v>
      </c>
      <c r="AT133" s="13">
        <v>2.947975</v>
      </c>
      <c r="AU133" s="13">
        <f t="shared" si="149"/>
        <v>0</v>
      </c>
      <c r="AV133" s="13">
        <f t="shared" si="140"/>
        <v>19.372482000000002</v>
      </c>
      <c r="AW133" s="13">
        <f t="shared" si="141"/>
        <v>19.372482000000002</v>
      </c>
      <c r="AX133" s="13">
        <f t="shared" si="142"/>
        <v>19.372482000000002</v>
      </c>
      <c r="AY133" s="13">
        <v>1000.001845</v>
      </c>
      <c r="AZ133" s="13">
        <f t="shared" si="143"/>
        <v>0</v>
      </c>
      <c r="BA133" s="13">
        <f t="shared" si="144"/>
        <v>0</v>
      </c>
      <c r="BB133" s="97">
        <f t="shared" si="145"/>
        <v>0</v>
      </c>
      <c r="BC133" s="499"/>
      <c r="BD133" s="499">
        <v>87.35</v>
      </c>
      <c r="BE133" s="499">
        <v>22.379872580645166</v>
      </c>
      <c r="BF133" s="499">
        <v>19.209912096774193</v>
      </c>
      <c r="BG133" s="499">
        <v>21.429462597408431</v>
      </c>
      <c r="BI133" s="499">
        <f t="shared" ref="BI133:BJ133" si="210">AS136</f>
        <v>178</v>
      </c>
      <c r="BJ133" s="499">
        <f t="shared" si="210"/>
        <v>2.9493309999999999</v>
      </c>
      <c r="BK133" s="5">
        <f t="shared" si="118"/>
        <v>0</v>
      </c>
      <c r="BL133" s="499">
        <f t="shared" si="119"/>
        <v>21.488631000000002</v>
      </c>
      <c r="BM133" s="499">
        <f t="shared" si="120"/>
        <v>998.43489599999998</v>
      </c>
      <c r="BO133" s="499">
        <f t="shared" si="121"/>
        <v>178</v>
      </c>
      <c r="BP133" s="499">
        <f t="shared" si="122"/>
        <v>2.9493309999999999</v>
      </c>
      <c r="BQ133" s="5">
        <f t="shared" ref="BQ133:BQ196" si="211">IF(BR133&gt;=24.4,1,0)</f>
        <v>0</v>
      </c>
      <c r="BR133" s="499">
        <f t="shared" si="123"/>
        <v>21.488631000000002</v>
      </c>
      <c r="BS133" s="499">
        <f t="shared" si="124"/>
        <v>998.43489599999998</v>
      </c>
      <c r="BU133" s="499">
        <f t="shared" si="125"/>
        <v>178</v>
      </c>
      <c r="BV133" s="499">
        <f t="shared" si="126"/>
        <v>2.9493309999999999</v>
      </c>
      <c r="BW133" s="5">
        <f t="shared" ref="BW133:BW196" si="212">IF(BX133&gt;=24.4,1,0)</f>
        <v>0</v>
      </c>
      <c r="BX133" s="499">
        <f t="shared" si="127"/>
        <v>21.488631000000002</v>
      </c>
      <c r="BY133" s="499">
        <f t="shared" si="128"/>
        <v>998.43489599999998</v>
      </c>
      <c r="CA133">
        <v>178</v>
      </c>
      <c r="CB133">
        <v>2.9493309999999999</v>
      </c>
      <c r="CC133">
        <v>0</v>
      </c>
      <c r="CD133">
        <v>21.488631000000002</v>
      </c>
      <c r="CE133">
        <v>998.43489599999998</v>
      </c>
      <c r="CG133" s="499">
        <f t="shared" si="129"/>
        <v>0</v>
      </c>
      <c r="CH133" s="499">
        <f t="shared" si="130"/>
        <v>0</v>
      </c>
      <c r="CI133" s="499">
        <f t="shared" si="131"/>
        <v>0</v>
      </c>
      <c r="CJ133" s="499">
        <f t="shared" si="132"/>
        <v>0</v>
      </c>
      <c r="CP133" s="499"/>
      <c r="CQ133" s="65">
        <f t="shared" si="134"/>
        <v>0.9596694638306843</v>
      </c>
      <c r="CR133" s="499">
        <f t="shared" si="135"/>
        <v>0.9596694638306843</v>
      </c>
      <c r="CS133" s="499">
        <f t="shared" si="136"/>
        <v>0.9596694638306843</v>
      </c>
      <c r="CT133" s="38">
        <f t="shared" si="137"/>
        <v>1</v>
      </c>
      <c r="CU133" s="498">
        <f t="shared" si="138"/>
        <v>1</v>
      </c>
    </row>
    <row r="134" spans="43:99">
      <c r="AQ134" s="499"/>
      <c r="AR134" s="228">
        <v>22.000641999999999</v>
      </c>
      <c r="AS134" s="13">
        <v>192</v>
      </c>
      <c r="AT134" s="13">
        <v>2.947975</v>
      </c>
      <c r="AU134" s="13">
        <f t="shared" si="149"/>
        <v>0</v>
      </c>
      <c r="AV134" s="13">
        <f t="shared" si="140"/>
        <v>22.000641999999999</v>
      </c>
      <c r="AW134" s="13">
        <f t="shared" si="141"/>
        <v>22.000641999999999</v>
      </c>
      <c r="AX134" s="13">
        <f t="shared" si="142"/>
        <v>22.000641999999999</v>
      </c>
      <c r="AY134" s="13">
        <v>999.10761600000001</v>
      </c>
      <c r="AZ134" s="13">
        <f t="shared" si="143"/>
        <v>0</v>
      </c>
      <c r="BA134" s="13">
        <f t="shared" si="144"/>
        <v>0</v>
      </c>
      <c r="BB134" s="97">
        <f t="shared" si="145"/>
        <v>0</v>
      </c>
      <c r="BC134" s="499"/>
      <c r="BD134" s="499">
        <v>87.15</v>
      </c>
      <c r="BE134" s="499">
        <v>22.475889314516131</v>
      </c>
      <c r="BF134" s="499">
        <v>19.267055846774195</v>
      </c>
      <c r="BG134" s="499">
        <v>21.575439969409338</v>
      </c>
      <c r="BI134" s="499">
        <f t="shared" ref="BI134:BJ134" si="213">AS137</f>
        <v>81</v>
      </c>
      <c r="BJ134" s="499">
        <f t="shared" si="213"/>
        <v>2.9543560000000002</v>
      </c>
      <c r="BK134" s="5">
        <f t="shared" ref="BK134:BK197" si="214">IF(BL134&gt;=24.4,1,0)</f>
        <v>0</v>
      </c>
      <c r="BL134" s="499">
        <f t="shared" ref="BL134:BL197" si="215">AR137</f>
        <v>21.488631000000002</v>
      </c>
      <c r="BM134" s="499">
        <f t="shared" ref="BM134:BM197" si="216">AY137</f>
        <v>1000.094786</v>
      </c>
      <c r="BO134" s="499">
        <f t="shared" ref="BO134:BO197" si="217">BI134</f>
        <v>81</v>
      </c>
      <c r="BP134" s="499">
        <f t="shared" ref="BP134:BP197" si="218">BJ134</f>
        <v>2.9543560000000002</v>
      </c>
      <c r="BQ134" s="5">
        <f t="shared" si="211"/>
        <v>0</v>
      </c>
      <c r="BR134" s="499">
        <f t="shared" ref="BR134:BR197" si="219">$BL134-AZ137</f>
        <v>21.488631000000002</v>
      </c>
      <c r="BS134" s="499">
        <f t="shared" ref="BS134:BS197" si="220">BM134</f>
        <v>1000.094786</v>
      </c>
      <c r="BU134" s="499">
        <f t="shared" ref="BU134:BU197" si="221">BI134</f>
        <v>81</v>
      </c>
      <c r="BV134" s="499">
        <f t="shared" ref="BV134:BV197" si="222">BJ134</f>
        <v>2.9543560000000002</v>
      </c>
      <c r="BW134" s="5">
        <f t="shared" si="212"/>
        <v>0</v>
      </c>
      <c r="BX134" s="499">
        <f t="shared" ref="BX134:BX197" si="223">$BL134-BA137</f>
        <v>21.488631000000002</v>
      </c>
      <c r="BY134" s="499">
        <f t="shared" ref="BY134:BY197" si="224">BM134</f>
        <v>1000.094786</v>
      </c>
      <c r="CA134">
        <v>81</v>
      </c>
      <c r="CB134">
        <v>2.9543560000000002</v>
      </c>
      <c r="CC134">
        <v>0</v>
      </c>
      <c r="CD134">
        <v>21.488631000000002</v>
      </c>
      <c r="CE134">
        <v>1000.094786</v>
      </c>
      <c r="CG134" s="499">
        <f t="shared" ref="CG134:CG197" si="225">BK134</f>
        <v>0</v>
      </c>
      <c r="CH134" s="499">
        <f t="shared" ref="CH134:CH197" si="226">BQ134</f>
        <v>0</v>
      </c>
      <c r="CI134" s="499">
        <f t="shared" ref="CI134:CI197" si="227">BW134</f>
        <v>0</v>
      </c>
      <c r="CJ134" s="499">
        <f t="shared" ref="CJ134:CJ197" si="228">CC134</f>
        <v>0</v>
      </c>
      <c r="CP134" s="499"/>
      <c r="CQ134" s="65">
        <f t="shared" si="134"/>
        <v>0.97556829123263</v>
      </c>
      <c r="CR134" s="499">
        <f t="shared" si="135"/>
        <v>0.97556829123263</v>
      </c>
      <c r="CS134" s="499">
        <f t="shared" si="136"/>
        <v>0.97556829123263</v>
      </c>
      <c r="CT134" s="38">
        <f t="shared" si="137"/>
        <v>1</v>
      </c>
      <c r="CU134" s="498">
        <f t="shared" si="138"/>
        <v>1</v>
      </c>
    </row>
    <row r="135" spans="43:99">
      <c r="AQ135" s="499"/>
      <c r="AR135" s="228">
        <v>22.384224</v>
      </c>
      <c r="AS135" s="13">
        <v>315</v>
      </c>
      <c r="AT135" s="13">
        <v>2.947975</v>
      </c>
      <c r="AU135" s="13">
        <f t="shared" si="149"/>
        <v>0</v>
      </c>
      <c r="AV135" s="13">
        <f t="shared" si="140"/>
        <v>22.384224</v>
      </c>
      <c r="AW135" s="13">
        <f t="shared" si="141"/>
        <v>22.384224</v>
      </c>
      <c r="AX135" s="13">
        <f t="shared" si="142"/>
        <v>22.384224</v>
      </c>
      <c r="AY135" s="13">
        <v>1001.372377</v>
      </c>
      <c r="AZ135" s="13">
        <f t="shared" si="143"/>
        <v>0</v>
      </c>
      <c r="BA135" s="13">
        <f t="shared" si="144"/>
        <v>0</v>
      </c>
      <c r="BB135" s="97">
        <f t="shared" si="145"/>
        <v>0</v>
      </c>
      <c r="BC135" s="499"/>
      <c r="BD135" s="499">
        <v>86.95</v>
      </c>
      <c r="BE135" s="499">
        <v>22.396041532258064</v>
      </c>
      <c r="BF135" s="499">
        <v>19.273188104838713</v>
      </c>
      <c r="BG135" s="499">
        <v>21.658947522051285</v>
      </c>
      <c r="BI135" s="499">
        <f t="shared" ref="BI135:BJ135" si="229">AS138</f>
        <v>444</v>
      </c>
      <c r="BJ135" s="499">
        <f t="shared" si="229"/>
        <v>2.9641739999999999</v>
      </c>
      <c r="BK135" s="5">
        <f t="shared" si="214"/>
        <v>0</v>
      </c>
      <c r="BL135" s="499">
        <f t="shared" si="215"/>
        <v>20.061532</v>
      </c>
      <c r="BM135" s="499">
        <f t="shared" si="216"/>
        <v>1606.8919470000001</v>
      </c>
      <c r="BO135" s="499">
        <f t="shared" si="217"/>
        <v>444</v>
      </c>
      <c r="BP135" s="499">
        <f t="shared" si="218"/>
        <v>2.9641739999999999</v>
      </c>
      <c r="BQ135" s="5">
        <f t="shared" si="211"/>
        <v>0</v>
      </c>
      <c r="BR135" s="499">
        <f t="shared" si="219"/>
        <v>20.061532</v>
      </c>
      <c r="BS135" s="499">
        <f t="shared" si="220"/>
        <v>1606.8919470000001</v>
      </c>
      <c r="BU135" s="499">
        <f t="shared" si="221"/>
        <v>444</v>
      </c>
      <c r="BV135" s="499">
        <f t="shared" si="222"/>
        <v>2.9641739999999999</v>
      </c>
      <c r="BW135" s="5">
        <f t="shared" si="212"/>
        <v>0</v>
      </c>
      <c r="BX135" s="499">
        <f t="shared" si="223"/>
        <v>20.061532</v>
      </c>
      <c r="BY135" s="499">
        <f t="shared" si="224"/>
        <v>1606.8919470000001</v>
      </c>
      <c r="CA135">
        <v>444</v>
      </c>
      <c r="CB135">
        <v>2.9641739999999999</v>
      </c>
      <c r="CC135">
        <v>0</v>
      </c>
      <c r="CD135">
        <v>20.061532</v>
      </c>
      <c r="CE135">
        <v>1606.8919470000001</v>
      </c>
      <c r="CG135" s="499">
        <f t="shared" si="225"/>
        <v>0</v>
      </c>
      <c r="CH135" s="499">
        <f t="shared" si="226"/>
        <v>0</v>
      </c>
      <c r="CI135" s="499">
        <f t="shared" si="227"/>
        <v>0</v>
      </c>
      <c r="CJ135" s="499">
        <f t="shared" si="228"/>
        <v>0</v>
      </c>
      <c r="CP135" s="499"/>
      <c r="CQ135" s="65">
        <f t="shared" ref="CQ135:CQ198" si="230">(97.886/(1+EXP(-((BL134-24.35322)/-0.5033))))/100</f>
        <v>0.97556829123263</v>
      </c>
      <c r="CR135" s="499">
        <f t="shared" ref="CR135:CR198" si="231">(97.886/(1+EXP(-((BR134-24.35322)/-0.5033))))/100</f>
        <v>0.97556829123263</v>
      </c>
      <c r="CS135" s="499">
        <f t="shared" ref="CS135:CS198" si="232">(97.886/(1+EXP(-((BX134-24.35322)/-0.5033))))/100</f>
        <v>0.97556829123263</v>
      </c>
      <c r="CT135" s="38">
        <f t="shared" ref="CT135:CT198" si="233">CR135/CQ135</f>
        <v>1</v>
      </c>
      <c r="CU135" s="498">
        <f t="shared" ref="CU135:CU198" si="234">CS135/CQ135</f>
        <v>1</v>
      </c>
    </row>
    <row r="136" spans="43:99">
      <c r="AQ136" s="499"/>
      <c r="AR136" s="228">
        <v>21.488631000000002</v>
      </c>
      <c r="AS136" s="13">
        <v>178</v>
      </c>
      <c r="AT136" s="13">
        <v>2.9493309999999999</v>
      </c>
      <c r="AU136" s="13">
        <f t="shared" si="149"/>
        <v>0</v>
      </c>
      <c r="AV136" s="13">
        <f t="shared" si="140"/>
        <v>21.488631000000002</v>
      </c>
      <c r="AW136" s="13">
        <f t="shared" si="141"/>
        <v>21.488631000000002</v>
      </c>
      <c r="AX136" s="13">
        <f t="shared" si="142"/>
        <v>21.488631000000002</v>
      </c>
      <c r="AY136" s="13">
        <v>998.43489599999998</v>
      </c>
      <c r="AZ136" s="13">
        <f t="shared" si="143"/>
        <v>0</v>
      </c>
      <c r="BA136" s="13">
        <f t="shared" si="144"/>
        <v>0</v>
      </c>
      <c r="BB136" s="97">
        <f t="shared" si="145"/>
        <v>0</v>
      </c>
      <c r="BC136" s="499"/>
      <c r="BD136" s="499">
        <v>86.75</v>
      </c>
      <c r="BE136" s="499">
        <v>22.368556451612896</v>
      </c>
      <c r="BF136" s="499">
        <v>19.247575201612904</v>
      </c>
      <c r="BG136" s="499">
        <v>21.66553617507784</v>
      </c>
      <c r="BI136" s="499">
        <f t="shared" ref="BI136:BJ136" si="235">AS139</f>
        <v>232</v>
      </c>
      <c r="BJ136" s="499">
        <f t="shared" si="235"/>
        <v>2.9794900000000002</v>
      </c>
      <c r="BK136" s="5">
        <f t="shared" si="214"/>
        <v>0</v>
      </c>
      <c r="BL136" s="499">
        <f t="shared" si="215"/>
        <v>21.416664000000001</v>
      </c>
      <c r="BM136" s="499">
        <f t="shared" si="216"/>
        <v>999.87660800000003</v>
      </c>
      <c r="BO136" s="499">
        <f t="shared" si="217"/>
        <v>232</v>
      </c>
      <c r="BP136" s="499">
        <f t="shared" si="218"/>
        <v>2.9794900000000002</v>
      </c>
      <c r="BQ136" s="5">
        <f t="shared" si="211"/>
        <v>0</v>
      </c>
      <c r="BR136" s="499">
        <f t="shared" si="219"/>
        <v>21.416664000000001</v>
      </c>
      <c r="BS136" s="499">
        <f t="shared" si="220"/>
        <v>999.87660800000003</v>
      </c>
      <c r="BU136" s="499">
        <f t="shared" si="221"/>
        <v>232</v>
      </c>
      <c r="BV136" s="499">
        <f t="shared" si="222"/>
        <v>2.9794900000000002</v>
      </c>
      <c r="BW136" s="5">
        <f t="shared" si="212"/>
        <v>0</v>
      </c>
      <c r="BX136" s="499">
        <f t="shared" si="223"/>
        <v>21.416664000000001</v>
      </c>
      <c r="BY136" s="499">
        <f t="shared" si="224"/>
        <v>999.87660800000003</v>
      </c>
      <c r="CA136">
        <v>232</v>
      </c>
      <c r="CB136">
        <v>2.9794900000000002</v>
      </c>
      <c r="CC136">
        <v>0</v>
      </c>
      <c r="CD136">
        <v>21.416664000000001</v>
      </c>
      <c r="CE136">
        <v>999.87660800000003</v>
      </c>
      <c r="CG136" s="499">
        <f t="shared" si="225"/>
        <v>0</v>
      </c>
      <c r="CH136" s="499">
        <f t="shared" si="226"/>
        <v>0</v>
      </c>
      <c r="CI136" s="499">
        <f t="shared" si="227"/>
        <v>0</v>
      </c>
      <c r="CJ136" s="499">
        <f t="shared" si="228"/>
        <v>0</v>
      </c>
      <c r="CP136" s="499"/>
      <c r="CQ136" s="65">
        <f t="shared" si="230"/>
        <v>0.97866619572847768</v>
      </c>
      <c r="CR136" s="499">
        <f t="shared" si="231"/>
        <v>0.97866619572847768</v>
      </c>
      <c r="CS136" s="499">
        <f t="shared" si="232"/>
        <v>0.97866619572847768</v>
      </c>
      <c r="CT136" s="38">
        <f t="shared" si="233"/>
        <v>1</v>
      </c>
      <c r="CU136" s="498">
        <f t="shared" si="234"/>
        <v>1</v>
      </c>
    </row>
    <row r="137" spans="43:99">
      <c r="AQ137" s="499"/>
      <c r="AR137" s="228">
        <v>21.488631000000002</v>
      </c>
      <c r="AS137" s="13">
        <v>81</v>
      </c>
      <c r="AT137" s="13">
        <v>2.9543560000000002</v>
      </c>
      <c r="AU137" s="13">
        <f t="shared" si="149"/>
        <v>0</v>
      </c>
      <c r="AV137" s="13">
        <f t="shared" ref="AV137:AV200" si="236">IF(ISERROR(VLOOKUP(AS137,B$3:AP$102,40,FALSE))=TRUE,AR137,VLOOKUP(AS137,B$3:AP$102,40,FALSE))</f>
        <v>21.488631000000002</v>
      </c>
      <c r="AW137" s="13">
        <f t="shared" ref="AW137:AW200" si="237">IF(ISERROR(VLOOKUP(AS137,B$3:AP$102,39,FALSE))=TRUE,AR137,VLOOKUP(AS137,B$3:AP$102,39,FALSE))</f>
        <v>21.488631000000002</v>
      </c>
      <c r="AX137" s="13">
        <f t="shared" ref="AX137:AX200" si="238">IF(ISERROR(VLOOKUP(AS137,B$3:AP$102,41,FALSE))=TRUE,AR137,VLOOKUP(AS137,B$3:AP$102,41,FALSE))</f>
        <v>21.488631000000002</v>
      </c>
      <c r="AY137" s="13">
        <v>1000.094786</v>
      </c>
      <c r="AZ137" s="13">
        <f t="shared" ref="AZ137:AZ200" si="239">IF($AV137=0,0,$AV137-AW137)</f>
        <v>0</v>
      </c>
      <c r="BA137" s="13">
        <f t="shared" ref="BA137:BA200" si="240">IF($AV137=0,0,$AV137-AX137)</f>
        <v>0</v>
      </c>
      <c r="BB137" s="97">
        <f t="shared" ref="BB137:BB200" si="241">IF(AV137=0,0,$AR137-AV137)</f>
        <v>0</v>
      </c>
      <c r="BC137" s="499"/>
      <c r="BD137" s="499">
        <v>86.55</v>
      </c>
      <c r="BE137" s="499">
        <v>22.388216935483868</v>
      </c>
      <c r="BF137" s="499">
        <v>19.213042540322579</v>
      </c>
      <c r="BG137" s="499">
        <v>21.527073118012819</v>
      </c>
      <c r="BI137" s="499">
        <f t="shared" ref="BI137:BJ137" si="242">AS140</f>
        <v>238</v>
      </c>
      <c r="BJ137" s="499">
        <f t="shared" si="242"/>
        <v>2.9971559999999999</v>
      </c>
      <c r="BK137" s="5">
        <f t="shared" si="214"/>
        <v>0</v>
      </c>
      <c r="BL137" s="499">
        <f t="shared" si="215"/>
        <v>19.839504999999999</v>
      </c>
      <c r="BM137" s="499">
        <f t="shared" si="216"/>
        <v>1001.308265</v>
      </c>
      <c r="BO137" s="499">
        <f t="shared" si="217"/>
        <v>238</v>
      </c>
      <c r="BP137" s="499">
        <f t="shared" si="218"/>
        <v>2.9971559999999999</v>
      </c>
      <c r="BQ137" s="5">
        <f t="shared" si="211"/>
        <v>0</v>
      </c>
      <c r="BR137" s="499">
        <f t="shared" si="219"/>
        <v>19.839504999999999</v>
      </c>
      <c r="BS137" s="499">
        <f t="shared" si="220"/>
        <v>1001.308265</v>
      </c>
      <c r="BU137" s="499">
        <f t="shared" si="221"/>
        <v>238</v>
      </c>
      <c r="BV137" s="499">
        <f t="shared" si="222"/>
        <v>2.9971559999999999</v>
      </c>
      <c r="BW137" s="5">
        <f t="shared" si="212"/>
        <v>0</v>
      </c>
      <c r="BX137" s="499">
        <f t="shared" si="223"/>
        <v>19.839504999999999</v>
      </c>
      <c r="BY137" s="499">
        <f t="shared" si="224"/>
        <v>1001.308265</v>
      </c>
      <c r="CA137">
        <v>238</v>
      </c>
      <c r="CB137">
        <v>2.9971559999999999</v>
      </c>
      <c r="CC137">
        <v>0</v>
      </c>
      <c r="CD137">
        <v>19.839504999999999</v>
      </c>
      <c r="CE137">
        <v>1001.308265</v>
      </c>
      <c r="CG137" s="499">
        <f t="shared" si="225"/>
        <v>0</v>
      </c>
      <c r="CH137" s="499">
        <f t="shared" si="226"/>
        <v>0</v>
      </c>
      <c r="CI137" s="499">
        <f t="shared" si="227"/>
        <v>0</v>
      </c>
      <c r="CJ137" s="499">
        <f t="shared" si="228"/>
        <v>0</v>
      </c>
      <c r="CP137" s="499"/>
      <c r="CQ137" s="65">
        <f t="shared" si="230"/>
        <v>0.97600559133492371</v>
      </c>
      <c r="CR137" s="499">
        <f t="shared" si="231"/>
        <v>0.97600559133492371</v>
      </c>
      <c r="CS137" s="499">
        <f t="shared" si="232"/>
        <v>0.97600559133492371</v>
      </c>
      <c r="CT137" s="38">
        <f t="shared" si="233"/>
        <v>1</v>
      </c>
      <c r="CU137" s="498">
        <f t="shared" si="234"/>
        <v>1</v>
      </c>
    </row>
    <row r="138" spans="43:99">
      <c r="AQ138" s="499"/>
      <c r="AR138" s="228">
        <v>20.061532</v>
      </c>
      <c r="AS138" s="13">
        <v>444</v>
      </c>
      <c r="AT138" s="13">
        <v>2.9641739999999999</v>
      </c>
      <c r="AU138" s="13">
        <f t="shared" si="149"/>
        <v>0</v>
      </c>
      <c r="AV138" s="13">
        <f t="shared" si="236"/>
        <v>20.061532</v>
      </c>
      <c r="AW138" s="13">
        <f t="shared" si="237"/>
        <v>20.061532</v>
      </c>
      <c r="AX138" s="13">
        <f t="shared" si="238"/>
        <v>20.061532</v>
      </c>
      <c r="AY138" s="13">
        <v>1606.8919470000001</v>
      </c>
      <c r="AZ138" s="13">
        <f t="shared" si="239"/>
        <v>0</v>
      </c>
      <c r="BA138" s="13">
        <f t="shared" si="240"/>
        <v>0</v>
      </c>
      <c r="BB138" s="97">
        <f t="shared" si="241"/>
        <v>0</v>
      </c>
      <c r="BC138" s="499"/>
      <c r="BD138" s="499">
        <v>86.35</v>
      </c>
      <c r="BE138" s="499">
        <v>22.276673991935482</v>
      </c>
      <c r="BF138" s="499">
        <v>19.179526209677416</v>
      </c>
      <c r="BG138" s="499">
        <v>21.373128446616306</v>
      </c>
      <c r="BI138" s="499">
        <f t="shared" ref="BI138:BJ138" si="243">AS141</f>
        <v>8</v>
      </c>
      <c r="BJ138" s="499">
        <f t="shared" si="243"/>
        <v>3</v>
      </c>
      <c r="BK138" s="5">
        <f t="shared" si="214"/>
        <v>1</v>
      </c>
      <c r="BL138" s="499">
        <f t="shared" si="215"/>
        <v>28.538378000000002</v>
      </c>
      <c r="BM138" s="499">
        <f t="shared" si="216"/>
        <v>751.74645599999997</v>
      </c>
      <c r="BO138" s="499">
        <f t="shared" si="217"/>
        <v>8</v>
      </c>
      <c r="BP138" s="499">
        <f t="shared" si="218"/>
        <v>3</v>
      </c>
      <c r="BQ138" s="5">
        <f t="shared" si="211"/>
        <v>1</v>
      </c>
      <c r="BR138" s="499">
        <f t="shared" si="219"/>
        <v>28.538378000000002</v>
      </c>
      <c r="BS138" s="499">
        <f t="shared" si="220"/>
        <v>751.74645599999997</v>
      </c>
      <c r="BU138" s="499">
        <f t="shared" si="221"/>
        <v>8</v>
      </c>
      <c r="BV138" s="499">
        <f t="shared" si="222"/>
        <v>3</v>
      </c>
      <c r="BW138" s="5">
        <f t="shared" si="212"/>
        <v>1</v>
      </c>
      <c r="BX138" s="499">
        <f t="shared" si="223"/>
        <v>28.538378000000002</v>
      </c>
      <c r="BY138" s="499">
        <f t="shared" si="224"/>
        <v>751.74645599999997</v>
      </c>
      <c r="CA138">
        <v>8</v>
      </c>
      <c r="CB138">
        <v>3</v>
      </c>
      <c r="CC138">
        <v>1</v>
      </c>
      <c r="CD138">
        <v>28.538378000000002</v>
      </c>
      <c r="CE138">
        <v>751.74645599999997</v>
      </c>
      <c r="CG138" s="499">
        <f t="shared" si="225"/>
        <v>1</v>
      </c>
      <c r="CH138" s="499">
        <f t="shared" si="226"/>
        <v>1</v>
      </c>
      <c r="CI138" s="499">
        <f t="shared" si="227"/>
        <v>1</v>
      </c>
      <c r="CJ138" s="499">
        <f t="shared" si="228"/>
        <v>1</v>
      </c>
      <c r="CP138" s="499"/>
      <c r="CQ138" s="65">
        <f t="shared" si="230"/>
        <v>0.97873531670208735</v>
      </c>
      <c r="CR138" s="499">
        <f t="shared" si="231"/>
        <v>0.97873531670208735</v>
      </c>
      <c r="CS138" s="499">
        <f t="shared" si="232"/>
        <v>0.97873531670208735</v>
      </c>
      <c r="CT138" s="38">
        <f t="shared" si="233"/>
        <v>1</v>
      </c>
      <c r="CU138" s="498">
        <f t="shared" si="234"/>
        <v>1</v>
      </c>
    </row>
    <row r="139" spans="43:99">
      <c r="AQ139" s="499"/>
      <c r="AR139" s="228">
        <v>21.416664000000001</v>
      </c>
      <c r="AS139" s="13">
        <v>232</v>
      </c>
      <c r="AT139" s="13">
        <v>2.9794900000000002</v>
      </c>
      <c r="AU139" s="13">
        <f t="shared" si="149"/>
        <v>0</v>
      </c>
      <c r="AV139" s="13">
        <f t="shared" si="236"/>
        <v>21.416664000000001</v>
      </c>
      <c r="AW139" s="13">
        <f t="shared" si="237"/>
        <v>21.416664000000001</v>
      </c>
      <c r="AX139" s="13">
        <f t="shared" si="238"/>
        <v>21.416664000000001</v>
      </c>
      <c r="AY139" s="13">
        <v>999.87660800000003</v>
      </c>
      <c r="AZ139" s="13">
        <f t="shared" si="239"/>
        <v>0</v>
      </c>
      <c r="BA139" s="13">
        <f t="shared" si="240"/>
        <v>0</v>
      </c>
      <c r="BB139" s="97">
        <f t="shared" si="241"/>
        <v>0</v>
      </c>
      <c r="BC139" s="499"/>
      <c r="BD139" s="499">
        <v>86.15</v>
      </c>
      <c r="BE139" s="499">
        <v>22.241778629032265</v>
      </c>
      <c r="BF139" s="499">
        <v>19.154557056451619</v>
      </c>
      <c r="BG139" s="499">
        <v>21.268523853264657</v>
      </c>
      <c r="BI139" s="499">
        <f t="shared" ref="BI139:BJ139" si="244">AS142</f>
        <v>475</v>
      </c>
      <c r="BJ139" s="499">
        <f t="shared" si="244"/>
        <v>3</v>
      </c>
      <c r="BK139" s="5">
        <f t="shared" si="214"/>
        <v>1</v>
      </c>
      <c r="BL139" s="499">
        <f t="shared" si="215"/>
        <v>28.538378000000002</v>
      </c>
      <c r="BM139" s="499">
        <f t="shared" si="216"/>
        <v>999.39248799999996</v>
      </c>
      <c r="BO139" s="499">
        <f t="shared" si="217"/>
        <v>475</v>
      </c>
      <c r="BP139" s="499">
        <f t="shared" si="218"/>
        <v>3</v>
      </c>
      <c r="BQ139" s="5">
        <f t="shared" si="211"/>
        <v>1</v>
      </c>
      <c r="BR139" s="499">
        <f t="shared" si="219"/>
        <v>28.538378000000002</v>
      </c>
      <c r="BS139" s="499">
        <f t="shared" si="220"/>
        <v>999.39248799999996</v>
      </c>
      <c r="BU139" s="499">
        <f t="shared" si="221"/>
        <v>475</v>
      </c>
      <c r="BV139" s="499">
        <f t="shared" si="222"/>
        <v>3</v>
      </c>
      <c r="BW139" s="5">
        <f t="shared" si="212"/>
        <v>1</v>
      </c>
      <c r="BX139" s="499">
        <f t="shared" si="223"/>
        <v>28.538378000000002</v>
      </c>
      <c r="BY139" s="499">
        <f t="shared" si="224"/>
        <v>999.39248799999996</v>
      </c>
      <c r="CA139">
        <v>475</v>
      </c>
      <c r="CB139">
        <v>3</v>
      </c>
      <c r="CC139">
        <v>1</v>
      </c>
      <c r="CD139">
        <v>28.538378000000002</v>
      </c>
      <c r="CE139">
        <v>999.39248799999996</v>
      </c>
      <c r="CG139" s="499">
        <f t="shared" si="225"/>
        <v>1</v>
      </c>
      <c r="CH139" s="499">
        <f t="shared" si="226"/>
        <v>1</v>
      </c>
      <c r="CI139" s="499">
        <f t="shared" si="227"/>
        <v>1</v>
      </c>
      <c r="CJ139" s="499">
        <f t="shared" si="228"/>
        <v>1</v>
      </c>
      <c r="CP139" s="499"/>
      <c r="CQ139" s="65">
        <f t="shared" si="230"/>
        <v>2.3947884732756833E-4</v>
      </c>
      <c r="CR139" s="499">
        <f t="shared" si="231"/>
        <v>2.3947884732756833E-4</v>
      </c>
      <c r="CS139" s="499">
        <f t="shared" si="232"/>
        <v>2.3947884732756833E-4</v>
      </c>
      <c r="CT139" s="38">
        <f t="shared" si="233"/>
        <v>1</v>
      </c>
      <c r="CU139" s="498">
        <f t="shared" si="234"/>
        <v>1</v>
      </c>
    </row>
    <row r="140" spans="43:99">
      <c r="AQ140" s="499"/>
      <c r="AR140" s="228">
        <v>19.839504999999999</v>
      </c>
      <c r="AS140" s="13">
        <v>238</v>
      </c>
      <c r="AT140" s="13">
        <v>2.9971559999999999</v>
      </c>
      <c r="AU140" s="13">
        <f t="shared" ref="AU140:AU203" si="245">IF(AW140&gt;=24.4,1,0)</f>
        <v>0</v>
      </c>
      <c r="AV140" s="13">
        <f t="shared" si="236"/>
        <v>19.839504999999999</v>
      </c>
      <c r="AW140" s="13">
        <f t="shared" si="237"/>
        <v>19.839504999999999</v>
      </c>
      <c r="AX140" s="13">
        <f t="shared" si="238"/>
        <v>19.839504999999999</v>
      </c>
      <c r="AY140" s="13">
        <v>1001.308265</v>
      </c>
      <c r="AZ140" s="13">
        <f t="shared" si="239"/>
        <v>0</v>
      </c>
      <c r="BA140" s="13">
        <f t="shared" si="240"/>
        <v>0</v>
      </c>
      <c r="BB140" s="97">
        <f t="shared" si="241"/>
        <v>0</v>
      </c>
      <c r="BC140" s="499"/>
      <c r="BD140" s="499">
        <v>85.95</v>
      </c>
      <c r="BE140" s="499">
        <v>22.375468145161296</v>
      </c>
      <c r="BF140" s="499">
        <v>19.137403427419358</v>
      </c>
      <c r="BG140" s="499">
        <v>21.354586605618131</v>
      </c>
      <c r="BI140" s="499">
        <f t="shared" ref="BI140:BJ140" si="246">AS143</f>
        <v>380</v>
      </c>
      <c r="BJ140" s="499">
        <f t="shared" si="246"/>
        <v>3</v>
      </c>
      <c r="BK140" s="5">
        <f t="shared" si="214"/>
        <v>1</v>
      </c>
      <c r="BL140" s="499">
        <f t="shared" si="215"/>
        <v>31.479856000000002</v>
      </c>
      <c r="BM140" s="499">
        <f t="shared" si="216"/>
        <v>846.02005799999995</v>
      </c>
      <c r="BO140" s="499">
        <f t="shared" si="217"/>
        <v>380</v>
      </c>
      <c r="BP140" s="499">
        <f t="shared" si="218"/>
        <v>3</v>
      </c>
      <c r="BQ140" s="5">
        <f t="shared" si="211"/>
        <v>1</v>
      </c>
      <c r="BR140" s="499">
        <f t="shared" si="219"/>
        <v>31.479856000000002</v>
      </c>
      <c r="BS140" s="499">
        <f t="shared" si="220"/>
        <v>846.02005799999995</v>
      </c>
      <c r="BU140" s="499">
        <f t="shared" si="221"/>
        <v>380</v>
      </c>
      <c r="BV140" s="499">
        <f t="shared" si="222"/>
        <v>3</v>
      </c>
      <c r="BW140" s="5">
        <f t="shared" si="212"/>
        <v>1</v>
      </c>
      <c r="BX140" s="499">
        <f t="shared" si="223"/>
        <v>31.479856000000002</v>
      </c>
      <c r="BY140" s="499">
        <f t="shared" si="224"/>
        <v>846.02005799999995</v>
      </c>
      <c r="CA140">
        <v>380</v>
      </c>
      <c r="CB140">
        <v>3</v>
      </c>
      <c r="CC140">
        <v>1</v>
      </c>
      <c r="CD140">
        <v>31.479856000000002</v>
      </c>
      <c r="CE140">
        <v>846.02005799999995</v>
      </c>
      <c r="CG140" s="499">
        <f t="shared" si="225"/>
        <v>1</v>
      </c>
      <c r="CH140" s="499">
        <f t="shared" si="226"/>
        <v>1</v>
      </c>
      <c r="CI140" s="499">
        <f t="shared" si="227"/>
        <v>1</v>
      </c>
      <c r="CJ140" s="499">
        <f t="shared" si="228"/>
        <v>1</v>
      </c>
      <c r="CP140" s="499"/>
      <c r="CQ140" s="65">
        <f t="shared" si="230"/>
        <v>2.3947884732756833E-4</v>
      </c>
      <c r="CR140" s="499">
        <f t="shared" si="231"/>
        <v>2.3947884732756833E-4</v>
      </c>
      <c r="CS140" s="499">
        <f t="shared" si="232"/>
        <v>2.3947884732756833E-4</v>
      </c>
      <c r="CT140" s="38">
        <f t="shared" si="233"/>
        <v>1</v>
      </c>
      <c r="CU140" s="498">
        <f t="shared" si="234"/>
        <v>1</v>
      </c>
    </row>
    <row r="141" spans="43:99">
      <c r="AQ141" s="499"/>
      <c r="AR141" s="228">
        <v>28.538378000000002</v>
      </c>
      <c r="AS141" s="13">
        <v>8</v>
      </c>
      <c r="AT141" s="13">
        <v>3</v>
      </c>
      <c r="AU141" s="13">
        <f t="shared" si="245"/>
        <v>1</v>
      </c>
      <c r="AV141" s="13">
        <f t="shared" si="236"/>
        <v>28.538378000000002</v>
      </c>
      <c r="AW141" s="13">
        <f t="shared" si="237"/>
        <v>28.538378000000002</v>
      </c>
      <c r="AX141" s="13">
        <f t="shared" si="238"/>
        <v>28.538378000000002</v>
      </c>
      <c r="AY141" s="13">
        <v>751.74645599999997</v>
      </c>
      <c r="AZ141" s="13">
        <f t="shared" si="239"/>
        <v>0</v>
      </c>
      <c r="BA141" s="13">
        <f t="shared" si="240"/>
        <v>0</v>
      </c>
      <c r="BB141" s="97">
        <f t="shared" si="241"/>
        <v>0</v>
      </c>
      <c r="BC141" s="499"/>
      <c r="BD141" s="499">
        <v>85.75</v>
      </c>
      <c r="BE141" s="499">
        <v>22.384810685483867</v>
      </c>
      <c r="BF141" s="499">
        <v>19.111584879032264</v>
      </c>
      <c r="BG141" s="499">
        <v>21.279864045521979</v>
      </c>
      <c r="BI141" s="499">
        <f t="shared" ref="BI141:BJ141" si="247">AS144</f>
        <v>175</v>
      </c>
      <c r="BJ141" s="499">
        <f t="shared" si="247"/>
        <v>3.0048219999999999</v>
      </c>
      <c r="BK141" s="5">
        <f t="shared" si="214"/>
        <v>0</v>
      </c>
      <c r="BL141" s="499">
        <f t="shared" si="215"/>
        <v>20.046220000000002</v>
      </c>
      <c r="BM141" s="499">
        <f t="shared" si="216"/>
        <v>1000.558887</v>
      </c>
      <c r="BO141" s="499">
        <f t="shared" si="217"/>
        <v>175</v>
      </c>
      <c r="BP141" s="499">
        <f t="shared" si="218"/>
        <v>3.0048219999999999</v>
      </c>
      <c r="BQ141" s="5">
        <f t="shared" si="211"/>
        <v>0</v>
      </c>
      <c r="BR141" s="499">
        <f t="shared" si="219"/>
        <v>20.046220000000002</v>
      </c>
      <c r="BS141" s="499">
        <f t="shared" si="220"/>
        <v>1000.558887</v>
      </c>
      <c r="BU141" s="499">
        <f t="shared" si="221"/>
        <v>175</v>
      </c>
      <c r="BV141" s="499">
        <f t="shared" si="222"/>
        <v>3.0048219999999999</v>
      </c>
      <c r="BW141" s="5">
        <f t="shared" si="212"/>
        <v>0</v>
      </c>
      <c r="BX141" s="499">
        <f t="shared" si="223"/>
        <v>20.046220000000002</v>
      </c>
      <c r="BY141" s="499">
        <f t="shared" si="224"/>
        <v>1000.558887</v>
      </c>
      <c r="CA141">
        <v>175</v>
      </c>
      <c r="CB141">
        <v>3.0048219999999999</v>
      </c>
      <c r="CC141">
        <v>0</v>
      </c>
      <c r="CD141">
        <v>20.046220000000002</v>
      </c>
      <c r="CE141">
        <v>1000.558887</v>
      </c>
      <c r="CG141" s="499">
        <f t="shared" si="225"/>
        <v>0</v>
      </c>
      <c r="CH141" s="499">
        <f t="shared" si="226"/>
        <v>0</v>
      </c>
      <c r="CI141" s="499">
        <f t="shared" si="227"/>
        <v>0</v>
      </c>
      <c r="CJ141" s="499">
        <f t="shared" si="228"/>
        <v>0</v>
      </c>
      <c r="CP141" s="499"/>
      <c r="CQ141" s="65">
        <f t="shared" si="230"/>
        <v>6.9372891517322701E-7</v>
      </c>
      <c r="CR141" s="499">
        <f t="shared" si="231"/>
        <v>6.9372891517322701E-7</v>
      </c>
      <c r="CS141" s="499">
        <f t="shared" si="232"/>
        <v>6.9372891517322701E-7</v>
      </c>
      <c r="CT141" s="38">
        <f t="shared" si="233"/>
        <v>1</v>
      </c>
      <c r="CU141" s="498">
        <f t="shared" si="234"/>
        <v>1</v>
      </c>
    </row>
    <row r="142" spans="43:99">
      <c r="AQ142" s="499"/>
      <c r="AR142" s="228">
        <v>28.538378000000002</v>
      </c>
      <c r="AS142" s="13">
        <v>475</v>
      </c>
      <c r="AT142" s="13">
        <v>3</v>
      </c>
      <c r="AU142" s="13">
        <f t="shared" si="245"/>
        <v>1</v>
      </c>
      <c r="AV142" s="13">
        <f t="shared" si="236"/>
        <v>28.538378000000002</v>
      </c>
      <c r="AW142" s="13">
        <f t="shared" si="237"/>
        <v>28.538378000000002</v>
      </c>
      <c r="AX142" s="13">
        <f t="shared" si="238"/>
        <v>28.538378000000002</v>
      </c>
      <c r="AY142" s="13">
        <v>999.39248799999996</v>
      </c>
      <c r="AZ142" s="13">
        <f t="shared" si="239"/>
        <v>0</v>
      </c>
      <c r="BA142" s="13">
        <f t="shared" si="240"/>
        <v>0</v>
      </c>
      <c r="BB142" s="97">
        <f t="shared" si="241"/>
        <v>0</v>
      </c>
      <c r="BC142" s="499"/>
      <c r="BD142" s="499">
        <v>85.55</v>
      </c>
      <c r="BE142" s="499">
        <v>22.352390927419357</v>
      </c>
      <c r="BF142" s="499">
        <v>19.085695967741934</v>
      </c>
      <c r="BG142" s="499">
        <v>21.261885396620883</v>
      </c>
      <c r="BI142" s="499">
        <f t="shared" ref="BI142:BJ142" si="248">AS145</f>
        <v>271</v>
      </c>
      <c r="BJ142" s="499">
        <f t="shared" si="248"/>
        <v>3.009757</v>
      </c>
      <c r="BK142" s="5">
        <f t="shared" si="214"/>
        <v>0</v>
      </c>
      <c r="BL142" s="499">
        <f t="shared" si="215"/>
        <v>21.596699999999998</v>
      </c>
      <c r="BM142" s="499">
        <f t="shared" si="216"/>
        <v>804.89449400000001</v>
      </c>
      <c r="BO142" s="499">
        <f t="shared" si="217"/>
        <v>271</v>
      </c>
      <c r="BP142" s="499">
        <f t="shared" si="218"/>
        <v>3.009757</v>
      </c>
      <c r="BQ142" s="5">
        <f t="shared" si="211"/>
        <v>0</v>
      </c>
      <c r="BR142" s="499">
        <f t="shared" si="219"/>
        <v>21.596699999999998</v>
      </c>
      <c r="BS142" s="499">
        <f t="shared" si="220"/>
        <v>804.89449400000001</v>
      </c>
      <c r="BU142" s="499">
        <f t="shared" si="221"/>
        <v>271</v>
      </c>
      <c r="BV142" s="499">
        <f t="shared" si="222"/>
        <v>3.009757</v>
      </c>
      <c r="BW142" s="5">
        <f t="shared" si="212"/>
        <v>0</v>
      </c>
      <c r="BX142" s="499">
        <f t="shared" si="223"/>
        <v>21.596699999999998</v>
      </c>
      <c r="BY142" s="499">
        <f t="shared" si="224"/>
        <v>804.89449400000001</v>
      </c>
      <c r="CA142">
        <v>271</v>
      </c>
      <c r="CB142">
        <v>3.009757</v>
      </c>
      <c r="CC142">
        <v>0</v>
      </c>
      <c r="CD142">
        <v>21.596699999999998</v>
      </c>
      <c r="CE142">
        <v>804.89449400000001</v>
      </c>
      <c r="CG142" s="499">
        <f t="shared" si="225"/>
        <v>0</v>
      </c>
      <c r="CH142" s="499">
        <f t="shared" si="226"/>
        <v>0</v>
      </c>
      <c r="CI142" s="499">
        <f t="shared" si="227"/>
        <v>0</v>
      </c>
      <c r="CJ142" s="499">
        <f t="shared" si="228"/>
        <v>0</v>
      </c>
      <c r="CP142" s="499"/>
      <c r="CQ142" s="65">
        <f t="shared" si="230"/>
        <v>0.97867200197338344</v>
      </c>
      <c r="CR142" s="499">
        <f t="shared" si="231"/>
        <v>0.97867200197338344</v>
      </c>
      <c r="CS142" s="499">
        <f t="shared" si="232"/>
        <v>0.97867200197338344</v>
      </c>
      <c r="CT142" s="38">
        <f t="shared" si="233"/>
        <v>1</v>
      </c>
      <c r="CU142" s="498">
        <f t="shared" si="234"/>
        <v>1</v>
      </c>
    </row>
    <row r="143" spans="43:99">
      <c r="AQ143" s="499"/>
      <c r="AR143" s="228">
        <v>31.479856000000002</v>
      </c>
      <c r="AS143" s="13">
        <v>380</v>
      </c>
      <c r="AT143" s="13">
        <v>3</v>
      </c>
      <c r="AU143" s="13">
        <f t="shared" si="245"/>
        <v>1</v>
      </c>
      <c r="AV143" s="13">
        <f t="shared" si="236"/>
        <v>31.479856000000002</v>
      </c>
      <c r="AW143" s="13">
        <f t="shared" si="237"/>
        <v>31.479856000000002</v>
      </c>
      <c r="AX143" s="13">
        <f t="shared" si="238"/>
        <v>31.479856000000002</v>
      </c>
      <c r="AY143" s="13">
        <v>846.02005799999995</v>
      </c>
      <c r="AZ143" s="13">
        <f t="shared" si="239"/>
        <v>0</v>
      </c>
      <c r="BA143" s="13">
        <f t="shared" si="240"/>
        <v>0</v>
      </c>
      <c r="BB143" s="97">
        <f t="shared" si="241"/>
        <v>0</v>
      </c>
      <c r="BC143" s="499"/>
      <c r="BD143" s="499">
        <v>85.35</v>
      </c>
      <c r="BE143" s="499">
        <v>22.360418548387099</v>
      </c>
      <c r="BF143" s="499">
        <v>19.058169153225808</v>
      </c>
      <c r="BG143" s="499">
        <v>21.229048089826009</v>
      </c>
      <c r="BI143" s="499">
        <f t="shared" ref="BI143:BJ143" si="249">AS146</f>
        <v>90</v>
      </c>
      <c r="BJ143" s="499">
        <f t="shared" si="249"/>
        <v>3.0170520000000001</v>
      </c>
      <c r="BK143" s="5">
        <f t="shared" si="214"/>
        <v>0</v>
      </c>
      <c r="BL143" s="499">
        <f t="shared" si="215"/>
        <v>19.429137000000001</v>
      </c>
      <c r="BM143" s="499">
        <f t="shared" si="216"/>
        <v>796.56284100000005</v>
      </c>
      <c r="BO143" s="499">
        <f t="shared" si="217"/>
        <v>90</v>
      </c>
      <c r="BP143" s="499">
        <f t="shared" si="218"/>
        <v>3.0170520000000001</v>
      </c>
      <c r="BQ143" s="5">
        <f t="shared" si="211"/>
        <v>0</v>
      </c>
      <c r="BR143" s="499">
        <f t="shared" si="219"/>
        <v>19.429137000000001</v>
      </c>
      <c r="BS143" s="499">
        <f t="shared" si="220"/>
        <v>796.56284100000005</v>
      </c>
      <c r="BU143" s="499">
        <f t="shared" si="221"/>
        <v>90</v>
      </c>
      <c r="BV143" s="499">
        <f t="shared" si="222"/>
        <v>3.0170520000000001</v>
      </c>
      <c r="BW143" s="5">
        <f t="shared" si="212"/>
        <v>0</v>
      </c>
      <c r="BX143" s="499">
        <f t="shared" si="223"/>
        <v>19.429137000000001</v>
      </c>
      <c r="BY143" s="499">
        <f t="shared" si="224"/>
        <v>796.56284100000005</v>
      </c>
      <c r="CA143">
        <v>90</v>
      </c>
      <c r="CB143">
        <v>3.0170520000000001</v>
      </c>
      <c r="CC143">
        <v>0</v>
      </c>
      <c r="CD143">
        <v>19.429137000000001</v>
      </c>
      <c r="CE143">
        <v>796.56284100000005</v>
      </c>
      <c r="CG143" s="499">
        <f t="shared" si="225"/>
        <v>0</v>
      </c>
      <c r="CH143" s="499">
        <f t="shared" si="226"/>
        <v>0</v>
      </c>
      <c r="CI143" s="499">
        <f t="shared" si="227"/>
        <v>0</v>
      </c>
      <c r="CJ143" s="499">
        <f t="shared" si="228"/>
        <v>0</v>
      </c>
      <c r="CP143" s="499"/>
      <c r="CQ143" s="65">
        <f t="shared" si="230"/>
        <v>0.97478315854534725</v>
      </c>
      <c r="CR143" s="499">
        <f t="shared" si="231"/>
        <v>0.97478315854534725</v>
      </c>
      <c r="CS143" s="499">
        <f t="shared" si="232"/>
        <v>0.97478315854534725</v>
      </c>
      <c r="CT143" s="38">
        <f t="shared" si="233"/>
        <v>1</v>
      </c>
      <c r="CU143" s="498">
        <f t="shared" si="234"/>
        <v>1</v>
      </c>
    </row>
    <row r="144" spans="43:99">
      <c r="AQ144" s="499"/>
      <c r="AR144" s="228">
        <v>20.046220000000002</v>
      </c>
      <c r="AS144" s="13">
        <v>175</v>
      </c>
      <c r="AT144" s="13">
        <v>3.0048219999999999</v>
      </c>
      <c r="AU144" s="13">
        <f t="shared" si="245"/>
        <v>0</v>
      </c>
      <c r="AV144" s="13">
        <f t="shared" si="236"/>
        <v>20.046220000000002</v>
      </c>
      <c r="AW144" s="13">
        <f t="shared" si="237"/>
        <v>20.046220000000002</v>
      </c>
      <c r="AX144" s="13">
        <f t="shared" si="238"/>
        <v>20.046220000000002</v>
      </c>
      <c r="AY144" s="13">
        <v>1000.558887</v>
      </c>
      <c r="AZ144" s="13">
        <f t="shared" si="239"/>
        <v>0</v>
      </c>
      <c r="BA144" s="13">
        <f t="shared" si="240"/>
        <v>0</v>
      </c>
      <c r="BB144" s="97">
        <f t="shared" si="241"/>
        <v>0</v>
      </c>
      <c r="BC144" s="499"/>
      <c r="BD144" s="499">
        <v>85.15</v>
      </c>
      <c r="BE144" s="499">
        <v>22.355391330645162</v>
      </c>
      <c r="BF144" s="499">
        <v>19.041931451612893</v>
      </c>
      <c r="BG144" s="499">
        <v>21.290354103740849</v>
      </c>
      <c r="BI144" s="499">
        <f t="shared" ref="BI144:BJ144" si="250">AS147</f>
        <v>131</v>
      </c>
      <c r="BJ144" s="499">
        <f t="shared" si="250"/>
        <v>3.0208849999999998</v>
      </c>
      <c r="BK144" s="5">
        <f t="shared" si="214"/>
        <v>0</v>
      </c>
      <c r="BL144" s="499">
        <f t="shared" si="215"/>
        <v>18.905459</v>
      </c>
      <c r="BM144" s="499">
        <f t="shared" si="216"/>
        <v>1000.260883</v>
      </c>
      <c r="BO144" s="499">
        <f t="shared" si="217"/>
        <v>131</v>
      </c>
      <c r="BP144" s="499">
        <f t="shared" si="218"/>
        <v>3.0208849999999998</v>
      </c>
      <c r="BQ144" s="5">
        <f t="shared" si="211"/>
        <v>0</v>
      </c>
      <c r="BR144" s="499">
        <f t="shared" si="219"/>
        <v>18.905459</v>
      </c>
      <c r="BS144" s="499">
        <f t="shared" si="220"/>
        <v>1000.260883</v>
      </c>
      <c r="BU144" s="499">
        <f t="shared" si="221"/>
        <v>131</v>
      </c>
      <c r="BV144" s="499">
        <f t="shared" si="222"/>
        <v>3.0208849999999998</v>
      </c>
      <c r="BW144" s="5">
        <f t="shared" si="212"/>
        <v>0</v>
      </c>
      <c r="BX144" s="499">
        <f t="shared" si="223"/>
        <v>18.905459</v>
      </c>
      <c r="BY144" s="499">
        <f t="shared" si="224"/>
        <v>1000.260883</v>
      </c>
      <c r="CA144">
        <v>131</v>
      </c>
      <c r="CB144">
        <v>3.0208849999999998</v>
      </c>
      <c r="CC144">
        <v>0</v>
      </c>
      <c r="CD144">
        <v>18.905459</v>
      </c>
      <c r="CE144">
        <v>1000.260883</v>
      </c>
      <c r="CG144" s="499">
        <f t="shared" si="225"/>
        <v>0</v>
      </c>
      <c r="CH144" s="499">
        <f t="shared" si="226"/>
        <v>0</v>
      </c>
      <c r="CI144" s="499">
        <f t="shared" si="227"/>
        <v>0</v>
      </c>
      <c r="CJ144" s="499">
        <f t="shared" si="228"/>
        <v>0</v>
      </c>
      <c r="CP144" s="499"/>
      <c r="CQ144" s="65">
        <f t="shared" si="230"/>
        <v>0.97880482592080365</v>
      </c>
      <c r="CR144" s="499">
        <f t="shared" si="231"/>
        <v>0.97880482592080365</v>
      </c>
      <c r="CS144" s="499">
        <f t="shared" si="232"/>
        <v>0.97880482592080365</v>
      </c>
      <c r="CT144" s="38">
        <f t="shared" si="233"/>
        <v>1</v>
      </c>
      <c r="CU144" s="498">
        <f t="shared" si="234"/>
        <v>1</v>
      </c>
    </row>
    <row r="145" spans="43:99">
      <c r="AQ145" s="499"/>
      <c r="AR145" s="228">
        <v>21.596699999999998</v>
      </c>
      <c r="AS145" s="13">
        <v>271</v>
      </c>
      <c r="AT145" s="13">
        <v>3.009757</v>
      </c>
      <c r="AU145" s="13">
        <f t="shared" si="245"/>
        <v>0</v>
      </c>
      <c r="AV145" s="13">
        <f t="shared" si="236"/>
        <v>21.596699999999998</v>
      </c>
      <c r="AW145" s="13">
        <f t="shared" si="237"/>
        <v>21.596699999999998</v>
      </c>
      <c r="AX145" s="13">
        <f t="shared" si="238"/>
        <v>21.596699999999998</v>
      </c>
      <c r="AY145" s="13">
        <v>804.89449400000001</v>
      </c>
      <c r="AZ145" s="13">
        <f t="shared" si="239"/>
        <v>0</v>
      </c>
      <c r="BA145" s="13">
        <f t="shared" si="240"/>
        <v>0</v>
      </c>
      <c r="BB145" s="97">
        <f t="shared" si="241"/>
        <v>0</v>
      </c>
      <c r="BC145" s="499"/>
      <c r="BD145" s="499">
        <v>84.95</v>
      </c>
      <c r="BE145" s="499">
        <v>22.421017943548385</v>
      </c>
      <c r="BF145" s="499">
        <v>19.030479838709674</v>
      </c>
      <c r="BG145" s="499">
        <v>21.382841979629127</v>
      </c>
      <c r="BI145" s="499">
        <f t="shared" ref="BI145:BJ145" si="251">AS148</f>
        <v>209</v>
      </c>
      <c r="BJ145" s="499">
        <f t="shared" si="251"/>
        <v>3.040362</v>
      </c>
      <c r="BK145" s="5">
        <f t="shared" si="214"/>
        <v>0</v>
      </c>
      <c r="BL145" s="499">
        <f t="shared" si="215"/>
        <v>18.905459</v>
      </c>
      <c r="BM145" s="499">
        <f t="shared" si="216"/>
        <v>999.44996800000001</v>
      </c>
      <c r="BO145" s="499">
        <f t="shared" si="217"/>
        <v>209</v>
      </c>
      <c r="BP145" s="499">
        <f t="shared" si="218"/>
        <v>3.040362</v>
      </c>
      <c r="BQ145" s="5">
        <f t="shared" si="211"/>
        <v>0</v>
      </c>
      <c r="BR145" s="499">
        <f t="shared" si="219"/>
        <v>18.905459</v>
      </c>
      <c r="BS145" s="499">
        <f t="shared" si="220"/>
        <v>999.44996800000001</v>
      </c>
      <c r="BU145" s="499">
        <f t="shared" si="221"/>
        <v>209</v>
      </c>
      <c r="BV145" s="499">
        <f t="shared" si="222"/>
        <v>3.040362</v>
      </c>
      <c r="BW145" s="5">
        <f t="shared" si="212"/>
        <v>0</v>
      </c>
      <c r="BX145" s="499">
        <f t="shared" si="223"/>
        <v>18.905459</v>
      </c>
      <c r="BY145" s="499">
        <f t="shared" si="224"/>
        <v>999.44996800000001</v>
      </c>
      <c r="CA145">
        <v>209</v>
      </c>
      <c r="CB145">
        <v>3.040362</v>
      </c>
      <c r="CC145">
        <v>0</v>
      </c>
      <c r="CD145">
        <v>18.905459</v>
      </c>
      <c r="CE145">
        <v>999.44996800000001</v>
      </c>
      <c r="CG145" s="499">
        <f t="shared" si="225"/>
        <v>0</v>
      </c>
      <c r="CH145" s="499">
        <f t="shared" si="226"/>
        <v>0</v>
      </c>
      <c r="CI145" s="499">
        <f t="shared" si="227"/>
        <v>0</v>
      </c>
      <c r="CJ145" s="499">
        <f t="shared" si="228"/>
        <v>0</v>
      </c>
      <c r="CP145" s="499"/>
      <c r="CQ145" s="65">
        <f t="shared" si="230"/>
        <v>0.97884050728234018</v>
      </c>
      <c r="CR145" s="499">
        <f t="shared" si="231"/>
        <v>0.97884050728234018</v>
      </c>
      <c r="CS145" s="499">
        <f t="shared" si="232"/>
        <v>0.97884050728234018</v>
      </c>
      <c r="CT145" s="38">
        <f t="shared" si="233"/>
        <v>1</v>
      </c>
      <c r="CU145" s="498">
        <f t="shared" si="234"/>
        <v>1</v>
      </c>
    </row>
    <row r="146" spans="43:99">
      <c r="AQ146" s="499"/>
      <c r="AR146" s="228">
        <v>19.429137000000001</v>
      </c>
      <c r="AS146" s="13">
        <v>90</v>
      </c>
      <c r="AT146" s="13">
        <v>3.0170520000000001</v>
      </c>
      <c r="AU146" s="13">
        <f t="shared" si="245"/>
        <v>0</v>
      </c>
      <c r="AV146" s="13">
        <f t="shared" si="236"/>
        <v>19.429137000000001</v>
      </c>
      <c r="AW146" s="13">
        <f t="shared" si="237"/>
        <v>19.429137000000001</v>
      </c>
      <c r="AX146" s="13">
        <f t="shared" si="238"/>
        <v>19.429137000000001</v>
      </c>
      <c r="AY146" s="13">
        <v>796.56284100000005</v>
      </c>
      <c r="AZ146" s="13">
        <f t="shared" si="239"/>
        <v>0</v>
      </c>
      <c r="BA146" s="13">
        <f t="shared" si="240"/>
        <v>0</v>
      </c>
      <c r="BB146" s="97">
        <f t="shared" si="241"/>
        <v>0</v>
      </c>
      <c r="BC146" s="499"/>
      <c r="BD146" s="499">
        <v>84.75</v>
      </c>
      <c r="BE146" s="499">
        <v>22.553439919354847</v>
      </c>
      <c r="BF146" s="499">
        <v>19.025266129032261</v>
      </c>
      <c r="BG146" s="499">
        <v>21.448236322220698</v>
      </c>
      <c r="BI146" s="499">
        <f t="shared" ref="BI146:BJ146" si="252">AS149</f>
        <v>67</v>
      </c>
      <c r="BJ146" s="499">
        <f t="shared" si="252"/>
        <v>3.062249</v>
      </c>
      <c r="BK146" s="5">
        <f t="shared" si="214"/>
        <v>0</v>
      </c>
      <c r="BL146" s="499">
        <f t="shared" si="215"/>
        <v>17.437017000000001</v>
      </c>
      <c r="BM146" s="499">
        <f t="shared" si="216"/>
        <v>959.558583</v>
      </c>
      <c r="BO146" s="499">
        <f t="shared" si="217"/>
        <v>67</v>
      </c>
      <c r="BP146" s="499">
        <f t="shared" si="218"/>
        <v>3.062249</v>
      </c>
      <c r="BQ146" s="5">
        <f t="shared" si="211"/>
        <v>0</v>
      </c>
      <c r="BR146" s="499">
        <f t="shared" si="219"/>
        <v>17.437017000000001</v>
      </c>
      <c r="BS146" s="499">
        <f t="shared" si="220"/>
        <v>959.558583</v>
      </c>
      <c r="BU146" s="499">
        <f t="shared" si="221"/>
        <v>67</v>
      </c>
      <c r="BV146" s="499">
        <f t="shared" si="222"/>
        <v>3.062249</v>
      </c>
      <c r="BW146" s="5">
        <f t="shared" si="212"/>
        <v>0</v>
      </c>
      <c r="BX146" s="499">
        <f t="shared" si="223"/>
        <v>17.437017000000001</v>
      </c>
      <c r="BY146" s="499">
        <f t="shared" si="224"/>
        <v>959.558583</v>
      </c>
      <c r="CA146">
        <v>67</v>
      </c>
      <c r="CB146">
        <v>3.062249</v>
      </c>
      <c r="CC146">
        <v>0</v>
      </c>
      <c r="CD146">
        <v>17.437017000000001</v>
      </c>
      <c r="CE146">
        <v>959.558583</v>
      </c>
      <c r="CG146" s="499">
        <f t="shared" si="225"/>
        <v>0</v>
      </c>
      <c r="CH146" s="499">
        <f t="shared" si="226"/>
        <v>0</v>
      </c>
      <c r="CI146" s="499">
        <f t="shared" si="227"/>
        <v>0</v>
      </c>
      <c r="CJ146" s="499">
        <f t="shared" si="228"/>
        <v>0</v>
      </c>
      <c r="CP146" s="499"/>
      <c r="CQ146" s="65">
        <f t="shared" si="230"/>
        <v>0.97884050728234018</v>
      </c>
      <c r="CR146" s="499">
        <f t="shared" si="231"/>
        <v>0.97884050728234018</v>
      </c>
      <c r="CS146" s="499">
        <f t="shared" si="232"/>
        <v>0.97884050728234018</v>
      </c>
      <c r="CT146" s="38">
        <f t="shared" si="233"/>
        <v>1</v>
      </c>
      <c r="CU146" s="498">
        <f t="shared" si="234"/>
        <v>1</v>
      </c>
    </row>
    <row r="147" spans="43:99">
      <c r="AQ147" s="499"/>
      <c r="AR147" s="228">
        <v>18.905459</v>
      </c>
      <c r="AS147" s="13">
        <v>131</v>
      </c>
      <c r="AT147" s="13">
        <v>3.0208849999999998</v>
      </c>
      <c r="AU147" s="13">
        <f t="shared" si="245"/>
        <v>0</v>
      </c>
      <c r="AV147" s="13">
        <f t="shared" si="236"/>
        <v>18.905459</v>
      </c>
      <c r="AW147" s="13">
        <f t="shared" si="237"/>
        <v>18.905459</v>
      </c>
      <c r="AX147" s="13">
        <f t="shared" si="238"/>
        <v>18.905459</v>
      </c>
      <c r="AY147" s="13">
        <v>1000.260883</v>
      </c>
      <c r="AZ147" s="13">
        <f t="shared" si="239"/>
        <v>0</v>
      </c>
      <c r="BA147" s="13">
        <f t="shared" si="240"/>
        <v>0</v>
      </c>
      <c r="BB147" s="97">
        <f t="shared" si="241"/>
        <v>0</v>
      </c>
      <c r="BC147" s="499"/>
      <c r="BD147" s="499">
        <v>84.55</v>
      </c>
      <c r="BE147" s="499">
        <v>22.679891532258072</v>
      </c>
      <c r="BF147" s="499">
        <v>19.04397116935484</v>
      </c>
      <c r="BG147" s="499">
        <v>21.488440634903849</v>
      </c>
      <c r="BI147" s="499">
        <f t="shared" ref="BI147:BJ147" si="253">AS150</f>
        <v>364</v>
      </c>
      <c r="BJ147" s="499">
        <f t="shared" si="253"/>
        <v>3.0709759999999999</v>
      </c>
      <c r="BK147" s="5">
        <f t="shared" si="214"/>
        <v>0</v>
      </c>
      <c r="BL147" s="499">
        <f t="shared" si="215"/>
        <v>20.69969</v>
      </c>
      <c r="BM147" s="499">
        <f t="shared" si="216"/>
        <v>1195.9940489999999</v>
      </c>
      <c r="BO147" s="499">
        <f t="shared" si="217"/>
        <v>364</v>
      </c>
      <c r="BP147" s="499">
        <f t="shared" si="218"/>
        <v>3.0709759999999999</v>
      </c>
      <c r="BQ147" s="5">
        <f t="shared" si="211"/>
        <v>0</v>
      </c>
      <c r="BR147" s="499">
        <f t="shared" si="219"/>
        <v>20.69969</v>
      </c>
      <c r="BS147" s="499">
        <f t="shared" si="220"/>
        <v>1195.9940489999999</v>
      </c>
      <c r="BU147" s="499">
        <f t="shared" si="221"/>
        <v>364</v>
      </c>
      <c r="BV147" s="499">
        <f t="shared" si="222"/>
        <v>3.0709759999999999</v>
      </c>
      <c r="BW147" s="5">
        <f t="shared" si="212"/>
        <v>0</v>
      </c>
      <c r="BX147" s="499">
        <f t="shared" si="223"/>
        <v>20.69969</v>
      </c>
      <c r="BY147" s="499">
        <f t="shared" si="224"/>
        <v>1195.9940489999999</v>
      </c>
      <c r="CA147">
        <v>364</v>
      </c>
      <c r="CB147">
        <v>3.0709759999999999</v>
      </c>
      <c r="CC147">
        <v>0</v>
      </c>
      <c r="CD147">
        <v>20.69969</v>
      </c>
      <c r="CE147">
        <v>1195.9940489999999</v>
      </c>
      <c r="CG147" s="499">
        <f t="shared" si="225"/>
        <v>0</v>
      </c>
      <c r="CH147" s="499">
        <f t="shared" si="226"/>
        <v>0</v>
      </c>
      <c r="CI147" s="499">
        <f t="shared" si="227"/>
        <v>0</v>
      </c>
      <c r="CJ147" s="499">
        <f t="shared" si="228"/>
        <v>0</v>
      </c>
      <c r="CP147" s="499"/>
      <c r="CQ147" s="65">
        <f t="shared" si="230"/>
        <v>0.97885894616897184</v>
      </c>
      <c r="CR147" s="499">
        <f t="shared" si="231"/>
        <v>0.97885894616897184</v>
      </c>
      <c r="CS147" s="499">
        <f t="shared" si="232"/>
        <v>0.97885894616897184</v>
      </c>
      <c r="CT147" s="38">
        <f t="shared" si="233"/>
        <v>1</v>
      </c>
      <c r="CU147" s="498">
        <f t="shared" si="234"/>
        <v>1</v>
      </c>
    </row>
    <row r="148" spans="43:99">
      <c r="AQ148" s="499"/>
      <c r="AR148" s="228">
        <v>18.905459</v>
      </c>
      <c r="AS148" s="13">
        <v>209</v>
      </c>
      <c r="AT148" s="13">
        <v>3.040362</v>
      </c>
      <c r="AU148" s="13">
        <f t="shared" si="245"/>
        <v>0</v>
      </c>
      <c r="AV148" s="13">
        <f t="shared" si="236"/>
        <v>18.905459</v>
      </c>
      <c r="AW148" s="13">
        <f t="shared" si="237"/>
        <v>18.905459</v>
      </c>
      <c r="AX148" s="13">
        <f t="shared" si="238"/>
        <v>18.905459</v>
      </c>
      <c r="AY148" s="13">
        <v>999.44996800000001</v>
      </c>
      <c r="AZ148" s="13">
        <f t="shared" si="239"/>
        <v>0</v>
      </c>
      <c r="BA148" s="13">
        <f t="shared" si="240"/>
        <v>0</v>
      </c>
      <c r="BB148" s="97">
        <f t="shared" si="241"/>
        <v>0</v>
      </c>
      <c r="BC148" s="499"/>
      <c r="BD148" s="499">
        <v>84.35</v>
      </c>
      <c r="BE148" s="499">
        <v>22.771017943548387</v>
      </c>
      <c r="BF148" s="499">
        <v>19.110223387096781</v>
      </c>
      <c r="BG148" s="499">
        <v>21.610016838878209</v>
      </c>
      <c r="BI148" s="499">
        <f t="shared" ref="BI148:BJ148" si="254">AS151</f>
        <v>248</v>
      </c>
      <c r="BJ148" s="499">
        <f t="shared" si="254"/>
        <v>3.106449</v>
      </c>
      <c r="BK148" s="5">
        <f t="shared" si="214"/>
        <v>1</v>
      </c>
      <c r="BL148" s="499">
        <f t="shared" si="215"/>
        <v>33.216262</v>
      </c>
      <c r="BM148" s="499">
        <f t="shared" si="216"/>
        <v>1000.2231420000001</v>
      </c>
      <c r="BO148" s="499">
        <f t="shared" si="217"/>
        <v>248</v>
      </c>
      <c r="BP148" s="499">
        <f t="shared" si="218"/>
        <v>3.106449</v>
      </c>
      <c r="BQ148" s="5">
        <f t="shared" si="211"/>
        <v>1</v>
      </c>
      <c r="BR148" s="499">
        <f t="shared" si="219"/>
        <v>33.216262</v>
      </c>
      <c r="BS148" s="499">
        <f t="shared" si="220"/>
        <v>1000.2231420000001</v>
      </c>
      <c r="BU148" s="499">
        <f t="shared" si="221"/>
        <v>248</v>
      </c>
      <c r="BV148" s="499">
        <f t="shared" si="222"/>
        <v>3.106449</v>
      </c>
      <c r="BW148" s="5">
        <f t="shared" si="212"/>
        <v>1</v>
      </c>
      <c r="BX148" s="499">
        <f t="shared" si="223"/>
        <v>33.216262</v>
      </c>
      <c r="BY148" s="499">
        <f t="shared" si="224"/>
        <v>1000.2231420000001</v>
      </c>
      <c r="CA148">
        <v>248</v>
      </c>
      <c r="CB148">
        <v>3.106449</v>
      </c>
      <c r="CC148">
        <v>1</v>
      </c>
      <c r="CD148">
        <v>33.216262</v>
      </c>
      <c r="CE148">
        <v>1000.2231420000001</v>
      </c>
      <c r="CG148" s="499">
        <f t="shared" si="225"/>
        <v>1</v>
      </c>
      <c r="CH148" s="499">
        <f t="shared" si="226"/>
        <v>1</v>
      </c>
      <c r="CI148" s="499">
        <f t="shared" si="227"/>
        <v>1</v>
      </c>
      <c r="CJ148" s="499">
        <f t="shared" si="228"/>
        <v>1</v>
      </c>
      <c r="CP148" s="499"/>
      <c r="CQ148" s="65">
        <f t="shared" si="230"/>
        <v>0.97817165453797561</v>
      </c>
      <c r="CR148" s="499">
        <f t="shared" si="231"/>
        <v>0.97817165453797561</v>
      </c>
      <c r="CS148" s="499">
        <f t="shared" si="232"/>
        <v>0.97817165453797561</v>
      </c>
      <c r="CT148" s="38">
        <f t="shared" si="233"/>
        <v>1</v>
      </c>
      <c r="CU148" s="498">
        <f t="shared" si="234"/>
        <v>1</v>
      </c>
    </row>
    <row r="149" spans="43:99">
      <c r="AQ149" s="499"/>
      <c r="AR149" s="228">
        <v>17.437017000000001</v>
      </c>
      <c r="AS149" s="13">
        <v>67</v>
      </c>
      <c r="AT149" s="13">
        <v>3.062249</v>
      </c>
      <c r="AU149" s="13">
        <f t="shared" si="245"/>
        <v>0</v>
      </c>
      <c r="AV149" s="13">
        <f t="shared" si="236"/>
        <v>17.437017000000001</v>
      </c>
      <c r="AW149" s="13">
        <f t="shared" si="237"/>
        <v>17.437017000000001</v>
      </c>
      <c r="AX149" s="13">
        <f t="shared" si="238"/>
        <v>17.437017000000001</v>
      </c>
      <c r="AY149" s="13">
        <v>959.558583</v>
      </c>
      <c r="AZ149" s="13">
        <f t="shared" si="239"/>
        <v>0</v>
      </c>
      <c r="BA149" s="13">
        <f t="shared" si="240"/>
        <v>0</v>
      </c>
      <c r="BB149" s="97">
        <f t="shared" si="241"/>
        <v>0</v>
      </c>
      <c r="BC149" s="499"/>
      <c r="BD149" s="499">
        <v>84.15</v>
      </c>
      <c r="BE149" s="499">
        <v>22.880983064516126</v>
      </c>
      <c r="BF149" s="499">
        <v>19.136830040322582</v>
      </c>
      <c r="BG149" s="499">
        <v>21.583598213131872</v>
      </c>
      <c r="BI149" s="499">
        <f t="shared" ref="BI149:BJ149" si="255">AS152</f>
        <v>286</v>
      </c>
      <c r="BJ149" s="499">
        <f t="shared" si="255"/>
        <v>3.111316</v>
      </c>
      <c r="BK149" s="5">
        <f t="shared" si="214"/>
        <v>0</v>
      </c>
      <c r="BL149" s="499">
        <f t="shared" si="215"/>
        <v>19.076446000000001</v>
      </c>
      <c r="BM149" s="499">
        <f t="shared" si="216"/>
        <v>760.61548400000004</v>
      </c>
      <c r="BO149" s="499">
        <f t="shared" si="217"/>
        <v>286</v>
      </c>
      <c r="BP149" s="499">
        <f t="shared" si="218"/>
        <v>3.111316</v>
      </c>
      <c r="BQ149" s="5">
        <f t="shared" si="211"/>
        <v>0</v>
      </c>
      <c r="BR149" s="499">
        <f t="shared" si="219"/>
        <v>19.076446000000001</v>
      </c>
      <c r="BS149" s="499">
        <f t="shared" si="220"/>
        <v>760.61548400000004</v>
      </c>
      <c r="BU149" s="499">
        <f t="shared" si="221"/>
        <v>286</v>
      </c>
      <c r="BV149" s="499">
        <f t="shared" si="222"/>
        <v>3.111316</v>
      </c>
      <c r="BW149" s="5">
        <f t="shared" si="212"/>
        <v>0</v>
      </c>
      <c r="BX149" s="499">
        <f t="shared" si="223"/>
        <v>19.076446000000001</v>
      </c>
      <c r="BY149" s="499">
        <f t="shared" si="224"/>
        <v>760.61548400000004</v>
      </c>
      <c r="CA149">
        <v>286</v>
      </c>
      <c r="CB149">
        <v>3.111316</v>
      </c>
      <c r="CC149">
        <v>0</v>
      </c>
      <c r="CD149">
        <v>19.076446000000001</v>
      </c>
      <c r="CE149">
        <v>760.61548400000004</v>
      </c>
      <c r="CG149" s="499">
        <f t="shared" si="225"/>
        <v>0</v>
      </c>
      <c r="CH149" s="499">
        <f t="shared" si="226"/>
        <v>0</v>
      </c>
      <c r="CI149" s="499">
        <f t="shared" si="227"/>
        <v>0</v>
      </c>
      <c r="CJ149" s="499">
        <f t="shared" si="228"/>
        <v>0</v>
      </c>
      <c r="CP149" s="499"/>
      <c r="CQ149" s="65">
        <f t="shared" si="230"/>
        <v>2.2021962121323214E-8</v>
      </c>
      <c r="CR149" s="499">
        <f t="shared" si="231"/>
        <v>2.2021962121323214E-8</v>
      </c>
      <c r="CS149" s="499">
        <f t="shared" si="232"/>
        <v>2.2021962121323214E-8</v>
      </c>
      <c r="CT149" s="38">
        <f t="shared" si="233"/>
        <v>1</v>
      </c>
      <c r="CU149" s="498">
        <f t="shared" si="234"/>
        <v>1</v>
      </c>
    </row>
    <row r="150" spans="43:99">
      <c r="AQ150" s="499"/>
      <c r="AR150" s="228">
        <v>20.69969</v>
      </c>
      <c r="AS150" s="13">
        <v>364</v>
      </c>
      <c r="AT150" s="13">
        <v>3.0709759999999999</v>
      </c>
      <c r="AU150" s="13">
        <f t="shared" si="245"/>
        <v>0</v>
      </c>
      <c r="AV150" s="13">
        <f t="shared" si="236"/>
        <v>20.69969</v>
      </c>
      <c r="AW150" s="13">
        <f t="shared" si="237"/>
        <v>20.69969</v>
      </c>
      <c r="AX150" s="13">
        <f t="shared" si="238"/>
        <v>20.69969</v>
      </c>
      <c r="AY150" s="13">
        <v>1195.9940489999999</v>
      </c>
      <c r="AZ150" s="13">
        <f t="shared" si="239"/>
        <v>0</v>
      </c>
      <c r="BA150" s="13">
        <f t="shared" si="240"/>
        <v>0</v>
      </c>
      <c r="BB150" s="97">
        <f t="shared" si="241"/>
        <v>0</v>
      </c>
      <c r="BC150" s="499"/>
      <c r="BD150" s="499">
        <v>83.95</v>
      </c>
      <c r="BE150" s="499">
        <v>22.993319354838714</v>
      </c>
      <c r="BF150" s="499">
        <v>19.189412298387097</v>
      </c>
      <c r="BG150" s="499">
        <v>21.60005323687729</v>
      </c>
      <c r="BI150" s="499">
        <f t="shared" ref="BI150:BJ150" si="256">AS153</f>
        <v>181</v>
      </c>
      <c r="BJ150" s="499">
        <f t="shared" si="256"/>
        <v>3.1124640000000001</v>
      </c>
      <c r="BK150" s="5">
        <f t="shared" si="214"/>
        <v>0</v>
      </c>
      <c r="BL150" s="499">
        <f t="shared" si="215"/>
        <v>20.163103</v>
      </c>
      <c r="BM150" s="499">
        <f t="shared" si="216"/>
        <v>1001.015519</v>
      </c>
      <c r="BO150" s="499">
        <f t="shared" si="217"/>
        <v>181</v>
      </c>
      <c r="BP150" s="499">
        <f t="shared" si="218"/>
        <v>3.1124640000000001</v>
      </c>
      <c r="BQ150" s="5">
        <f t="shared" si="211"/>
        <v>0</v>
      </c>
      <c r="BR150" s="499">
        <f t="shared" si="219"/>
        <v>20.163103</v>
      </c>
      <c r="BS150" s="499">
        <f t="shared" si="220"/>
        <v>1001.015519</v>
      </c>
      <c r="BU150" s="499">
        <f t="shared" si="221"/>
        <v>181</v>
      </c>
      <c r="BV150" s="499">
        <f t="shared" si="222"/>
        <v>3.1124640000000001</v>
      </c>
      <c r="BW150" s="5">
        <f t="shared" si="212"/>
        <v>0</v>
      </c>
      <c r="BX150" s="499">
        <f t="shared" si="223"/>
        <v>20.163103</v>
      </c>
      <c r="BY150" s="499">
        <f t="shared" si="224"/>
        <v>1001.015519</v>
      </c>
      <c r="CA150">
        <v>181</v>
      </c>
      <c r="CB150">
        <v>3.1124640000000001</v>
      </c>
      <c r="CC150">
        <v>0</v>
      </c>
      <c r="CD150">
        <v>20.163103</v>
      </c>
      <c r="CE150">
        <v>1001.015519</v>
      </c>
      <c r="CG150" s="499">
        <f t="shared" si="225"/>
        <v>0</v>
      </c>
      <c r="CH150" s="499">
        <f t="shared" si="226"/>
        <v>0</v>
      </c>
      <c r="CI150" s="499">
        <f t="shared" si="227"/>
        <v>0</v>
      </c>
      <c r="CJ150" s="499">
        <f t="shared" si="228"/>
        <v>0</v>
      </c>
      <c r="CP150" s="499"/>
      <c r="CQ150" s="65">
        <f t="shared" si="230"/>
        <v>0.97883262131868587</v>
      </c>
      <c r="CR150" s="499">
        <f t="shared" si="231"/>
        <v>0.97883262131868587</v>
      </c>
      <c r="CS150" s="499">
        <f t="shared" si="232"/>
        <v>0.97883262131868587</v>
      </c>
      <c r="CT150" s="38">
        <f t="shared" si="233"/>
        <v>1</v>
      </c>
      <c r="CU150" s="498">
        <f t="shared" si="234"/>
        <v>1</v>
      </c>
    </row>
    <row r="151" spans="43:99">
      <c r="AQ151" s="499"/>
      <c r="AR151" s="228">
        <v>33.216262</v>
      </c>
      <c r="AS151" s="13">
        <v>248</v>
      </c>
      <c r="AT151" s="13">
        <v>3.106449</v>
      </c>
      <c r="AU151" s="13">
        <f t="shared" si="245"/>
        <v>1</v>
      </c>
      <c r="AV151" s="13">
        <f t="shared" si="236"/>
        <v>33.216262</v>
      </c>
      <c r="AW151" s="13">
        <f t="shared" si="237"/>
        <v>33.216262</v>
      </c>
      <c r="AX151" s="13">
        <f t="shared" si="238"/>
        <v>33.216262</v>
      </c>
      <c r="AY151" s="13">
        <v>1000.2231420000001</v>
      </c>
      <c r="AZ151" s="13">
        <f t="shared" si="239"/>
        <v>0</v>
      </c>
      <c r="BA151" s="13">
        <f t="shared" si="240"/>
        <v>0</v>
      </c>
      <c r="BB151" s="97">
        <f t="shared" si="241"/>
        <v>0</v>
      </c>
      <c r="BC151" s="499"/>
      <c r="BD151" s="499">
        <v>83.75</v>
      </c>
      <c r="BE151" s="499">
        <v>22.891800806451606</v>
      </c>
      <c r="BF151" s="499">
        <v>19.161754838709676</v>
      </c>
      <c r="BG151" s="499">
        <v>21.473692184647433</v>
      </c>
      <c r="BI151" s="499">
        <f t="shared" ref="BI151:BJ151" si="257">AS154</f>
        <v>58</v>
      </c>
      <c r="BJ151" s="499">
        <f t="shared" si="257"/>
        <v>3.1187339999999999</v>
      </c>
      <c r="BK151" s="5">
        <f t="shared" si="214"/>
        <v>0</v>
      </c>
      <c r="BL151" s="499">
        <f t="shared" si="215"/>
        <v>21.115013000000001</v>
      </c>
      <c r="BM151" s="499">
        <f t="shared" si="216"/>
        <v>395.27331900000001</v>
      </c>
      <c r="BO151" s="499">
        <f t="shared" si="217"/>
        <v>58</v>
      </c>
      <c r="BP151" s="499">
        <f t="shared" si="218"/>
        <v>3.1187339999999999</v>
      </c>
      <c r="BQ151" s="5">
        <f t="shared" si="211"/>
        <v>0</v>
      </c>
      <c r="BR151" s="499">
        <f t="shared" si="219"/>
        <v>21.115013000000001</v>
      </c>
      <c r="BS151" s="499">
        <f t="shared" si="220"/>
        <v>395.27331900000001</v>
      </c>
      <c r="BU151" s="499">
        <f t="shared" si="221"/>
        <v>58</v>
      </c>
      <c r="BV151" s="499">
        <f t="shared" si="222"/>
        <v>3.1187339999999999</v>
      </c>
      <c r="BW151" s="5">
        <f t="shared" si="212"/>
        <v>0</v>
      </c>
      <c r="BX151" s="499">
        <f t="shared" si="223"/>
        <v>21.115013000000001</v>
      </c>
      <c r="BY151" s="499">
        <f t="shared" si="224"/>
        <v>395.27331900000001</v>
      </c>
      <c r="CA151">
        <v>58</v>
      </c>
      <c r="CB151">
        <v>3.1187339999999999</v>
      </c>
      <c r="CC151">
        <v>0</v>
      </c>
      <c r="CD151">
        <v>21.115013000000001</v>
      </c>
      <c r="CE151">
        <v>395.27331900000001</v>
      </c>
      <c r="CG151" s="499">
        <f t="shared" si="225"/>
        <v>0</v>
      </c>
      <c r="CH151" s="499">
        <f t="shared" si="226"/>
        <v>0</v>
      </c>
      <c r="CI151" s="499">
        <f t="shared" si="227"/>
        <v>0</v>
      </c>
      <c r="CJ151" s="499">
        <f t="shared" si="228"/>
        <v>0</v>
      </c>
      <c r="CP151" s="499"/>
      <c r="CQ151" s="65">
        <f t="shared" si="230"/>
        <v>0.97862286857551661</v>
      </c>
      <c r="CR151" s="499">
        <f t="shared" si="231"/>
        <v>0.97862286857551661</v>
      </c>
      <c r="CS151" s="499">
        <f t="shared" si="232"/>
        <v>0.97862286857551661</v>
      </c>
      <c r="CT151" s="38">
        <f t="shared" si="233"/>
        <v>1</v>
      </c>
      <c r="CU151" s="498">
        <f t="shared" si="234"/>
        <v>1</v>
      </c>
    </row>
    <row r="152" spans="43:99">
      <c r="AQ152" s="499"/>
      <c r="AR152" s="228">
        <v>19.076446000000001</v>
      </c>
      <c r="AS152" s="13">
        <v>286</v>
      </c>
      <c r="AT152" s="13">
        <v>3.111316</v>
      </c>
      <c r="AU152" s="13">
        <f t="shared" si="245"/>
        <v>0</v>
      </c>
      <c r="AV152" s="13">
        <f t="shared" si="236"/>
        <v>19.076446000000001</v>
      </c>
      <c r="AW152" s="13">
        <f t="shared" si="237"/>
        <v>19.076446000000001</v>
      </c>
      <c r="AX152" s="13">
        <f t="shared" si="238"/>
        <v>19.076446000000001</v>
      </c>
      <c r="AY152" s="13">
        <v>760.61548400000004</v>
      </c>
      <c r="AZ152" s="13">
        <f t="shared" si="239"/>
        <v>0</v>
      </c>
      <c r="BA152" s="13">
        <f t="shared" si="240"/>
        <v>0</v>
      </c>
      <c r="BB152" s="97">
        <f t="shared" si="241"/>
        <v>0</v>
      </c>
      <c r="BC152" s="499"/>
      <c r="BD152" s="499">
        <v>83.55</v>
      </c>
      <c r="BE152" s="499">
        <v>22.814434475806447</v>
      </c>
      <c r="BF152" s="499">
        <v>19.148689919354844</v>
      </c>
      <c r="BG152" s="499">
        <v>21.37627996468407</v>
      </c>
      <c r="BI152" s="499">
        <f t="shared" ref="BI152:BJ152" si="258">AS155</f>
        <v>6</v>
      </c>
      <c r="BJ152" s="499">
        <f t="shared" si="258"/>
        <v>3.128606</v>
      </c>
      <c r="BK152" s="5">
        <f t="shared" si="214"/>
        <v>0</v>
      </c>
      <c r="BL152" s="499">
        <f t="shared" si="215"/>
        <v>21.238531999999999</v>
      </c>
      <c r="BM152" s="499">
        <f t="shared" si="216"/>
        <v>1000.061318</v>
      </c>
      <c r="BO152" s="499">
        <f t="shared" si="217"/>
        <v>6</v>
      </c>
      <c r="BP152" s="499">
        <f t="shared" si="218"/>
        <v>3.128606</v>
      </c>
      <c r="BQ152" s="5">
        <f t="shared" si="211"/>
        <v>0</v>
      </c>
      <c r="BR152" s="499">
        <f t="shared" si="219"/>
        <v>21.238531999999999</v>
      </c>
      <c r="BS152" s="499">
        <f t="shared" si="220"/>
        <v>1000.061318</v>
      </c>
      <c r="BU152" s="499">
        <f t="shared" si="221"/>
        <v>6</v>
      </c>
      <c r="BV152" s="499">
        <f t="shared" si="222"/>
        <v>3.128606</v>
      </c>
      <c r="BW152" s="5">
        <f t="shared" si="212"/>
        <v>0</v>
      </c>
      <c r="BX152" s="499">
        <f t="shared" si="223"/>
        <v>21.238531999999999</v>
      </c>
      <c r="BY152" s="499">
        <f t="shared" si="224"/>
        <v>1000.061318</v>
      </c>
      <c r="CA152">
        <v>6</v>
      </c>
      <c r="CB152">
        <v>3.128606</v>
      </c>
      <c r="CC152">
        <v>0</v>
      </c>
      <c r="CD152">
        <v>21.238531999999999</v>
      </c>
      <c r="CE152">
        <v>1000.061318</v>
      </c>
      <c r="CG152" s="499">
        <f t="shared" si="225"/>
        <v>0</v>
      </c>
      <c r="CH152" s="499">
        <f t="shared" si="226"/>
        <v>0</v>
      </c>
      <c r="CI152" s="499">
        <f t="shared" si="227"/>
        <v>0</v>
      </c>
      <c r="CJ152" s="499">
        <f t="shared" si="228"/>
        <v>0</v>
      </c>
      <c r="CP152" s="499"/>
      <c r="CQ152" s="65">
        <f t="shared" si="230"/>
        <v>0.97729037946476593</v>
      </c>
      <c r="CR152" s="499">
        <f t="shared" si="231"/>
        <v>0.97729037946476593</v>
      </c>
      <c r="CS152" s="499">
        <f t="shared" si="232"/>
        <v>0.97729037946476593</v>
      </c>
      <c r="CT152" s="38">
        <f t="shared" si="233"/>
        <v>1</v>
      </c>
      <c r="CU152" s="498">
        <f t="shared" si="234"/>
        <v>1</v>
      </c>
    </row>
    <row r="153" spans="43:99">
      <c r="AQ153" s="499"/>
      <c r="AR153" s="228">
        <v>20.163103</v>
      </c>
      <c r="AS153" s="13">
        <v>181</v>
      </c>
      <c r="AT153" s="13">
        <v>3.1124640000000001</v>
      </c>
      <c r="AU153" s="13">
        <f t="shared" si="245"/>
        <v>0</v>
      </c>
      <c r="AV153" s="13">
        <f t="shared" si="236"/>
        <v>20.163103</v>
      </c>
      <c r="AW153" s="13">
        <f t="shared" si="237"/>
        <v>20.163103</v>
      </c>
      <c r="AX153" s="13">
        <f t="shared" si="238"/>
        <v>20.163103</v>
      </c>
      <c r="AY153" s="13">
        <v>1001.015519</v>
      </c>
      <c r="AZ153" s="13">
        <f t="shared" si="239"/>
        <v>0</v>
      </c>
      <c r="BA153" s="13">
        <f t="shared" si="240"/>
        <v>0</v>
      </c>
      <c r="BB153" s="97">
        <f t="shared" si="241"/>
        <v>0</v>
      </c>
      <c r="BC153" s="499"/>
      <c r="BD153" s="499">
        <v>83.35</v>
      </c>
      <c r="BE153" s="499">
        <v>22.634346572580647</v>
      </c>
      <c r="BF153" s="499">
        <v>19.129385483870966</v>
      </c>
      <c r="BG153" s="499">
        <v>21.329461640251829</v>
      </c>
      <c r="BI153" s="499">
        <f t="shared" ref="BI153:BJ153" si="259">AS156</f>
        <v>57</v>
      </c>
      <c r="BJ153" s="499">
        <f t="shared" si="259"/>
        <v>3.1290260000000001</v>
      </c>
      <c r="BK153" s="5">
        <f t="shared" si="214"/>
        <v>0</v>
      </c>
      <c r="BL153" s="499">
        <f t="shared" si="215"/>
        <v>20.920037000000001</v>
      </c>
      <c r="BM153" s="499">
        <f t="shared" si="216"/>
        <v>1529.028092</v>
      </c>
      <c r="BO153" s="499">
        <f t="shared" si="217"/>
        <v>57</v>
      </c>
      <c r="BP153" s="499">
        <f t="shared" si="218"/>
        <v>3.1290260000000001</v>
      </c>
      <c r="BQ153" s="5">
        <f t="shared" si="211"/>
        <v>0</v>
      </c>
      <c r="BR153" s="499">
        <f t="shared" si="219"/>
        <v>20.920037000000001</v>
      </c>
      <c r="BS153" s="499">
        <f t="shared" si="220"/>
        <v>1529.028092</v>
      </c>
      <c r="BU153" s="499">
        <f t="shared" si="221"/>
        <v>57</v>
      </c>
      <c r="BV153" s="499">
        <f t="shared" si="222"/>
        <v>3.1290260000000001</v>
      </c>
      <c r="BW153" s="5">
        <f t="shared" si="212"/>
        <v>0</v>
      </c>
      <c r="BX153" s="499">
        <f t="shared" si="223"/>
        <v>20.920037000000001</v>
      </c>
      <c r="BY153" s="499">
        <f t="shared" si="224"/>
        <v>1529.028092</v>
      </c>
      <c r="CA153">
        <v>57</v>
      </c>
      <c r="CB153">
        <v>3.1290260000000001</v>
      </c>
      <c r="CC153">
        <v>0</v>
      </c>
      <c r="CD153">
        <v>20.920037000000001</v>
      </c>
      <c r="CE153">
        <v>1529.028092</v>
      </c>
      <c r="CG153" s="499">
        <f t="shared" si="225"/>
        <v>0</v>
      </c>
      <c r="CH153" s="499">
        <f t="shared" si="226"/>
        <v>0</v>
      </c>
      <c r="CI153" s="499">
        <f t="shared" si="227"/>
        <v>0</v>
      </c>
      <c r="CJ153" s="499">
        <f t="shared" si="228"/>
        <v>0</v>
      </c>
      <c r="CP153" s="499"/>
      <c r="CQ153" s="65">
        <f t="shared" si="230"/>
        <v>0.97685467487674282</v>
      </c>
      <c r="CR153" s="499">
        <f t="shared" si="231"/>
        <v>0.97685467487674282</v>
      </c>
      <c r="CS153" s="499">
        <f t="shared" si="232"/>
        <v>0.97685467487674282</v>
      </c>
      <c r="CT153" s="38">
        <f t="shared" si="233"/>
        <v>1</v>
      </c>
      <c r="CU153" s="498">
        <f t="shared" si="234"/>
        <v>1</v>
      </c>
    </row>
    <row r="154" spans="43:99">
      <c r="AQ154" s="499"/>
      <c r="AR154" s="228">
        <v>21.115013000000001</v>
      </c>
      <c r="AS154" s="13">
        <v>58</v>
      </c>
      <c r="AT154" s="13">
        <v>3.1187339999999999</v>
      </c>
      <c r="AU154" s="13">
        <f t="shared" si="245"/>
        <v>0</v>
      </c>
      <c r="AV154" s="13">
        <f t="shared" si="236"/>
        <v>21.115013000000001</v>
      </c>
      <c r="AW154" s="13">
        <f t="shared" si="237"/>
        <v>21.115013000000001</v>
      </c>
      <c r="AX154" s="13">
        <f t="shared" si="238"/>
        <v>21.115013000000001</v>
      </c>
      <c r="AY154" s="13">
        <v>395.27331900000001</v>
      </c>
      <c r="AZ154" s="13">
        <f t="shared" si="239"/>
        <v>0</v>
      </c>
      <c r="BA154" s="13">
        <f t="shared" si="240"/>
        <v>0</v>
      </c>
      <c r="BB154" s="97">
        <f t="shared" si="241"/>
        <v>0</v>
      </c>
      <c r="BC154" s="499"/>
      <c r="BD154" s="499">
        <v>83.15</v>
      </c>
      <c r="BE154" s="499">
        <v>22.575928427419353</v>
      </c>
      <c r="BF154" s="499">
        <v>19.095423790322581</v>
      </c>
      <c r="BG154" s="499">
        <v>21.218391532174909</v>
      </c>
      <c r="BI154" s="499">
        <f t="shared" ref="BI154:BJ154" si="260">AS157</f>
        <v>310</v>
      </c>
      <c r="BJ154" s="499">
        <f t="shared" si="260"/>
        <v>3.139583</v>
      </c>
      <c r="BK154" s="5">
        <f t="shared" si="214"/>
        <v>0</v>
      </c>
      <c r="BL154" s="499">
        <f t="shared" si="215"/>
        <v>22.894293000000001</v>
      </c>
      <c r="BM154" s="499">
        <f t="shared" si="216"/>
        <v>999.63256999999999</v>
      </c>
      <c r="BO154" s="499">
        <f t="shared" si="217"/>
        <v>310</v>
      </c>
      <c r="BP154" s="499">
        <f t="shared" si="218"/>
        <v>3.139583</v>
      </c>
      <c r="BQ154" s="5">
        <f t="shared" si="211"/>
        <v>0</v>
      </c>
      <c r="BR154" s="499">
        <f t="shared" si="219"/>
        <v>22.894293000000001</v>
      </c>
      <c r="BS154" s="499">
        <f t="shared" si="220"/>
        <v>999.63256999999999</v>
      </c>
      <c r="BU154" s="499">
        <f t="shared" si="221"/>
        <v>310</v>
      </c>
      <c r="BV154" s="499">
        <f t="shared" si="222"/>
        <v>3.139583</v>
      </c>
      <c r="BW154" s="5">
        <f t="shared" si="212"/>
        <v>0</v>
      </c>
      <c r="BX154" s="499">
        <f t="shared" si="223"/>
        <v>22.894293000000001</v>
      </c>
      <c r="BY154" s="499">
        <f t="shared" si="224"/>
        <v>999.63256999999999</v>
      </c>
      <c r="CA154">
        <v>310</v>
      </c>
      <c r="CB154">
        <v>3.139583</v>
      </c>
      <c r="CC154">
        <v>0</v>
      </c>
      <c r="CD154">
        <v>22.894293000000001</v>
      </c>
      <c r="CE154">
        <v>999.63256999999999</v>
      </c>
      <c r="CG154" s="499">
        <f t="shared" si="225"/>
        <v>0</v>
      </c>
      <c r="CH154" s="499">
        <f t="shared" si="226"/>
        <v>0</v>
      </c>
      <c r="CI154" s="499">
        <f t="shared" si="227"/>
        <v>0</v>
      </c>
      <c r="CJ154" s="499">
        <f t="shared" si="228"/>
        <v>0</v>
      </c>
      <c r="CP154" s="499"/>
      <c r="CQ154" s="65">
        <f t="shared" si="230"/>
        <v>0.97779395680290049</v>
      </c>
      <c r="CR154" s="499">
        <f t="shared" si="231"/>
        <v>0.97779395680290049</v>
      </c>
      <c r="CS154" s="499">
        <f t="shared" si="232"/>
        <v>0.97779395680290049</v>
      </c>
      <c r="CT154" s="38">
        <f t="shared" si="233"/>
        <v>1</v>
      </c>
      <c r="CU154" s="498">
        <f t="shared" si="234"/>
        <v>1</v>
      </c>
    </row>
    <row r="155" spans="43:99">
      <c r="AQ155" s="499"/>
      <c r="AR155" s="228">
        <v>21.238531999999999</v>
      </c>
      <c r="AS155" s="13">
        <v>6</v>
      </c>
      <c r="AT155" s="13">
        <v>3.128606</v>
      </c>
      <c r="AU155" s="13">
        <f t="shared" si="245"/>
        <v>0</v>
      </c>
      <c r="AV155" s="13">
        <f t="shared" si="236"/>
        <v>21.238531999999999</v>
      </c>
      <c r="AW155" s="13">
        <f t="shared" si="237"/>
        <v>21.238531999999999</v>
      </c>
      <c r="AX155" s="13">
        <f t="shared" si="238"/>
        <v>21.238531999999999</v>
      </c>
      <c r="AY155" s="13">
        <v>1000.061318</v>
      </c>
      <c r="AZ155" s="13">
        <f t="shared" si="239"/>
        <v>0</v>
      </c>
      <c r="BA155" s="13">
        <f t="shared" si="240"/>
        <v>0</v>
      </c>
      <c r="BB155" s="97">
        <f t="shared" si="241"/>
        <v>0</v>
      </c>
      <c r="BC155" s="499"/>
      <c r="BD155" s="499">
        <v>82.95</v>
      </c>
      <c r="BE155" s="499">
        <v>22.664635483870963</v>
      </c>
      <c r="BF155" s="499">
        <v>19.129094758064515</v>
      </c>
      <c r="BG155" s="499">
        <v>21.261467457458792</v>
      </c>
      <c r="BI155" s="499">
        <f t="shared" ref="BI155:BJ155" si="261">AS158</f>
        <v>448</v>
      </c>
      <c r="BJ155" s="499">
        <f t="shared" si="261"/>
        <v>3.1915290000000001</v>
      </c>
      <c r="BK155" s="5">
        <f t="shared" si="214"/>
        <v>1</v>
      </c>
      <c r="BL155" s="499">
        <f t="shared" si="215"/>
        <v>29.364727999999999</v>
      </c>
      <c r="BM155" s="499">
        <f t="shared" si="216"/>
        <v>648.29554299999995</v>
      </c>
      <c r="BO155" s="499">
        <f t="shared" si="217"/>
        <v>448</v>
      </c>
      <c r="BP155" s="499">
        <f t="shared" si="218"/>
        <v>3.1915290000000001</v>
      </c>
      <c r="BQ155" s="5">
        <f t="shared" si="211"/>
        <v>1</v>
      </c>
      <c r="BR155" s="499">
        <f t="shared" si="219"/>
        <v>29.364727999999999</v>
      </c>
      <c r="BS155" s="499">
        <f t="shared" si="220"/>
        <v>648.29554299999995</v>
      </c>
      <c r="BU155" s="499">
        <f t="shared" si="221"/>
        <v>448</v>
      </c>
      <c r="BV155" s="499">
        <f t="shared" si="222"/>
        <v>3.1915290000000001</v>
      </c>
      <c r="BW155" s="5">
        <f t="shared" si="212"/>
        <v>1</v>
      </c>
      <c r="BX155" s="499">
        <f t="shared" si="223"/>
        <v>29.364727999999999</v>
      </c>
      <c r="BY155" s="499">
        <f t="shared" si="224"/>
        <v>648.29554299999995</v>
      </c>
      <c r="CA155">
        <v>448</v>
      </c>
      <c r="CB155">
        <v>3.1915290000000001</v>
      </c>
      <c r="CC155">
        <v>1</v>
      </c>
      <c r="CD155">
        <v>29.364727999999999</v>
      </c>
      <c r="CE155">
        <v>648.29554299999995</v>
      </c>
      <c r="CG155" s="499">
        <f t="shared" si="225"/>
        <v>1</v>
      </c>
      <c r="CH155" s="499">
        <f t="shared" si="226"/>
        <v>1</v>
      </c>
      <c r="CI155" s="499">
        <f t="shared" si="227"/>
        <v>1</v>
      </c>
      <c r="CJ155" s="499">
        <f t="shared" si="228"/>
        <v>1</v>
      </c>
      <c r="CP155" s="499"/>
      <c r="CQ155" s="65">
        <f t="shared" si="230"/>
        <v>0.92774710820591222</v>
      </c>
      <c r="CR155" s="499">
        <f t="shared" si="231"/>
        <v>0.92774710820591222</v>
      </c>
      <c r="CS155" s="499">
        <f t="shared" si="232"/>
        <v>0.92774710820591222</v>
      </c>
      <c r="CT155" s="38">
        <f t="shared" si="233"/>
        <v>1</v>
      </c>
      <c r="CU155" s="498">
        <f t="shared" si="234"/>
        <v>1</v>
      </c>
    </row>
    <row r="156" spans="43:99">
      <c r="AQ156" s="499"/>
      <c r="AR156" s="228">
        <v>20.920037000000001</v>
      </c>
      <c r="AS156" s="13">
        <v>57</v>
      </c>
      <c r="AT156" s="13">
        <v>3.1290260000000001</v>
      </c>
      <c r="AU156" s="13">
        <f t="shared" si="245"/>
        <v>0</v>
      </c>
      <c r="AV156" s="13">
        <f t="shared" si="236"/>
        <v>20.920037000000001</v>
      </c>
      <c r="AW156" s="13">
        <f t="shared" si="237"/>
        <v>20.920037000000001</v>
      </c>
      <c r="AX156" s="13">
        <f t="shared" si="238"/>
        <v>20.920037000000001</v>
      </c>
      <c r="AY156" s="13">
        <v>1529.028092</v>
      </c>
      <c r="AZ156" s="13">
        <f t="shared" si="239"/>
        <v>0</v>
      </c>
      <c r="BA156" s="13">
        <f t="shared" si="240"/>
        <v>0</v>
      </c>
      <c r="BB156" s="97">
        <f t="shared" si="241"/>
        <v>0</v>
      </c>
      <c r="BC156" s="499"/>
      <c r="BD156" s="499">
        <v>82.75</v>
      </c>
      <c r="BE156" s="499">
        <v>22.618569153225806</v>
      </c>
      <c r="BF156" s="499">
        <v>19.122676612903231</v>
      </c>
      <c r="BG156" s="499">
        <v>21.163646116771979</v>
      </c>
      <c r="BI156" s="499">
        <f t="shared" ref="BI156:BJ156" si="262">AS159</f>
        <v>33</v>
      </c>
      <c r="BJ156" s="499">
        <f t="shared" si="262"/>
        <v>3.1944539999999999</v>
      </c>
      <c r="BK156" s="5">
        <f t="shared" si="214"/>
        <v>0</v>
      </c>
      <c r="BL156" s="499">
        <f t="shared" si="215"/>
        <v>18.905459</v>
      </c>
      <c r="BM156" s="499">
        <f t="shared" si="216"/>
        <v>999.59729900000002</v>
      </c>
      <c r="BO156" s="499">
        <f t="shared" si="217"/>
        <v>33</v>
      </c>
      <c r="BP156" s="499">
        <f t="shared" si="218"/>
        <v>3.1944539999999999</v>
      </c>
      <c r="BQ156" s="5">
        <f t="shared" si="211"/>
        <v>0</v>
      </c>
      <c r="BR156" s="499">
        <f t="shared" si="219"/>
        <v>18.905459</v>
      </c>
      <c r="BS156" s="499">
        <f t="shared" si="220"/>
        <v>999.59729900000002</v>
      </c>
      <c r="BU156" s="499">
        <f t="shared" si="221"/>
        <v>33</v>
      </c>
      <c r="BV156" s="499">
        <f t="shared" si="222"/>
        <v>3.1944539999999999</v>
      </c>
      <c r="BW156" s="5">
        <f t="shared" si="212"/>
        <v>0</v>
      </c>
      <c r="BX156" s="499">
        <f t="shared" si="223"/>
        <v>18.905459</v>
      </c>
      <c r="BY156" s="499">
        <f t="shared" si="224"/>
        <v>999.59729900000002</v>
      </c>
      <c r="CA156">
        <v>33</v>
      </c>
      <c r="CB156">
        <v>3.1944539999999999</v>
      </c>
      <c r="CC156">
        <v>0</v>
      </c>
      <c r="CD156">
        <v>18.905459</v>
      </c>
      <c r="CE156">
        <v>999.59729900000002</v>
      </c>
      <c r="CG156" s="499">
        <f t="shared" si="225"/>
        <v>0</v>
      </c>
      <c r="CH156" s="499">
        <f t="shared" si="226"/>
        <v>0</v>
      </c>
      <c r="CI156" s="499">
        <f t="shared" si="227"/>
        <v>0</v>
      </c>
      <c r="CJ156" s="499">
        <f t="shared" si="228"/>
        <v>0</v>
      </c>
      <c r="CP156" s="499"/>
      <c r="CQ156" s="65">
        <f t="shared" si="230"/>
        <v>4.6376770331248664E-5</v>
      </c>
      <c r="CR156" s="499">
        <f t="shared" si="231"/>
        <v>4.6376770331248664E-5</v>
      </c>
      <c r="CS156" s="499">
        <f t="shared" si="232"/>
        <v>4.6376770331248664E-5</v>
      </c>
      <c r="CT156" s="38">
        <f t="shared" si="233"/>
        <v>1</v>
      </c>
      <c r="CU156" s="498">
        <f t="shared" si="234"/>
        <v>1</v>
      </c>
    </row>
    <row r="157" spans="43:99">
      <c r="AQ157" s="499"/>
      <c r="AR157" s="228">
        <v>22.894293000000001</v>
      </c>
      <c r="AS157" s="13">
        <v>310</v>
      </c>
      <c r="AT157" s="13">
        <v>3.139583</v>
      </c>
      <c r="AU157" s="13">
        <f t="shared" si="245"/>
        <v>0</v>
      </c>
      <c r="AV157" s="13">
        <f t="shared" si="236"/>
        <v>22.894293000000001</v>
      </c>
      <c r="AW157" s="13">
        <f t="shared" si="237"/>
        <v>22.894293000000001</v>
      </c>
      <c r="AX157" s="13">
        <f t="shared" si="238"/>
        <v>22.894293000000001</v>
      </c>
      <c r="AY157" s="13">
        <v>999.63256999999999</v>
      </c>
      <c r="AZ157" s="13">
        <f t="shared" si="239"/>
        <v>0</v>
      </c>
      <c r="BA157" s="13">
        <f t="shared" si="240"/>
        <v>0</v>
      </c>
      <c r="BB157" s="97">
        <f t="shared" si="241"/>
        <v>0</v>
      </c>
      <c r="BC157" s="499"/>
      <c r="BD157" s="499">
        <v>82.55</v>
      </c>
      <c r="BE157" s="499">
        <v>22.643386088709672</v>
      </c>
      <c r="BF157" s="499">
        <v>19.124006653225802</v>
      </c>
      <c r="BG157" s="499">
        <v>21.129377846964285</v>
      </c>
      <c r="BI157" s="499">
        <f t="shared" ref="BI157:BJ157" si="263">AS160</f>
        <v>283</v>
      </c>
      <c r="BJ157" s="499">
        <f t="shared" si="263"/>
        <v>3.20845</v>
      </c>
      <c r="BK157" s="5">
        <f t="shared" si="214"/>
        <v>0</v>
      </c>
      <c r="BL157" s="499">
        <f t="shared" si="215"/>
        <v>19.297452</v>
      </c>
      <c r="BM157" s="499">
        <f t="shared" si="216"/>
        <v>1798.5829140000001</v>
      </c>
      <c r="BO157" s="499">
        <f t="shared" si="217"/>
        <v>283</v>
      </c>
      <c r="BP157" s="499">
        <f t="shared" si="218"/>
        <v>3.20845</v>
      </c>
      <c r="BQ157" s="5">
        <f t="shared" si="211"/>
        <v>0</v>
      </c>
      <c r="BR157" s="499">
        <f t="shared" si="219"/>
        <v>19.297452</v>
      </c>
      <c r="BS157" s="499">
        <f t="shared" si="220"/>
        <v>1798.5829140000001</v>
      </c>
      <c r="BU157" s="499">
        <f t="shared" si="221"/>
        <v>283</v>
      </c>
      <c r="BV157" s="499">
        <f t="shared" si="222"/>
        <v>3.20845</v>
      </c>
      <c r="BW157" s="5">
        <f t="shared" si="212"/>
        <v>0</v>
      </c>
      <c r="BX157" s="499">
        <f t="shared" si="223"/>
        <v>19.297452</v>
      </c>
      <c r="BY157" s="499">
        <f t="shared" si="224"/>
        <v>1798.5829140000001</v>
      </c>
      <c r="CA157">
        <v>283</v>
      </c>
      <c r="CB157">
        <v>3.20845</v>
      </c>
      <c r="CC157">
        <v>0</v>
      </c>
      <c r="CD157">
        <v>19.297452</v>
      </c>
      <c r="CE157">
        <v>1798.5829140000001</v>
      </c>
      <c r="CG157" s="499">
        <f t="shared" si="225"/>
        <v>0</v>
      </c>
      <c r="CH157" s="499">
        <f t="shared" si="226"/>
        <v>0</v>
      </c>
      <c r="CI157" s="499">
        <f t="shared" si="227"/>
        <v>0</v>
      </c>
      <c r="CJ157" s="499">
        <f t="shared" si="228"/>
        <v>0</v>
      </c>
      <c r="CP157" s="499"/>
      <c r="CQ157" s="65">
        <f t="shared" si="230"/>
        <v>0.97884050728234018</v>
      </c>
      <c r="CR157" s="499">
        <f t="shared" si="231"/>
        <v>0.97884050728234018</v>
      </c>
      <c r="CS157" s="499">
        <f t="shared" si="232"/>
        <v>0.97884050728234018</v>
      </c>
      <c r="CT157" s="38">
        <f t="shared" si="233"/>
        <v>1</v>
      </c>
      <c r="CU157" s="498">
        <f t="shared" si="234"/>
        <v>1</v>
      </c>
    </row>
    <row r="158" spans="43:99">
      <c r="AQ158" s="499"/>
      <c r="AR158" s="228">
        <v>29.364727999999999</v>
      </c>
      <c r="AS158" s="13">
        <v>448</v>
      </c>
      <c r="AT158" s="13">
        <v>3.1915290000000001</v>
      </c>
      <c r="AU158" s="13">
        <f t="shared" si="245"/>
        <v>1</v>
      </c>
      <c r="AV158" s="13">
        <f t="shared" si="236"/>
        <v>29.364727999999999</v>
      </c>
      <c r="AW158" s="13">
        <f t="shared" si="237"/>
        <v>29.364727999999999</v>
      </c>
      <c r="AX158" s="13">
        <f t="shared" si="238"/>
        <v>29.364727999999999</v>
      </c>
      <c r="AY158" s="13">
        <v>648.29554299999995</v>
      </c>
      <c r="AZ158" s="13">
        <f t="shared" si="239"/>
        <v>0</v>
      </c>
      <c r="BA158" s="13">
        <f t="shared" si="240"/>
        <v>0</v>
      </c>
      <c r="BB158" s="97">
        <f t="shared" si="241"/>
        <v>0</v>
      </c>
      <c r="BC158" s="499"/>
      <c r="BD158" s="499">
        <v>82.35</v>
      </c>
      <c r="BE158" s="499">
        <v>22.546321169354837</v>
      </c>
      <c r="BF158" s="499">
        <v>19.098108669354836</v>
      </c>
      <c r="BG158" s="499">
        <v>21.05141873711996</v>
      </c>
      <c r="BI158" s="499">
        <f t="shared" ref="BI158:BJ158" si="264">AS161</f>
        <v>254</v>
      </c>
      <c r="BJ158" s="499">
        <f t="shared" si="264"/>
        <v>3.2278859999999998</v>
      </c>
      <c r="BK158" s="5">
        <f t="shared" si="214"/>
        <v>1</v>
      </c>
      <c r="BL158" s="499">
        <f t="shared" si="215"/>
        <v>24.538826</v>
      </c>
      <c r="BM158" s="499">
        <f t="shared" si="216"/>
        <v>916.29293299999995</v>
      </c>
      <c r="BO158" s="499">
        <f t="shared" si="217"/>
        <v>254</v>
      </c>
      <c r="BP158" s="499">
        <f t="shared" si="218"/>
        <v>3.2278859999999998</v>
      </c>
      <c r="BQ158" s="5">
        <f t="shared" si="211"/>
        <v>1</v>
      </c>
      <c r="BR158" s="499">
        <f t="shared" si="219"/>
        <v>24.538826</v>
      </c>
      <c r="BS158" s="499">
        <f t="shared" si="220"/>
        <v>916.29293299999995</v>
      </c>
      <c r="BU158" s="499">
        <f t="shared" si="221"/>
        <v>254</v>
      </c>
      <c r="BV158" s="499">
        <f t="shared" si="222"/>
        <v>3.2278859999999998</v>
      </c>
      <c r="BW158" s="5">
        <f t="shared" si="212"/>
        <v>1</v>
      </c>
      <c r="BX158" s="499">
        <f t="shared" si="223"/>
        <v>24.538826</v>
      </c>
      <c r="BY158" s="499">
        <f t="shared" si="224"/>
        <v>916.29293299999995</v>
      </c>
      <c r="CA158">
        <v>254</v>
      </c>
      <c r="CB158">
        <v>3.2278859999999998</v>
      </c>
      <c r="CC158">
        <v>1</v>
      </c>
      <c r="CD158">
        <v>24.538826</v>
      </c>
      <c r="CE158">
        <v>916.29293299999995</v>
      </c>
      <c r="CG158" s="499">
        <f t="shared" si="225"/>
        <v>1</v>
      </c>
      <c r="CH158" s="499">
        <f t="shared" si="226"/>
        <v>1</v>
      </c>
      <c r="CI158" s="499">
        <f t="shared" si="227"/>
        <v>1</v>
      </c>
      <c r="CJ158" s="499">
        <f t="shared" si="228"/>
        <v>1</v>
      </c>
      <c r="CP158" s="499"/>
      <c r="CQ158" s="65">
        <f t="shared" si="230"/>
        <v>0.97881752723341475</v>
      </c>
      <c r="CR158" s="499">
        <f t="shared" si="231"/>
        <v>0.97881752723341475</v>
      </c>
      <c r="CS158" s="499">
        <f t="shared" si="232"/>
        <v>0.97881752723341475</v>
      </c>
      <c r="CT158" s="38">
        <f t="shared" si="233"/>
        <v>1</v>
      </c>
      <c r="CU158" s="498">
        <f t="shared" si="234"/>
        <v>1</v>
      </c>
    </row>
    <row r="159" spans="43:99">
      <c r="AQ159" s="499"/>
      <c r="AR159" s="228">
        <v>18.905459</v>
      </c>
      <c r="AS159" s="13">
        <v>33</v>
      </c>
      <c r="AT159" s="13">
        <v>3.1944539999999999</v>
      </c>
      <c r="AU159" s="13">
        <f t="shared" si="245"/>
        <v>0</v>
      </c>
      <c r="AV159" s="13">
        <f t="shared" si="236"/>
        <v>18.905459</v>
      </c>
      <c r="AW159" s="13">
        <f t="shared" si="237"/>
        <v>18.905459</v>
      </c>
      <c r="AX159" s="13">
        <f t="shared" si="238"/>
        <v>18.905459</v>
      </c>
      <c r="AY159" s="13">
        <v>999.59729900000002</v>
      </c>
      <c r="AZ159" s="13">
        <f t="shared" si="239"/>
        <v>0</v>
      </c>
      <c r="BA159" s="13">
        <f t="shared" si="240"/>
        <v>0</v>
      </c>
      <c r="BB159" s="97">
        <f t="shared" si="241"/>
        <v>0</v>
      </c>
      <c r="BC159" s="499"/>
      <c r="BD159" s="499">
        <v>82.15</v>
      </c>
      <c r="BE159" s="499">
        <v>22.496180241935484</v>
      </c>
      <c r="BF159" s="499">
        <v>19.142281854838703</v>
      </c>
      <c r="BG159" s="499">
        <v>21.041774563640107</v>
      </c>
      <c r="BI159" s="499">
        <f t="shared" ref="BI159:BJ159" si="265">AS162</f>
        <v>123</v>
      </c>
      <c r="BJ159" s="499">
        <f t="shared" si="265"/>
        <v>3.231004</v>
      </c>
      <c r="BK159" s="5">
        <f t="shared" si="214"/>
        <v>0</v>
      </c>
      <c r="BL159" s="499">
        <f t="shared" si="215"/>
        <v>22.89021</v>
      </c>
      <c r="BM159" s="499">
        <f t="shared" si="216"/>
        <v>872.15556700000002</v>
      </c>
      <c r="BO159" s="499">
        <f t="shared" si="217"/>
        <v>123</v>
      </c>
      <c r="BP159" s="499">
        <f t="shared" si="218"/>
        <v>3.231004</v>
      </c>
      <c r="BQ159" s="5">
        <f t="shared" si="211"/>
        <v>0</v>
      </c>
      <c r="BR159" s="499">
        <f t="shared" si="219"/>
        <v>22.89021</v>
      </c>
      <c r="BS159" s="499">
        <f t="shared" si="220"/>
        <v>872.15556700000002</v>
      </c>
      <c r="BU159" s="499">
        <f t="shared" si="221"/>
        <v>123</v>
      </c>
      <c r="BV159" s="499">
        <f t="shared" si="222"/>
        <v>3.231004</v>
      </c>
      <c r="BW159" s="5">
        <f t="shared" si="212"/>
        <v>0</v>
      </c>
      <c r="BX159" s="499">
        <f t="shared" si="223"/>
        <v>22.89021</v>
      </c>
      <c r="BY159" s="499">
        <f t="shared" si="224"/>
        <v>872.15556700000002</v>
      </c>
      <c r="CA159">
        <v>123</v>
      </c>
      <c r="CB159">
        <v>3.231004</v>
      </c>
      <c r="CC159">
        <v>0</v>
      </c>
      <c r="CD159">
        <v>22.89021</v>
      </c>
      <c r="CE159">
        <v>872.15556700000002</v>
      </c>
      <c r="CG159" s="499">
        <f t="shared" si="225"/>
        <v>0</v>
      </c>
      <c r="CH159" s="499">
        <f t="shared" si="226"/>
        <v>0</v>
      </c>
      <c r="CI159" s="499">
        <f t="shared" si="227"/>
        <v>0</v>
      </c>
      <c r="CJ159" s="499">
        <f t="shared" si="228"/>
        <v>0</v>
      </c>
      <c r="CP159" s="499"/>
      <c r="CQ159" s="65">
        <f t="shared" si="230"/>
        <v>0.40019351741761061</v>
      </c>
      <c r="CR159" s="499">
        <f t="shared" si="231"/>
        <v>0.40019351741761061</v>
      </c>
      <c r="CS159" s="499">
        <f t="shared" si="232"/>
        <v>0.40019351741761061</v>
      </c>
      <c r="CT159" s="38">
        <f t="shared" si="233"/>
        <v>1</v>
      </c>
      <c r="CU159" s="498">
        <f t="shared" si="234"/>
        <v>1</v>
      </c>
    </row>
    <row r="160" spans="43:99">
      <c r="AQ160" s="499"/>
      <c r="AR160" s="228">
        <v>19.297452</v>
      </c>
      <c r="AS160" s="13">
        <v>283</v>
      </c>
      <c r="AT160" s="13">
        <v>3.20845</v>
      </c>
      <c r="AU160" s="13">
        <f t="shared" si="245"/>
        <v>0</v>
      </c>
      <c r="AV160" s="13">
        <f t="shared" si="236"/>
        <v>19.297452</v>
      </c>
      <c r="AW160" s="13">
        <f t="shared" si="237"/>
        <v>19.297452</v>
      </c>
      <c r="AX160" s="13">
        <f t="shared" si="238"/>
        <v>19.297452</v>
      </c>
      <c r="AY160" s="13">
        <v>1798.5829140000001</v>
      </c>
      <c r="AZ160" s="13">
        <f t="shared" si="239"/>
        <v>0</v>
      </c>
      <c r="BA160" s="13">
        <f t="shared" si="240"/>
        <v>0</v>
      </c>
      <c r="BB160" s="97">
        <f t="shared" si="241"/>
        <v>0</v>
      </c>
      <c r="BC160" s="499"/>
      <c r="BD160" s="499">
        <v>81.95</v>
      </c>
      <c r="BE160" s="499">
        <v>22.487957258064512</v>
      </c>
      <c r="BF160" s="499">
        <v>19.182695161290322</v>
      </c>
      <c r="BG160" s="499">
        <v>21.038576348969787</v>
      </c>
      <c r="BI160" s="499">
        <f t="shared" ref="BI160:BJ160" si="266">AS163</f>
        <v>257</v>
      </c>
      <c r="BJ160" s="499">
        <f t="shared" si="266"/>
        <v>3.2323970000000002</v>
      </c>
      <c r="BK160" s="5">
        <f t="shared" si="214"/>
        <v>0</v>
      </c>
      <c r="BL160" s="499">
        <f t="shared" si="215"/>
        <v>19.429137000000001</v>
      </c>
      <c r="BM160" s="499">
        <f t="shared" si="216"/>
        <v>973.79783099999997</v>
      </c>
      <c r="BO160" s="499">
        <f t="shared" si="217"/>
        <v>257</v>
      </c>
      <c r="BP160" s="499">
        <f t="shared" si="218"/>
        <v>3.2323970000000002</v>
      </c>
      <c r="BQ160" s="5">
        <f t="shared" si="211"/>
        <v>0</v>
      </c>
      <c r="BR160" s="499">
        <f t="shared" si="219"/>
        <v>19.429137000000001</v>
      </c>
      <c r="BS160" s="499">
        <f t="shared" si="220"/>
        <v>973.79783099999997</v>
      </c>
      <c r="BU160" s="499">
        <f t="shared" si="221"/>
        <v>257</v>
      </c>
      <c r="BV160" s="499">
        <f t="shared" si="222"/>
        <v>3.2323970000000002</v>
      </c>
      <c r="BW160" s="5">
        <f t="shared" si="212"/>
        <v>0</v>
      </c>
      <c r="BX160" s="499">
        <f t="shared" si="223"/>
        <v>19.429137000000001</v>
      </c>
      <c r="BY160" s="499">
        <f t="shared" si="224"/>
        <v>973.79783099999997</v>
      </c>
      <c r="CA160">
        <v>257</v>
      </c>
      <c r="CB160">
        <v>3.2323970000000002</v>
      </c>
      <c r="CC160">
        <v>0</v>
      </c>
      <c r="CD160">
        <v>19.429137000000001</v>
      </c>
      <c r="CE160">
        <v>973.79783099999997</v>
      </c>
      <c r="CG160" s="499">
        <f t="shared" si="225"/>
        <v>0</v>
      </c>
      <c r="CH160" s="499">
        <f t="shared" si="226"/>
        <v>0</v>
      </c>
      <c r="CI160" s="499">
        <f t="shared" si="227"/>
        <v>0</v>
      </c>
      <c r="CJ160" s="499">
        <f t="shared" si="228"/>
        <v>0</v>
      </c>
      <c r="CP160" s="499"/>
      <c r="CQ160" s="65">
        <f t="shared" si="230"/>
        <v>0.92813868305287006</v>
      </c>
      <c r="CR160" s="499">
        <f t="shared" si="231"/>
        <v>0.92813868305287006</v>
      </c>
      <c r="CS160" s="499">
        <f t="shared" si="232"/>
        <v>0.92813868305287006</v>
      </c>
      <c r="CT160" s="38">
        <f t="shared" si="233"/>
        <v>1</v>
      </c>
      <c r="CU160" s="498">
        <f t="shared" si="234"/>
        <v>1</v>
      </c>
    </row>
    <row r="161" spans="43:99">
      <c r="AQ161" s="499"/>
      <c r="AR161" s="228">
        <v>24.538826</v>
      </c>
      <c r="AS161" s="13">
        <v>254</v>
      </c>
      <c r="AT161" s="13">
        <v>3.2278859999999998</v>
      </c>
      <c r="AU161" s="13">
        <f t="shared" si="245"/>
        <v>1</v>
      </c>
      <c r="AV161" s="13">
        <f t="shared" si="236"/>
        <v>24.538826</v>
      </c>
      <c r="AW161" s="13">
        <f t="shared" si="237"/>
        <v>24.538826</v>
      </c>
      <c r="AX161" s="13">
        <f t="shared" si="238"/>
        <v>24.538826</v>
      </c>
      <c r="AY161" s="13">
        <v>916.29293299999995</v>
      </c>
      <c r="AZ161" s="13">
        <f t="shared" si="239"/>
        <v>0</v>
      </c>
      <c r="BA161" s="13">
        <f t="shared" si="240"/>
        <v>0</v>
      </c>
      <c r="BB161" s="97">
        <f t="shared" si="241"/>
        <v>0</v>
      </c>
      <c r="BC161" s="499"/>
      <c r="BD161" s="499">
        <v>81.75</v>
      </c>
      <c r="BE161" s="499">
        <v>22.479296370967745</v>
      </c>
      <c r="BF161" s="499">
        <v>19.15676310483871</v>
      </c>
      <c r="BG161" s="499">
        <v>20.996307105210619</v>
      </c>
      <c r="BI161" s="499">
        <f t="shared" ref="BI161:BJ161" si="267">AS164</f>
        <v>107</v>
      </c>
      <c r="BJ161" s="499">
        <f t="shared" si="267"/>
        <v>3.2327750000000002</v>
      </c>
      <c r="BK161" s="5">
        <f t="shared" si="214"/>
        <v>0</v>
      </c>
      <c r="BL161" s="499">
        <f t="shared" si="215"/>
        <v>17.993361</v>
      </c>
      <c r="BM161" s="499">
        <f t="shared" si="216"/>
        <v>1158.5017769999999</v>
      </c>
      <c r="BO161" s="499">
        <f t="shared" si="217"/>
        <v>107</v>
      </c>
      <c r="BP161" s="499">
        <f t="shared" si="218"/>
        <v>3.2327750000000002</v>
      </c>
      <c r="BQ161" s="5">
        <f t="shared" si="211"/>
        <v>0</v>
      </c>
      <c r="BR161" s="499">
        <f t="shared" si="219"/>
        <v>17.993361</v>
      </c>
      <c r="BS161" s="499">
        <f t="shared" si="220"/>
        <v>1158.5017769999999</v>
      </c>
      <c r="BU161" s="499">
        <f t="shared" si="221"/>
        <v>107</v>
      </c>
      <c r="BV161" s="499">
        <f t="shared" si="222"/>
        <v>3.2327750000000002</v>
      </c>
      <c r="BW161" s="5">
        <f t="shared" si="212"/>
        <v>0</v>
      </c>
      <c r="BX161" s="499">
        <f t="shared" si="223"/>
        <v>17.993361</v>
      </c>
      <c r="BY161" s="499">
        <f t="shared" si="224"/>
        <v>1158.5017769999999</v>
      </c>
      <c r="CA161">
        <v>107</v>
      </c>
      <c r="CB161">
        <v>3.2327750000000002</v>
      </c>
      <c r="CC161">
        <v>0</v>
      </c>
      <c r="CD161">
        <v>17.993361</v>
      </c>
      <c r="CE161">
        <v>1158.5017769999999</v>
      </c>
      <c r="CG161" s="499">
        <f t="shared" si="225"/>
        <v>0</v>
      </c>
      <c r="CH161" s="499">
        <f t="shared" si="226"/>
        <v>0</v>
      </c>
      <c r="CI161" s="499">
        <f t="shared" si="227"/>
        <v>0</v>
      </c>
      <c r="CJ161" s="499">
        <f t="shared" si="228"/>
        <v>0</v>
      </c>
      <c r="CP161" s="499"/>
      <c r="CQ161" s="65">
        <f t="shared" si="230"/>
        <v>0.97880482592080365</v>
      </c>
      <c r="CR161" s="499">
        <f t="shared" si="231"/>
        <v>0.97880482592080365</v>
      </c>
      <c r="CS161" s="499">
        <f t="shared" si="232"/>
        <v>0.97880482592080365</v>
      </c>
      <c r="CT161" s="38">
        <f t="shared" si="233"/>
        <v>1</v>
      </c>
      <c r="CU161" s="498">
        <f t="shared" si="234"/>
        <v>1</v>
      </c>
    </row>
    <row r="162" spans="43:99">
      <c r="AQ162" s="499"/>
      <c r="AR162" s="228">
        <v>22.89021</v>
      </c>
      <c r="AS162" s="13">
        <v>123</v>
      </c>
      <c r="AT162" s="13">
        <v>3.231004</v>
      </c>
      <c r="AU162" s="13">
        <f t="shared" si="245"/>
        <v>0</v>
      </c>
      <c r="AV162" s="13">
        <f t="shared" si="236"/>
        <v>22.89021</v>
      </c>
      <c r="AW162" s="13">
        <f t="shared" si="237"/>
        <v>22.89021</v>
      </c>
      <c r="AX162" s="13">
        <f t="shared" si="238"/>
        <v>22.89021</v>
      </c>
      <c r="AY162" s="13">
        <v>872.15556700000002</v>
      </c>
      <c r="AZ162" s="13">
        <f t="shared" si="239"/>
        <v>0</v>
      </c>
      <c r="BA162" s="13">
        <f t="shared" si="240"/>
        <v>0</v>
      </c>
      <c r="BB162" s="97">
        <f t="shared" si="241"/>
        <v>0</v>
      </c>
      <c r="BC162" s="499"/>
      <c r="BD162" s="499">
        <v>81.55</v>
      </c>
      <c r="BE162" s="499">
        <v>22.522893750000001</v>
      </c>
      <c r="BF162" s="499">
        <v>19.122648387096778</v>
      </c>
      <c r="BG162" s="499">
        <v>21.02999189594323</v>
      </c>
      <c r="BI162" s="499">
        <f t="shared" ref="BI162:BJ162" si="268">AS165</f>
        <v>188</v>
      </c>
      <c r="BJ162" s="499">
        <f t="shared" si="268"/>
        <v>3.2374839999999998</v>
      </c>
      <c r="BK162" s="5">
        <f t="shared" si="214"/>
        <v>0</v>
      </c>
      <c r="BL162" s="499">
        <f t="shared" si="215"/>
        <v>21.341633999999999</v>
      </c>
      <c r="BM162" s="499">
        <f t="shared" si="216"/>
        <v>1002.032637</v>
      </c>
      <c r="BO162" s="499">
        <f t="shared" si="217"/>
        <v>188</v>
      </c>
      <c r="BP162" s="499">
        <f t="shared" si="218"/>
        <v>3.2374839999999998</v>
      </c>
      <c r="BQ162" s="5">
        <f t="shared" si="211"/>
        <v>0</v>
      </c>
      <c r="BR162" s="499">
        <f t="shared" si="219"/>
        <v>21.341633999999999</v>
      </c>
      <c r="BS162" s="499">
        <f t="shared" si="220"/>
        <v>1002.032637</v>
      </c>
      <c r="BU162" s="499">
        <f t="shared" si="221"/>
        <v>188</v>
      </c>
      <c r="BV162" s="499">
        <f t="shared" si="222"/>
        <v>3.2374839999999998</v>
      </c>
      <c r="BW162" s="5">
        <f t="shared" si="212"/>
        <v>0</v>
      </c>
      <c r="BX162" s="499">
        <f t="shared" si="223"/>
        <v>21.341633999999999</v>
      </c>
      <c r="BY162" s="499">
        <f t="shared" si="224"/>
        <v>1002.032637</v>
      </c>
      <c r="CA162">
        <v>188</v>
      </c>
      <c r="CB162">
        <v>3.2374839999999998</v>
      </c>
      <c r="CC162">
        <v>0</v>
      </c>
      <c r="CD162">
        <v>21.341633999999999</v>
      </c>
      <c r="CE162">
        <v>1002.032637</v>
      </c>
      <c r="CG162" s="499">
        <f t="shared" si="225"/>
        <v>0</v>
      </c>
      <c r="CH162" s="499">
        <f t="shared" si="226"/>
        <v>0</v>
      </c>
      <c r="CI162" s="499">
        <f t="shared" si="227"/>
        <v>0</v>
      </c>
      <c r="CJ162" s="499">
        <f t="shared" si="228"/>
        <v>0</v>
      </c>
      <c r="CP162" s="499"/>
      <c r="CQ162" s="65">
        <f t="shared" si="230"/>
        <v>0.97885681700570071</v>
      </c>
      <c r="CR162" s="499">
        <f t="shared" si="231"/>
        <v>0.97885681700570071</v>
      </c>
      <c r="CS162" s="499">
        <f t="shared" si="232"/>
        <v>0.97885681700570071</v>
      </c>
      <c r="CT162" s="38">
        <f t="shared" si="233"/>
        <v>1</v>
      </c>
      <c r="CU162" s="498">
        <f t="shared" si="234"/>
        <v>1</v>
      </c>
    </row>
    <row r="163" spans="43:99">
      <c r="AQ163" s="499"/>
      <c r="AR163" s="228">
        <v>19.429137000000001</v>
      </c>
      <c r="AS163" s="13">
        <v>257</v>
      </c>
      <c r="AT163" s="13">
        <v>3.2323970000000002</v>
      </c>
      <c r="AU163" s="13">
        <f t="shared" si="245"/>
        <v>0</v>
      </c>
      <c r="AV163" s="13">
        <f t="shared" si="236"/>
        <v>19.429137000000001</v>
      </c>
      <c r="AW163" s="13">
        <f t="shared" si="237"/>
        <v>19.429137000000001</v>
      </c>
      <c r="AX163" s="13">
        <f t="shared" si="238"/>
        <v>19.429137000000001</v>
      </c>
      <c r="AY163" s="13">
        <v>973.79783099999997</v>
      </c>
      <c r="AZ163" s="13">
        <f t="shared" si="239"/>
        <v>0</v>
      </c>
      <c r="BA163" s="13">
        <f t="shared" si="240"/>
        <v>0</v>
      </c>
      <c r="BB163" s="97">
        <f t="shared" si="241"/>
        <v>0</v>
      </c>
      <c r="BC163" s="499"/>
      <c r="BD163" s="499">
        <v>81.349999999999994</v>
      </c>
      <c r="BE163" s="499">
        <v>22.533221169354842</v>
      </c>
      <c r="BF163" s="499">
        <v>19.126481250000001</v>
      </c>
      <c r="BG163" s="499">
        <v>21.078889133017398</v>
      </c>
      <c r="BI163" s="499">
        <f t="shared" ref="BI163:BJ163" si="269">AS166</f>
        <v>303</v>
      </c>
      <c r="BJ163" s="499">
        <f t="shared" si="269"/>
        <v>3.2379150000000001</v>
      </c>
      <c r="BK163" s="5">
        <f t="shared" si="214"/>
        <v>0</v>
      </c>
      <c r="BL163" s="499">
        <f t="shared" si="215"/>
        <v>20.061532</v>
      </c>
      <c r="BM163" s="499">
        <f t="shared" si="216"/>
        <v>1001.958815</v>
      </c>
      <c r="BO163" s="499">
        <f t="shared" si="217"/>
        <v>303</v>
      </c>
      <c r="BP163" s="499">
        <f t="shared" si="218"/>
        <v>3.2379150000000001</v>
      </c>
      <c r="BQ163" s="5">
        <f t="shared" si="211"/>
        <v>0</v>
      </c>
      <c r="BR163" s="499">
        <f t="shared" si="219"/>
        <v>20.061532</v>
      </c>
      <c r="BS163" s="499">
        <f t="shared" si="220"/>
        <v>1001.958815</v>
      </c>
      <c r="BU163" s="499">
        <f t="shared" si="221"/>
        <v>303</v>
      </c>
      <c r="BV163" s="499">
        <f t="shared" si="222"/>
        <v>3.2379150000000001</v>
      </c>
      <c r="BW163" s="5">
        <f t="shared" si="212"/>
        <v>0</v>
      </c>
      <c r="BX163" s="499">
        <f t="shared" si="223"/>
        <v>20.061532</v>
      </c>
      <c r="BY163" s="499">
        <f t="shared" si="224"/>
        <v>1001.958815</v>
      </c>
      <c r="CA163">
        <v>303</v>
      </c>
      <c r="CB163">
        <v>3.2379150000000001</v>
      </c>
      <c r="CC163">
        <v>0</v>
      </c>
      <c r="CD163">
        <v>20.061532</v>
      </c>
      <c r="CE163">
        <v>1001.958815</v>
      </c>
      <c r="CG163" s="499">
        <f t="shared" si="225"/>
        <v>0</v>
      </c>
      <c r="CH163" s="499">
        <f t="shared" si="226"/>
        <v>0</v>
      </c>
      <c r="CI163" s="499">
        <f t="shared" si="227"/>
        <v>0</v>
      </c>
      <c r="CJ163" s="499">
        <f t="shared" si="228"/>
        <v>0</v>
      </c>
      <c r="CP163" s="499"/>
      <c r="CQ163" s="65">
        <f t="shared" si="230"/>
        <v>0.97639992325642722</v>
      </c>
      <c r="CR163" s="499">
        <f t="shared" si="231"/>
        <v>0.97639992325642722</v>
      </c>
      <c r="CS163" s="499">
        <f t="shared" si="232"/>
        <v>0.97639992325642722</v>
      </c>
      <c r="CT163" s="38">
        <f t="shared" si="233"/>
        <v>1</v>
      </c>
      <c r="CU163" s="498">
        <f t="shared" si="234"/>
        <v>1</v>
      </c>
    </row>
    <row r="164" spans="43:99">
      <c r="AQ164" s="499"/>
      <c r="AR164" s="228">
        <v>17.993361</v>
      </c>
      <c r="AS164" s="13">
        <v>107</v>
      </c>
      <c r="AT164" s="13">
        <v>3.2327750000000002</v>
      </c>
      <c r="AU164" s="13">
        <f t="shared" si="245"/>
        <v>0</v>
      </c>
      <c r="AV164" s="13">
        <f t="shared" si="236"/>
        <v>17.993361</v>
      </c>
      <c r="AW164" s="13">
        <f t="shared" si="237"/>
        <v>17.993361</v>
      </c>
      <c r="AX164" s="13">
        <f t="shared" si="238"/>
        <v>17.993361</v>
      </c>
      <c r="AY164" s="13">
        <v>1158.5017769999999</v>
      </c>
      <c r="AZ164" s="13">
        <f t="shared" si="239"/>
        <v>0</v>
      </c>
      <c r="BA164" s="13">
        <f t="shared" si="240"/>
        <v>0</v>
      </c>
      <c r="BB164" s="97">
        <f t="shared" si="241"/>
        <v>0</v>
      </c>
      <c r="BC164" s="499"/>
      <c r="BD164" s="499">
        <v>81.150000000000006</v>
      </c>
      <c r="BE164" s="499">
        <v>22.495841330645153</v>
      </c>
      <c r="BF164" s="499">
        <v>19.153517338709673</v>
      </c>
      <c r="BG164" s="499">
        <v>21.122499601895605</v>
      </c>
      <c r="BI164" s="499">
        <f t="shared" ref="BI164:BJ164" si="270">AS167</f>
        <v>212</v>
      </c>
      <c r="BJ164" s="499">
        <f t="shared" si="270"/>
        <v>3.2640889999999998</v>
      </c>
      <c r="BK164" s="5">
        <f t="shared" si="214"/>
        <v>0</v>
      </c>
      <c r="BL164" s="499">
        <f t="shared" si="215"/>
        <v>18.622183</v>
      </c>
      <c r="BM164" s="499">
        <f t="shared" si="216"/>
        <v>1227.96774</v>
      </c>
      <c r="BO164" s="499">
        <f t="shared" si="217"/>
        <v>212</v>
      </c>
      <c r="BP164" s="499">
        <f t="shared" si="218"/>
        <v>3.2640889999999998</v>
      </c>
      <c r="BQ164" s="5">
        <f t="shared" si="211"/>
        <v>0</v>
      </c>
      <c r="BR164" s="499">
        <f t="shared" si="219"/>
        <v>18.622183</v>
      </c>
      <c r="BS164" s="499">
        <f t="shared" si="220"/>
        <v>1227.96774</v>
      </c>
      <c r="BU164" s="499">
        <f t="shared" si="221"/>
        <v>212</v>
      </c>
      <c r="BV164" s="499">
        <f t="shared" si="222"/>
        <v>3.2640889999999998</v>
      </c>
      <c r="BW164" s="5">
        <f t="shared" si="212"/>
        <v>0</v>
      </c>
      <c r="BX164" s="499">
        <f t="shared" si="223"/>
        <v>18.622183</v>
      </c>
      <c r="BY164" s="499">
        <f t="shared" si="224"/>
        <v>1227.96774</v>
      </c>
      <c r="CA164">
        <v>212</v>
      </c>
      <c r="CB164">
        <v>3.2640889999999998</v>
      </c>
      <c r="CC164">
        <v>0</v>
      </c>
      <c r="CD164">
        <v>18.622183</v>
      </c>
      <c r="CE164">
        <v>1227.96774</v>
      </c>
      <c r="CG164" s="499">
        <f t="shared" si="225"/>
        <v>0</v>
      </c>
      <c r="CH164" s="499">
        <f t="shared" si="226"/>
        <v>0</v>
      </c>
      <c r="CI164" s="499">
        <f t="shared" si="227"/>
        <v>0</v>
      </c>
      <c r="CJ164" s="499">
        <f t="shared" si="228"/>
        <v>0</v>
      </c>
      <c r="CP164" s="499"/>
      <c r="CQ164" s="65">
        <f t="shared" si="230"/>
        <v>0.97866619572847768</v>
      </c>
      <c r="CR164" s="499">
        <f t="shared" si="231"/>
        <v>0.97866619572847768</v>
      </c>
      <c r="CS164" s="499">
        <f t="shared" si="232"/>
        <v>0.97866619572847768</v>
      </c>
      <c r="CT164" s="38">
        <f t="shared" si="233"/>
        <v>1</v>
      </c>
      <c r="CU164" s="498">
        <f t="shared" si="234"/>
        <v>1</v>
      </c>
    </row>
    <row r="165" spans="43:99">
      <c r="AQ165" s="499"/>
      <c r="AR165" s="228">
        <v>21.341633999999999</v>
      </c>
      <c r="AS165" s="13">
        <v>188</v>
      </c>
      <c r="AT165" s="13">
        <v>3.2374839999999998</v>
      </c>
      <c r="AU165" s="13">
        <f t="shared" si="245"/>
        <v>0</v>
      </c>
      <c r="AV165" s="13">
        <f t="shared" si="236"/>
        <v>21.341633999999999</v>
      </c>
      <c r="AW165" s="13">
        <f t="shared" si="237"/>
        <v>21.341633999999999</v>
      </c>
      <c r="AX165" s="13">
        <f t="shared" si="238"/>
        <v>21.341633999999999</v>
      </c>
      <c r="AY165" s="13">
        <v>1002.032637</v>
      </c>
      <c r="AZ165" s="13">
        <f t="shared" si="239"/>
        <v>0</v>
      </c>
      <c r="BA165" s="13">
        <f t="shared" si="240"/>
        <v>0</v>
      </c>
      <c r="BB165" s="97">
        <f t="shared" si="241"/>
        <v>0</v>
      </c>
      <c r="BC165" s="499"/>
      <c r="BD165" s="499">
        <v>80.95</v>
      </c>
      <c r="BE165" s="499">
        <v>22.362752419354837</v>
      </c>
      <c r="BF165" s="499">
        <v>19.165430846774196</v>
      </c>
      <c r="BG165" s="499">
        <v>21.115817281515568</v>
      </c>
      <c r="BI165" s="499">
        <f t="shared" ref="BI165:BJ165" si="271">AS168</f>
        <v>130</v>
      </c>
      <c r="BJ165" s="499">
        <f t="shared" si="271"/>
        <v>3.2799369999999999</v>
      </c>
      <c r="BK165" s="5">
        <f t="shared" si="214"/>
        <v>1</v>
      </c>
      <c r="BL165" s="499">
        <f t="shared" si="215"/>
        <v>33.236679000000002</v>
      </c>
      <c r="BM165" s="499">
        <f t="shared" si="216"/>
        <v>1001.423488</v>
      </c>
      <c r="BO165" s="499">
        <f t="shared" si="217"/>
        <v>130</v>
      </c>
      <c r="BP165" s="499">
        <f t="shared" si="218"/>
        <v>3.2799369999999999</v>
      </c>
      <c r="BQ165" s="5">
        <f t="shared" si="211"/>
        <v>1</v>
      </c>
      <c r="BR165" s="499">
        <f t="shared" si="219"/>
        <v>33.236679000000002</v>
      </c>
      <c r="BS165" s="499">
        <f t="shared" si="220"/>
        <v>1001.423488</v>
      </c>
      <c r="BU165" s="499">
        <f t="shared" si="221"/>
        <v>130</v>
      </c>
      <c r="BV165" s="499">
        <f t="shared" si="222"/>
        <v>3.2799369999999999</v>
      </c>
      <c r="BW165" s="5">
        <f t="shared" si="212"/>
        <v>1</v>
      </c>
      <c r="BX165" s="499">
        <f t="shared" si="223"/>
        <v>33.236679000000002</v>
      </c>
      <c r="BY165" s="499">
        <f t="shared" si="224"/>
        <v>1001.423488</v>
      </c>
      <c r="CA165">
        <v>130</v>
      </c>
      <c r="CB165">
        <v>3.2799369999999999</v>
      </c>
      <c r="CC165">
        <v>1</v>
      </c>
      <c r="CD165">
        <v>33.236679000000002</v>
      </c>
      <c r="CE165">
        <v>1001.423488</v>
      </c>
      <c r="CG165" s="499">
        <f t="shared" si="225"/>
        <v>1</v>
      </c>
      <c r="CH165" s="499">
        <f t="shared" si="226"/>
        <v>1</v>
      </c>
      <c r="CI165" s="499">
        <f t="shared" si="227"/>
        <v>1</v>
      </c>
      <c r="CJ165" s="499">
        <f t="shared" si="228"/>
        <v>1</v>
      </c>
      <c r="CP165" s="499"/>
      <c r="CQ165" s="65">
        <f t="shared" si="230"/>
        <v>0.97884889703444711</v>
      </c>
      <c r="CR165" s="499">
        <f t="shared" si="231"/>
        <v>0.97884889703444711</v>
      </c>
      <c r="CS165" s="499">
        <f t="shared" si="232"/>
        <v>0.97884889703444711</v>
      </c>
      <c r="CT165" s="38">
        <f t="shared" si="233"/>
        <v>1</v>
      </c>
      <c r="CU165" s="498">
        <f t="shared" si="234"/>
        <v>1</v>
      </c>
    </row>
    <row r="166" spans="43:99">
      <c r="AQ166" s="499"/>
      <c r="AR166" s="228">
        <v>20.061532</v>
      </c>
      <c r="AS166" s="13">
        <v>303</v>
      </c>
      <c r="AT166" s="13">
        <v>3.2379150000000001</v>
      </c>
      <c r="AU166" s="13">
        <f t="shared" si="245"/>
        <v>0</v>
      </c>
      <c r="AV166" s="13">
        <f t="shared" si="236"/>
        <v>20.061532</v>
      </c>
      <c r="AW166" s="13">
        <f t="shared" si="237"/>
        <v>20.061532</v>
      </c>
      <c r="AX166" s="13">
        <f t="shared" si="238"/>
        <v>20.061532</v>
      </c>
      <c r="AY166" s="13">
        <v>1001.958815</v>
      </c>
      <c r="AZ166" s="13">
        <f t="shared" si="239"/>
        <v>0</v>
      </c>
      <c r="BA166" s="13">
        <f t="shared" si="240"/>
        <v>0</v>
      </c>
      <c r="BB166" s="97">
        <f t="shared" si="241"/>
        <v>0</v>
      </c>
      <c r="BC166" s="499"/>
      <c r="BD166" s="499">
        <v>80.75</v>
      </c>
      <c r="BE166" s="499">
        <v>22.307847580645163</v>
      </c>
      <c r="BF166" s="499">
        <v>19.179620766129027</v>
      </c>
      <c r="BG166" s="499">
        <v>21.125734232605311</v>
      </c>
      <c r="BI166" s="499">
        <f t="shared" ref="BI166:BJ166" si="272">AS169</f>
        <v>332</v>
      </c>
      <c r="BJ166" s="499">
        <f t="shared" si="272"/>
        <v>3.2897850000000002</v>
      </c>
      <c r="BK166" s="5">
        <f t="shared" si="214"/>
        <v>0</v>
      </c>
      <c r="BL166" s="499">
        <f t="shared" si="215"/>
        <v>22.89021</v>
      </c>
      <c r="BM166" s="499">
        <f t="shared" si="216"/>
        <v>1278.155845</v>
      </c>
      <c r="BO166" s="499">
        <f t="shared" si="217"/>
        <v>332</v>
      </c>
      <c r="BP166" s="499">
        <f t="shared" si="218"/>
        <v>3.2897850000000002</v>
      </c>
      <c r="BQ166" s="5">
        <f t="shared" si="211"/>
        <v>0</v>
      </c>
      <c r="BR166" s="499">
        <f t="shared" si="219"/>
        <v>22.89021</v>
      </c>
      <c r="BS166" s="499">
        <f t="shared" si="220"/>
        <v>1278.155845</v>
      </c>
      <c r="BU166" s="499">
        <f t="shared" si="221"/>
        <v>332</v>
      </c>
      <c r="BV166" s="499">
        <f t="shared" si="222"/>
        <v>3.2897850000000002</v>
      </c>
      <c r="BW166" s="5">
        <f t="shared" si="212"/>
        <v>0</v>
      </c>
      <c r="BX166" s="499">
        <f t="shared" si="223"/>
        <v>22.89021</v>
      </c>
      <c r="BY166" s="499">
        <f t="shared" si="224"/>
        <v>1278.155845</v>
      </c>
      <c r="CA166">
        <v>332</v>
      </c>
      <c r="CB166">
        <v>3.2897850000000002</v>
      </c>
      <c r="CC166">
        <v>0</v>
      </c>
      <c r="CD166">
        <v>22.89021</v>
      </c>
      <c r="CE166">
        <v>1278.155845</v>
      </c>
      <c r="CG166" s="499">
        <f t="shared" si="225"/>
        <v>0</v>
      </c>
      <c r="CH166" s="499">
        <f t="shared" si="226"/>
        <v>0</v>
      </c>
      <c r="CI166" s="499">
        <f t="shared" si="227"/>
        <v>0</v>
      </c>
      <c r="CJ166" s="499">
        <f t="shared" si="228"/>
        <v>0</v>
      </c>
      <c r="CP166" s="499"/>
      <c r="CQ166" s="65">
        <f t="shared" si="230"/>
        <v>2.1146490795253469E-8</v>
      </c>
      <c r="CR166" s="499">
        <f t="shared" si="231"/>
        <v>2.1146490795253469E-8</v>
      </c>
      <c r="CS166" s="499">
        <f t="shared" si="232"/>
        <v>2.1146490795253469E-8</v>
      </c>
      <c r="CT166" s="38">
        <f t="shared" si="233"/>
        <v>1</v>
      </c>
      <c r="CU166" s="498">
        <f t="shared" si="234"/>
        <v>1</v>
      </c>
    </row>
    <row r="167" spans="43:99">
      <c r="AQ167" s="499"/>
      <c r="AR167" s="228">
        <v>18.622183</v>
      </c>
      <c r="AS167" s="13">
        <v>212</v>
      </c>
      <c r="AT167" s="13">
        <v>3.2640889999999998</v>
      </c>
      <c r="AU167" s="13">
        <f t="shared" si="245"/>
        <v>0</v>
      </c>
      <c r="AV167" s="13">
        <f t="shared" si="236"/>
        <v>18.622183</v>
      </c>
      <c r="AW167" s="13">
        <f t="shared" si="237"/>
        <v>18.622183</v>
      </c>
      <c r="AX167" s="13">
        <f t="shared" si="238"/>
        <v>18.622183</v>
      </c>
      <c r="AY167" s="13">
        <v>1227.96774</v>
      </c>
      <c r="AZ167" s="13">
        <f t="shared" si="239"/>
        <v>0</v>
      </c>
      <c r="BA167" s="13">
        <f t="shared" si="240"/>
        <v>0</v>
      </c>
      <c r="BB167" s="97">
        <f t="shared" si="241"/>
        <v>0</v>
      </c>
      <c r="BC167" s="499"/>
      <c r="BD167" s="499">
        <v>80.55</v>
      </c>
      <c r="BE167" s="499">
        <v>22.275124596774194</v>
      </c>
      <c r="BF167" s="499">
        <v>19.180292943548395</v>
      </c>
      <c r="BG167" s="499">
        <v>21.159611749629128</v>
      </c>
      <c r="BI167" s="499">
        <f t="shared" ref="BI167:BJ167" si="273">AS170</f>
        <v>247</v>
      </c>
      <c r="BJ167" s="499">
        <f t="shared" si="273"/>
        <v>3.3058589999999999</v>
      </c>
      <c r="BK167" s="5">
        <f t="shared" si="214"/>
        <v>0</v>
      </c>
      <c r="BL167" s="499">
        <f t="shared" si="215"/>
        <v>21.22373</v>
      </c>
      <c r="BM167" s="499">
        <f t="shared" si="216"/>
        <v>1000.962113</v>
      </c>
      <c r="BO167" s="499">
        <f t="shared" si="217"/>
        <v>247</v>
      </c>
      <c r="BP167" s="499">
        <f t="shared" si="218"/>
        <v>3.3058589999999999</v>
      </c>
      <c r="BQ167" s="5">
        <f t="shared" si="211"/>
        <v>0</v>
      </c>
      <c r="BR167" s="499">
        <f t="shared" si="219"/>
        <v>21.22373</v>
      </c>
      <c r="BS167" s="499">
        <f t="shared" si="220"/>
        <v>1000.962113</v>
      </c>
      <c r="BU167" s="499">
        <f t="shared" si="221"/>
        <v>247</v>
      </c>
      <c r="BV167" s="499">
        <f t="shared" si="222"/>
        <v>3.3058589999999999</v>
      </c>
      <c r="BW167" s="5">
        <f t="shared" si="212"/>
        <v>0</v>
      </c>
      <c r="BX167" s="499">
        <f t="shared" si="223"/>
        <v>21.22373</v>
      </c>
      <c r="BY167" s="499">
        <f t="shared" si="224"/>
        <v>1000.962113</v>
      </c>
      <c r="CA167">
        <v>247</v>
      </c>
      <c r="CB167">
        <v>3.3058589999999999</v>
      </c>
      <c r="CC167">
        <v>0</v>
      </c>
      <c r="CD167">
        <v>21.22373</v>
      </c>
      <c r="CE167">
        <v>1000.962113</v>
      </c>
      <c r="CG167" s="499">
        <f t="shared" si="225"/>
        <v>0</v>
      </c>
      <c r="CH167" s="499">
        <f t="shared" si="226"/>
        <v>0</v>
      </c>
      <c r="CI167" s="499">
        <f t="shared" si="227"/>
        <v>0</v>
      </c>
      <c r="CJ167" s="499">
        <f t="shared" si="228"/>
        <v>0</v>
      </c>
      <c r="CP167" s="499"/>
      <c r="CQ167" s="65">
        <f t="shared" si="230"/>
        <v>0.92813868305287006</v>
      </c>
      <c r="CR167" s="499">
        <f t="shared" si="231"/>
        <v>0.92813868305287006</v>
      </c>
      <c r="CS167" s="499">
        <f t="shared" si="232"/>
        <v>0.92813868305287006</v>
      </c>
      <c r="CT167" s="38">
        <f t="shared" si="233"/>
        <v>1</v>
      </c>
      <c r="CU167" s="498">
        <f t="shared" si="234"/>
        <v>1</v>
      </c>
    </row>
    <row r="168" spans="43:99">
      <c r="AQ168" s="499"/>
      <c r="AR168" s="228">
        <v>33.236679000000002</v>
      </c>
      <c r="AS168" s="13">
        <v>130</v>
      </c>
      <c r="AT168" s="13">
        <v>3.2799369999999999</v>
      </c>
      <c r="AU168" s="13">
        <f t="shared" si="245"/>
        <v>1</v>
      </c>
      <c r="AV168" s="13">
        <f t="shared" si="236"/>
        <v>33.236679000000002</v>
      </c>
      <c r="AW168" s="13">
        <f t="shared" si="237"/>
        <v>33.236679000000002</v>
      </c>
      <c r="AX168" s="13">
        <f t="shared" si="238"/>
        <v>33.236679000000002</v>
      </c>
      <c r="AY168" s="13">
        <v>1001.423488</v>
      </c>
      <c r="AZ168" s="13">
        <f t="shared" si="239"/>
        <v>0</v>
      </c>
      <c r="BA168" s="13">
        <f t="shared" si="240"/>
        <v>0</v>
      </c>
      <c r="BB168" s="97">
        <f t="shared" si="241"/>
        <v>0</v>
      </c>
      <c r="BC168" s="499"/>
      <c r="BD168" s="499">
        <v>80.349999999999994</v>
      </c>
      <c r="BE168" s="499">
        <v>22.187454637096781</v>
      </c>
      <c r="BF168" s="499">
        <v>19.176195766129027</v>
      </c>
      <c r="BG168" s="499">
        <v>21.215642189739011</v>
      </c>
      <c r="BI168" s="499">
        <f t="shared" ref="BI168:BJ168" si="274">AS171</f>
        <v>160</v>
      </c>
      <c r="BJ168" s="499">
        <f t="shared" si="274"/>
        <v>3.3065799999999999</v>
      </c>
      <c r="BK168" s="5">
        <f t="shared" si="214"/>
        <v>0</v>
      </c>
      <c r="BL168" s="499">
        <f t="shared" si="215"/>
        <v>20.598991000000002</v>
      </c>
      <c r="BM168" s="499">
        <f t="shared" si="216"/>
        <v>1001.717507</v>
      </c>
      <c r="BO168" s="499">
        <f t="shared" si="217"/>
        <v>160</v>
      </c>
      <c r="BP168" s="499">
        <f t="shared" si="218"/>
        <v>3.3065799999999999</v>
      </c>
      <c r="BQ168" s="5">
        <f t="shared" si="211"/>
        <v>0</v>
      </c>
      <c r="BR168" s="499">
        <f t="shared" si="219"/>
        <v>20.598991000000002</v>
      </c>
      <c r="BS168" s="499">
        <f t="shared" si="220"/>
        <v>1001.717507</v>
      </c>
      <c r="BU168" s="499">
        <f t="shared" si="221"/>
        <v>160</v>
      </c>
      <c r="BV168" s="499">
        <f t="shared" si="222"/>
        <v>3.3065799999999999</v>
      </c>
      <c r="BW168" s="5">
        <f t="shared" si="212"/>
        <v>0</v>
      </c>
      <c r="BX168" s="499">
        <f t="shared" si="223"/>
        <v>20.598991000000002</v>
      </c>
      <c r="BY168" s="499">
        <f t="shared" si="224"/>
        <v>1001.717507</v>
      </c>
      <c r="CA168">
        <v>160</v>
      </c>
      <c r="CB168">
        <v>3.3065799999999999</v>
      </c>
      <c r="CC168">
        <v>0</v>
      </c>
      <c r="CD168">
        <v>20.598991000000002</v>
      </c>
      <c r="CE168">
        <v>1001.717507</v>
      </c>
      <c r="CG168" s="499">
        <f t="shared" si="225"/>
        <v>0</v>
      </c>
      <c r="CH168" s="499">
        <f t="shared" si="226"/>
        <v>0</v>
      </c>
      <c r="CI168" s="499">
        <f t="shared" si="227"/>
        <v>0</v>
      </c>
      <c r="CJ168" s="499">
        <f t="shared" si="228"/>
        <v>0</v>
      </c>
      <c r="CP168" s="499"/>
      <c r="CQ168" s="65">
        <f t="shared" si="230"/>
        <v>0.97691267685439487</v>
      </c>
      <c r="CR168" s="499">
        <f t="shared" si="231"/>
        <v>0.97691267685439487</v>
      </c>
      <c r="CS168" s="499">
        <f t="shared" si="232"/>
        <v>0.97691267685439487</v>
      </c>
      <c r="CT168" s="38">
        <f t="shared" si="233"/>
        <v>1</v>
      </c>
      <c r="CU168" s="498">
        <f t="shared" si="234"/>
        <v>1</v>
      </c>
    </row>
    <row r="169" spans="43:99">
      <c r="AQ169" s="499"/>
      <c r="AR169" s="228">
        <v>22.89021</v>
      </c>
      <c r="AS169" s="13">
        <v>332</v>
      </c>
      <c r="AT169" s="13">
        <v>3.2897850000000002</v>
      </c>
      <c r="AU169" s="13">
        <f t="shared" si="245"/>
        <v>0</v>
      </c>
      <c r="AV169" s="13">
        <f t="shared" si="236"/>
        <v>22.89021</v>
      </c>
      <c r="AW169" s="13">
        <f t="shared" si="237"/>
        <v>22.89021</v>
      </c>
      <c r="AX169" s="13">
        <f t="shared" si="238"/>
        <v>22.89021</v>
      </c>
      <c r="AY169" s="13">
        <v>1278.155845</v>
      </c>
      <c r="AZ169" s="13">
        <f t="shared" si="239"/>
        <v>0</v>
      </c>
      <c r="BA169" s="13">
        <f t="shared" si="240"/>
        <v>0</v>
      </c>
      <c r="BB169" s="97">
        <f t="shared" si="241"/>
        <v>0</v>
      </c>
      <c r="BC169" s="499"/>
      <c r="BD169" s="499">
        <v>80.150000000000006</v>
      </c>
      <c r="BE169" s="499">
        <v>22.166537903225802</v>
      </c>
      <c r="BF169" s="499">
        <v>19.165230040322587</v>
      </c>
      <c r="BG169" s="499">
        <v>21.280082404684062</v>
      </c>
      <c r="BI169" s="499">
        <f t="shared" ref="BI169:BJ169" si="275">AS172</f>
        <v>193</v>
      </c>
      <c r="BJ169" s="499">
        <f t="shared" si="275"/>
        <v>3.319515</v>
      </c>
      <c r="BK169" s="5">
        <f t="shared" si="214"/>
        <v>1</v>
      </c>
      <c r="BL169" s="499">
        <f t="shared" si="215"/>
        <v>33.216262</v>
      </c>
      <c r="BM169" s="499">
        <f t="shared" si="216"/>
        <v>1000.571352</v>
      </c>
      <c r="BO169" s="499">
        <f t="shared" si="217"/>
        <v>193</v>
      </c>
      <c r="BP169" s="499">
        <f t="shared" si="218"/>
        <v>3.319515</v>
      </c>
      <c r="BQ169" s="5">
        <f t="shared" si="211"/>
        <v>1</v>
      </c>
      <c r="BR169" s="499">
        <f t="shared" si="219"/>
        <v>33.216262</v>
      </c>
      <c r="BS169" s="499">
        <f t="shared" si="220"/>
        <v>1000.571352</v>
      </c>
      <c r="BU169" s="499">
        <f t="shared" si="221"/>
        <v>193</v>
      </c>
      <c r="BV169" s="499">
        <f t="shared" si="222"/>
        <v>3.319515</v>
      </c>
      <c r="BW169" s="5">
        <f t="shared" si="212"/>
        <v>1</v>
      </c>
      <c r="BX169" s="499">
        <f t="shared" si="223"/>
        <v>33.216262</v>
      </c>
      <c r="BY169" s="499">
        <f t="shared" si="224"/>
        <v>1000.571352</v>
      </c>
      <c r="CA169">
        <v>193</v>
      </c>
      <c r="CB169">
        <v>3.319515</v>
      </c>
      <c r="CC169">
        <v>1</v>
      </c>
      <c r="CD169">
        <v>33.216262</v>
      </c>
      <c r="CE169">
        <v>1000.571352</v>
      </c>
      <c r="CG169" s="499">
        <f t="shared" si="225"/>
        <v>1</v>
      </c>
      <c r="CH169" s="499">
        <f t="shared" si="226"/>
        <v>1</v>
      </c>
      <c r="CI169" s="499">
        <f t="shared" si="227"/>
        <v>1</v>
      </c>
      <c r="CJ169" s="499">
        <f t="shared" si="228"/>
        <v>1</v>
      </c>
      <c r="CP169" s="499"/>
      <c r="CQ169" s="65">
        <f t="shared" si="230"/>
        <v>0.97829640220272451</v>
      </c>
      <c r="CR169" s="499">
        <f t="shared" si="231"/>
        <v>0.97829640220272451</v>
      </c>
      <c r="CS169" s="499">
        <f t="shared" si="232"/>
        <v>0.97829640220272451</v>
      </c>
      <c r="CT169" s="38">
        <f t="shared" si="233"/>
        <v>1</v>
      </c>
      <c r="CU169" s="498">
        <f t="shared" si="234"/>
        <v>1</v>
      </c>
    </row>
    <row r="170" spans="43:99">
      <c r="AQ170" s="499"/>
      <c r="AR170" s="228">
        <v>21.22373</v>
      </c>
      <c r="AS170" s="13">
        <v>247</v>
      </c>
      <c r="AT170" s="13">
        <v>3.3058589999999999</v>
      </c>
      <c r="AU170" s="13">
        <f t="shared" si="245"/>
        <v>0</v>
      </c>
      <c r="AV170" s="13">
        <f t="shared" si="236"/>
        <v>21.22373</v>
      </c>
      <c r="AW170" s="13">
        <f t="shared" si="237"/>
        <v>21.22373</v>
      </c>
      <c r="AX170" s="13">
        <f t="shared" si="238"/>
        <v>21.22373</v>
      </c>
      <c r="AY170" s="13">
        <v>1000.962113</v>
      </c>
      <c r="AZ170" s="13">
        <f t="shared" si="239"/>
        <v>0</v>
      </c>
      <c r="BA170" s="13">
        <f t="shared" si="240"/>
        <v>0</v>
      </c>
      <c r="BB170" s="97">
        <f t="shared" si="241"/>
        <v>0</v>
      </c>
      <c r="BC170" s="499"/>
      <c r="BD170" s="499">
        <v>79.95</v>
      </c>
      <c r="BE170" s="499">
        <v>22.193911290322575</v>
      </c>
      <c r="BF170" s="499">
        <v>19.154054032258067</v>
      </c>
      <c r="BG170" s="499">
        <v>21.352777637719779</v>
      </c>
      <c r="BI170" s="499">
        <f t="shared" ref="BI170:BJ170" si="276">AS173</f>
        <v>294</v>
      </c>
      <c r="BJ170" s="499">
        <f t="shared" si="276"/>
        <v>3.3357559999999999</v>
      </c>
      <c r="BK170" s="5">
        <f t="shared" si="214"/>
        <v>0</v>
      </c>
      <c r="BL170" s="499">
        <f t="shared" si="215"/>
        <v>20.460569</v>
      </c>
      <c r="BM170" s="499">
        <f t="shared" si="216"/>
        <v>1425.601453</v>
      </c>
      <c r="BO170" s="499">
        <f t="shared" si="217"/>
        <v>294</v>
      </c>
      <c r="BP170" s="499">
        <f t="shared" si="218"/>
        <v>3.3357559999999999</v>
      </c>
      <c r="BQ170" s="5">
        <f t="shared" si="211"/>
        <v>0</v>
      </c>
      <c r="BR170" s="499">
        <f t="shared" si="219"/>
        <v>20.460569</v>
      </c>
      <c r="BS170" s="499">
        <f t="shared" si="220"/>
        <v>1425.601453</v>
      </c>
      <c r="BU170" s="499">
        <f t="shared" si="221"/>
        <v>294</v>
      </c>
      <c r="BV170" s="499">
        <f t="shared" si="222"/>
        <v>3.3357559999999999</v>
      </c>
      <c r="BW170" s="5">
        <f t="shared" si="212"/>
        <v>0</v>
      </c>
      <c r="BX170" s="499">
        <f t="shared" si="223"/>
        <v>20.460569</v>
      </c>
      <c r="BY170" s="499">
        <f t="shared" si="224"/>
        <v>1425.601453</v>
      </c>
      <c r="CA170">
        <v>294</v>
      </c>
      <c r="CB170">
        <v>3.3357559999999999</v>
      </c>
      <c r="CC170">
        <v>0</v>
      </c>
      <c r="CD170">
        <v>20.460569</v>
      </c>
      <c r="CE170">
        <v>1425.601453</v>
      </c>
      <c r="CG170" s="499">
        <f t="shared" si="225"/>
        <v>0</v>
      </c>
      <c r="CH170" s="499">
        <f t="shared" si="226"/>
        <v>0</v>
      </c>
      <c r="CI170" s="499">
        <f t="shared" si="227"/>
        <v>0</v>
      </c>
      <c r="CJ170" s="499">
        <f t="shared" si="228"/>
        <v>0</v>
      </c>
      <c r="CP170" s="499"/>
      <c r="CQ170" s="65">
        <f t="shared" si="230"/>
        <v>2.2021962121323214E-8</v>
      </c>
      <c r="CR170" s="499">
        <f t="shared" si="231"/>
        <v>2.2021962121323214E-8</v>
      </c>
      <c r="CS170" s="499">
        <f t="shared" si="232"/>
        <v>2.2021962121323214E-8</v>
      </c>
      <c r="CT170" s="38">
        <f t="shared" si="233"/>
        <v>1</v>
      </c>
      <c r="CU170" s="498">
        <f t="shared" si="234"/>
        <v>1</v>
      </c>
    </row>
    <row r="171" spans="43:99">
      <c r="AQ171" s="499"/>
      <c r="AR171" s="228">
        <v>20.598991000000002</v>
      </c>
      <c r="AS171" s="13">
        <v>160</v>
      </c>
      <c r="AT171" s="13">
        <v>3.3065799999999999</v>
      </c>
      <c r="AU171" s="13">
        <f t="shared" si="245"/>
        <v>0</v>
      </c>
      <c r="AV171" s="13">
        <f t="shared" si="236"/>
        <v>20.598991000000002</v>
      </c>
      <c r="AW171" s="13">
        <f t="shared" si="237"/>
        <v>20.598991000000002</v>
      </c>
      <c r="AX171" s="13">
        <f t="shared" si="238"/>
        <v>20.598991000000002</v>
      </c>
      <c r="AY171" s="13">
        <v>1001.717507</v>
      </c>
      <c r="AZ171" s="13">
        <f t="shared" si="239"/>
        <v>0</v>
      </c>
      <c r="BA171" s="13">
        <f t="shared" si="240"/>
        <v>0</v>
      </c>
      <c r="BB171" s="97">
        <f t="shared" si="241"/>
        <v>0</v>
      </c>
      <c r="BC171" s="499"/>
      <c r="BD171" s="499">
        <v>79.75</v>
      </c>
      <c r="BE171" s="499">
        <v>22.232130645161291</v>
      </c>
      <c r="BF171" s="499">
        <v>19.138826008064513</v>
      </c>
      <c r="BG171" s="499">
        <v>21.41831526851648</v>
      </c>
      <c r="BI171" s="499">
        <f t="shared" ref="BI171:BJ171" si="277">AS174</f>
        <v>219</v>
      </c>
      <c r="BJ171" s="499">
        <f t="shared" si="277"/>
        <v>3.34</v>
      </c>
      <c r="BK171" s="5">
        <f t="shared" si="214"/>
        <v>0</v>
      </c>
      <c r="BL171" s="499">
        <f t="shared" si="215"/>
        <v>21.791024</v>
      </c>
      <c r="BM171" s="499">
        <f t="shared" si="216"/>
        <v>1130.609502</v>
      </c>
      <c r="BO171" s="499">
        <f t="shared" si="217"/>
        <v>219</v>
      </c>
      <c r="BP171" s="499">
        <f t="shared" si="218"/>
        <v>3.34</v>
      </c>
      <c r="BQ171" s="5">
        <f t="shared" si="211"/>
        <v>0</v>
      </c>
      <c r="BR171" s="499">
        <f t="shared" si="219"/>
        <v>21.791024</v>
      </c>
      <c r="BS171" s="499">
        <f t="shared" si="220"/>
        <v>1130.609502</v>
      </c>
      <c r="BU171" s="499">
        <f t="shared" si="221"/>
        <v>219</v>
      </c>
      <c r="BV171" s="499">
        <f t="shared" si="222"/>
        <v>3.34</v>
      </c>
      <c r="BW171" s="5">
        <f t="shared" si="212"/>
        <v>0</v>
      </c>
      <c r="BX171" s="499">
        <f t="shared" si="223"/>
        <v>21.791024</v>
      </c>
      <c r="BY171" s="499">
        <f t="shared" si="224"/>
        <v>1130.609502</v>
      </c>
      <c r="CA171">
        <v>219</v>
      </c>
      <c r="CB171">
        <v>3.34</v>
      </c>
      <c r="CC171">
        <v>0</v>
      </c>
      <c r="CD171">
        <v>21.791024</v>
      </c>
      <c r="CE171">
        <v>1130.609502</v>
      </c>
      <c r="CG171" s="499">
        <f t="shared" si="225"/>
        <v>0</v>
      </c>
      <c r="CH171" s="499">
        <f t="shared" si="226"/>
        <v>0</v>
      </c>
      <c r="CI171" s="499">
        <f t="shared" si="227"/>
        <v>0</v>
      </c>
      <c r="CJ171" s="499">
        <f t="shared" si="228"/>
        <v>0</v>
      </c>
      <c r="CP171" s="499"/>
      <c r="CQ171" s="65">
        <f t="shared" si="230"/>
        <v>0.97843185988432135</v>
      </c>
      <c r="CR171" s="499">
        <f t="shared" si="231"/>
        <v>0.97843185988432135</v>
      </c>
      <c r="CS171" s="499">
        <f t="shared" si="232"/>
        <v>0.97843185988432135</v>
      </c>
      <c r="CT171" s="38">
        <f t="shared" si="233"/>
        <v>1</v>
      </c>
      <c r="CU171" s="498">
        <f t="shared" si="234"/>
        <v>1</v>
      </c>
    </row>
    <row r="172" spans="43:99">
      <c r="AQ172" s="499"/>
      <c r="AR172" s="228">
        <v>33.216262</v>
      </c>
      <c r="AS172" s="13">
        <v>193</v>
      </c>
      <c r="AT172" s="13">
        <v>3.319515</v>
      </c>
      <c r="AU172" s="13">
        <f t="shared" si="245"/>
        <v>1</v>
      </c>
      <c r="AV172" s="13">
        <f t="shared" si="236"/>
        <v>33.216262</v>
      </c>
      <c r="AW172" s="13">
        <f t="shared" si="237"/>
        <v>33.216262</v>
      </c>
      <c r="AX172" s="13">
        <f t="shared" si="238"/>
        <v>33.216262</v>
      </c>
      <c r="AY172" s="13">
        <v>1000.571352</v>
      </c>
      <c r="AZ172" s="13">
        <f t="shared" si="239"/>
        <v>0</v>
      </c>
      <c r="BA172" s="13">
        <f t="shared" si="240"/>
        <v>0</v>
      </c>
      <c r="BB172" s="97">
        <f t="shared" si="241"/>
        <v>0</v>
      </c>
      <c r="BC172" s="499"/>
      <c r="BD172" s="499">
        <v>79.55</v>
      </c>
      <c r="BE172" s="499">
        <v>22.2697066532258</v>
      </c>
      <c r="BF172" s="499">
        <v>19.1349247983871</v>
      </c>
      <c r="BG172" s="499">
        <v>21.476095277715203</v>
      </c>
      <c r="BI172" s="499">
        <f t="shared" ref="BI172:BJ172" si="278">AS175</f>
        <v>34</v>
      </c>
      <c r="BJ172" s="499">
        <f t="shared" si="278"/>
        <v>3.365151</v>
      </c>
      <c r="BK172" s="5">
        <f t="shared" si="214"/>
        <v>1</v>
      </c>
      <c r="BL172" s="499">
        <f t="shared" si="215"/>
        <v>33.216262</v>
      </c>
      <c r="BM172" s="499">
        <f t="shared" si="216"/>
        <v>1001.143194</v>
      </c>
      <c r="BO172" s="499">
        <f t="shared" si="217"/>
        <v>34</v>
      </c>
      <c r="BP172" s="499">
        <f t="shared" si="218"/>
        <v>3.365151</v>
      </c>
      <c r="BQ172" s="5">
        <f t="shared" si="211"/>
        <v>1</v>
      </c>
      <c r="BR172" s="499">
        <f t="shared" si="219"/>
        <v>33.216262</v>
      </c>
      <c r="BS172" s="499">
        <f t="shared" si="220"/>
        <v>1001.143194</v>
      </c>
      <c r="BU172" s="499">
        <f t="shared" si="221"/>
        <v>34</v>
      </c>
      <c r="BV172" s="499">
        <f t="shared" si="222"/>
        <v>3.365151</v>
      </c>
      <c r="BW172" s="5">
        <f t="shared" si="212"/>
        <v>1</v>
      </c>
      <c r="BX172" s="499">
        <f t="shared" si="223"/>
        <v>33.216262</v>
      </c>
      <c r="BY172" s="499">
        <f t="shared" si="224"/>
        <v>1001.143194</v>
      </c>
      <c r="CA172">
        <v>34</v>
      </c>
      <c r="CB172">
        <v>3.365151</v>
      </c>
      <c r="CC172">
        <v>1</v>
      </c>
      <c r="CD172">
        <v>33.216262</v>
      </c>
      <c r="CE172">
        <v>1001.143194</v>
      </c>
      <c r="CG172" s="499">
        <f t="shared" si="225"/>
        <v>1</v>
      </c>
      <c r="CH172" s="499">
        <f t="shared" si="226"/>
        <v>1</v>
      </c>
      <c r="CI172" s="499">
        <f t="shared" si="227"/>
        <v>1</v>
      </c>
      <c r="CJ172" s="499">
        <f t="shared" si="228"/>
        <v>1</v>
      </c>
      <c r="CP172" s="499"/>
      <c r="CQ172" s="65">
        <f t="shared" si="230"/>
        <v>0.97287377153754551</v>
      </c>
      <c r="CR172" s="499">
        <f t="shared" si="231"/>
        <v>0.97287377153754551</v>
      </c>
      <c r="CS172" s="499">
        <f t="shared" si="232"/>
        <v>0.97287377153754551</v>
      </c>
      <c r="CT172" s="38">
        <f t="shared" si="233"/>
        <v>1</v>
      </c>
      <c r="CU172" s="498">
        <f t="shared" si="234"/>
        <v>1</v>
      </c>
    </row>
    <row r="173" spans="43:99">
      <c r="AQ173" s="499"/>
      <c r="AR173" s="228">
        <v>20.460569</v>
      </c>
      <c r="AS173" s="13">
        <v>294</v>
      </c>
      <c r="AT173" s="13">
        <v>3.3357559999999999</v>
      </c>
      <c r="AU173" s="13">
        <f t="shared" si="245"/>
        <v>0</v>
      </c>
      <c r="AV173" s="13">
        <f t="shared" si="236"/>
        <v>20.460569</v>
      </c>
      <c r="AW173" s="13">
        <f t="shared" si="237"/>
        <v>20.460569</v>
      </c>
      <c r="AX173" s="13">
        <f t="shared" si="238"/>
        <v>20.460569</v>
      </c>
      <c r="AY173" s="13">
        <v>1425.601453</v>
      </c>
      <c r="AZ173" s="13">
        <f t="shared" si="239"/>
        <v>0</v>
      </c>
      <c r="BA173" s="13">
        <f t="shared" si="240"/>
        <v>0</v>
      </c>
      <c r="BB173" s="97">
        <f t="shared" si="241"/>
        <v>0</v>
      </c>
      <c r="BC173" s="499"/>
      <c r="BD173" s="499">
        <v>79.349999999999994</v>
      </c>
      <c r="BE173" s="499">
        <v>22.327601411290324</v>
      </c>
      <c r="BF173" s="499">
        <v>19.13487217741935</v>
      </c>
      <c r="BG173" s="499">
        <v>21.570535135558607</v>
      </c>
      <c r="BI173" s="499">
        <f t="shared" ref="BI173:BJ173" si="279">AS176</f>
        <v>176</v>
      </c>
      <c r="BJ173" s="499">
        <f t="shared" si="279"/>
        <v>3.3653179999999998</v>
      </c>
      <c r="BK173" s="5">
        <f t="shared" si="214"/>
        <v>0</v>
      </c>
      <c r="BL173" s="499">
        <f t="shared" si="215"/>
        <v>21.19923</v>
      </c>
      <c r="BM173" s="499">
        <f t="shared" si="216"/>
        <v>1001.73347</v>
      </c>
      <c r="BO173" s="499">
        <f t="shared" si="217"/>
        <v>176</v>
      </c>
      <c r="BP173" s="499">
        <f t="shared" si="218"/>
        <v>3.3653179999999998</v>
      </c>
      <c r="BQ173" s="5">
        <f t="shared" si="211"/>
        <v>0</v>
      </c>
      <c r="BR173" s="499">
        <f t="shared" si="219"/>
        <v>21.19923</v>
      </c>
      <c r="BS173" s="499">
        <f t="shared" si="220"/>
        <v>1001.73347</v>
      </c>
      <c r="BU173" s="499">
        <f t="shared" si="221"/>
        <v>176</v>
      </c>
      <c r="BV173" s="499">
        <f t="shared" si="222"/>
        <v>3.3653179999999998</v>
      </c>
      <c r="BW173" s="5">
        <f t="shared" si="212"/>
        <v>0</v>
      </c>
      <c r="BX173" s="499">
        <f t="shared" si="223"/>
        <v>21.19923</v>
      </c>
      <c r="BY173" s="499">
        <f t="shared" si="224"/>
        <v>1001.73347</v>
      </c>
      <c r="CA173">
        <v>176</v>
      </c>
      <c r="CB173">
        <v>3.3653179999999998</v>
      </c>
      <c r="CC173">
        <v>0</v>
      </c>
      <c r="CD173">
        <v>21.19923</v>
      </c>
      <c r="CE173">
        <v>1001.73347</v>
      </c>
      <c r="CG173" s="499">
        <f t="shared" si="225"/>
        <v>0</v>
      </c>
      <c r="CH173" s="499">
        <f t="shared" si="226"/>
        <v>0</v>
      </c>
      <c r="CI173" s="499">
        <f t="shared" si="227"/>
        <v>0</v>
      </c>
      <c r="CJ173" s="499">
        <f t="shared" si="228"/>
        <v>0</v>
      </c>
      <c r="CP173" s="499"/>
      <c r="CQ173" s="65">
        <f t="shared" si="230"/>
        <v>2.2021962121323214E-8</v>
      </c>
      <c r="CR173" s="499">
        <f t="shared" si="231"/>
        <v>2.2021962121323214E-8</v>
      </c>
      <c r="CS173" s="499">
        <f t="shared" si="232"/>
        <v>2.2021962121323214E-8</v>
      </c>
      <c r="CT173" s="38">
        <f t="shared" si="233"/>
        <v>1</v>
      </c>
      <c r="CU173" s="498">
        <f t="shared" si="234"/>
        <v>1</v>
      </c>
    </row>
    <row r="174" spans="43:99">
      <c r="AQ174" s="499"/>
      <c r="AR174" s="228">
        <v>21.791024</v>
      </c>
      <c r="AS174" s="13">
        <v>219</v>
      </c>
      <c r="AT174" s="13">
        <v>3.34</v>
      </c>
      <c r="AU174" s="13">
        <f t="shared" si="245"/>
        <v>0</v>
      </c>
      <c r="AV174" s="13">
        <f t="shared" si="236"/>
        <v>21.791024</v>
      </c>
      <c r="AW174" s="13">
        <f t="shared" si="237"/>
        <v>21.791024</v>
      </c>
      <c r="AX174" s="13">
        <f t="shared" si="238"/>
        <v>21.791024</v>
      </c>
      <c r="AY174" s="13">
        <v>1130.609502</v>
      </c>
      <c r="AZ174" s="13">
        <f t="shared" si="239"/>
        <v>0</v>
      </c>
      <c r="BA174" s="13">
        <f t="shared" si="240"/>
        <v>0</v>
      </c>
      <c r="BB174" s="97">
        <f t="shared" si="241"/>
        <v>0</v>
      </c>
      <c r="BC174" s="499"/>
      <c r="BD174" s="499">
        <v>79.150000000000006</v>
      </c>
      <c r="BE174" s="499">
        <v>22.496056451612908</v>
      </c>
      <c r="BF174" s="499">
        <v>19.44897883064516</v>
      </c>
      <c r="BG174" s="499">
        <v>21.823917160792121</v>
      </c>
      <c r="BI174" s="499">
        <f t="shared" ref="BI174:BJ174" si="280">AS177</f>
        <v>104</v>
      </c>
      <c r="BJ174" s="499">
        <f t="shared" si="280"/>
        <v>3.3666680000000002</v>
      </c>
      <c r="BK174" s="5">
        <f t="shared" si="214"/>
        <v>0</v>
      </c>
      <c r="BL174" s="499">
        <f t="shared" si="215"/>
        <v>18.658933000000001</v>
      </c>
      <c r="BM174" s="499">
        <f t="shared" si="216"/>
        <v>1022.370154</v>
      </c>
      <c r="BO174" s="499">
        <f t="shared" si="217"/>
        <v>104</v>
      </c>
      <c r="BP174" s="499">
        <f t="shared" si="218"/>
        <v>3.3666680000000002</v>
      </c>
      <c r="BQ174" s="5">
        <f t="shared" si="211"/>
        <v>0</v>
      </c>
      <c r="BR174" s="499">
        <f t="shared" si="219"/>
        <v>18.658933000000001</v>
      </c>
      <c r="BS174" s="499">
        <f t="shared" si="220"/>
        <v>1022.370154</v>
      </c>
      <c r="BU174" s="499">
        <f t="shared" si="221"/>
        <v>104</v>
      </c>
      <c r="BV174" s="499">
        <f t="shared" si="222"/>
        <v>3.3666680000000002</v>
      </c>
      <c r="BW174" s="5">
        <f t="shared" si="212"/>
        <v>0</v>
      </c>
      <c r="BX174" s="499">
        <f t="shared" si="223"/>
        <v>18.658933000000001</v>
      </c>
      <c r="BY174" s="499">
        <f t="shared" si="224"/>
        <v>1022.370154</v>
      </c>
      <c r="CA174">
        <v>104</v>
      </c>
      <c r="CB174">
        <v>3.3666680000000002</v>
      </c>
      <c r="CC174">
        <v>0</v>
      </c>
      <c r="CD174">
        <v>18.658933000000001</v>
      </c>
      <c r="CE174">
        <v>1022.370154</v>
      </c>
      <c r="CG174" s="499">
        <f t="shared" si="225"/>
        <v>0</v>
      </c>
      <c r="CH174" s="499">
        <f t="shared" si="226"/>
        <v>0</v>
      </c>
      <c r="CI174" s="499">
        <f t="shared" si="227"/>
        <v>0</v>
      </c>
      <c r="CJ174" s="499">
        <f t="shared" si="228"/>
        <v>0</v>
      </c>
      <c r="CP174" s="499"/>
      <c r="CQ174" s="65">
        <f t="shared" si="230"/>
        <v>0.97700502449924442</v>
      </c>
      <c r="CR174" s="499">
        <f t="shared" si="231"/>
        <v>0.97700502449924442</v>
      </c>
      <c r="CS174" s="499">
        <f t="shared" si="232"/>
        <v>0.97700502449924442</v>
      </c>
      <c r="CT174" s="38">
        <f t="shared" si="233"/>
        <v>1</v>
      </c>
      <c r="CU174" s="498">
        <f t="shared" si="234"/>
        <v>1</v>
      </c>
    </row>
    <row r="175" spans="43:99">
      <c r="AQ175" s="499"/>
      <c r="AR175" s="228">
        <v>33.216262</v>
      </c>
      <c r="AS175" s="13">
        <v>34</v>
      </c>
      <c r="AT175" s="13">
        <v>3.365151</v>
      </c>
      <c r="AU175" s="13">
        <f t="shared" si="245"/>
        <v>1</v>
      </c>
      <c r="AV175" s="13">
        <f t="shared" si="236"/>
        <v>33.216262</v>
      </c>
      <c r="AW175" s="13">
        <f t="shared" si="237"/>
        <v>33.216262</v>
      </c>
      <c r="AX175" s="13">
        <f t="shared" si="238"/>
        <v>33.216262</v>
      </c>
      <c r="AY175" s="13">
        <v>1001.143194</v>
      </c>
      <c r="AZ175" s="13">
        <f t="shared" si="239"/>
        <v>0</v>
      </c>
      <c r="BA175" s="13">
        <f t="shared" si="240"/>
        <v>0</v>
      </c>
      <c r="BB175" s="97">
        <f t="shared" si="241"/>
        <v>0</v>
      </c>
      <c r="BC175" s="499"/>
      <c r="BD175" s="499">
        <v>78.95</v>
      </c>
      <c r="BE175" s="499">
        <v>22.594183669354848</v>
      </c>
      <c r="BF175" s="499">
        <v>19.485157661290312</v>
      </c>
      <c r="BG175" s="499">
        <v>21.948312797797623</v>
      </c>
      <c r="BI175" s="499">
        <f t="shared" ref="BI175:BJ175" si="281">AS178</f>
        <v>288</v>
      </c>
      <c r="BJ175" s="499">
        <f t="shared" si="281"/>
        <v>3.4330729999999998</v>
      </c>
      <c r="BK175" s="5">
        <f t="shared" si="214"/>
        <v>0</v>
      </c>
      <c r="BL175" s="499">
        <f t="shared" si="215"/>
        <v>20.046220000000002</v>
      </c>
      <c r="BM175" s="499">
        <f t="shared" si="216"/>
        <v>999.22202200000004</v>
      </c>
      <c r="BO175" s="499">
        <f t="shared" si="217"/>
        <v>288</v>
      </c>
      <c r="BP175" s="499">
        <f t="shared" si="218"/>
        <v>3.4330729999999998</v>
      </c>
      <c r="BQ175" s="5">
        <f t="shared" si="211"/>
        <v>0</v>
      </c>
      <c r="BR175" s="499">
        <f t="shared" si="219"/>
        <v>20.046220000000002</v>
      </c>
      <c r="BS175" s="499">
        <f t="shared" si="220"/>
        <v>999.22202200000004</v>
      </c>
      <c r="BU175" s="499">
        <f t="shared" si="221"/>
        <v>288</v>
      </c>
      <c r="BV175" s="499">
        <f t="shared" si="222"/>
        <v>3.4330729999999998</v>
      </c>
      <c r="BW175" s="5">
        <f t="shared" si="212"/>
        <v>0</v>
      </c>
      <c r="BX175" s="499">
        <f t="shared" si="223"/>
        <v>20.046220000000002</v>
      </c>
      <c r="BY175" s="499">
        <f t="shared" si="224"/>
        <v>999.22202200000004</v>
      </c>
      <c r="CA175">
        <v>288</v>
      </c>
      <c r="CB175">
        <v>3.4330729999999998</v>
      </c>
      <c r="CC175">
        <v>0</v>
      </c>
      <c r="CD175">
        <v>20.046220000000002</v>
      </c>
      <c r="CE175">
        <v>999.22202200000004</v>
      </c>
      <c r="CG175" s="499">
        <f t="shared" si="225"/>
        <v>0</v>
      </c>
      <c r="CH175" s="499">
        <f t="shared" si="226"/>
        <v>0</v>
      </c>
      <c r="CI175" s="499">
        <f t="shared" si="227"/>
        <v>0</v>
      </c>
      <c r="CJ175" s="499">
        <f t="shared" si="228"/>
        <v>0</v>
      </c>
      <c r="CP175" s="499"/>
      <c r="CQ175" s="65">
        <f t="shared" si="230"/>
        <v>0.97884805599521296</v>
      </c>
      <c r="CR175" s="499">
        <f t="shared" si="231"/>
        <v>0.97884805599521296</v>
      </c>
      <c r="CS175" s="499">
        <f t="shared" si="232"/>
        <v>0.97884805599521296</v>
      </c>
      <c r="CT175" s="38">
        <f t="shared" si="233"/>
        <v>1</v>
      </c>
      <c r="CU175" s="498">
        <f t="shared" si="234"/>
        <v>1</v>
      </c>
    </row>
    <row r="176" spans="43:99">
      <c r="AQ176" s="499"/>
      <c r="AR176" s="228">
        <v>21.19923</v>
      </c>
      <c r="AS176" s="13">
        <v>176</v>
      </c>
      <c r="AT176" s="13">
        <v>3.3653179999999998</v>
      </c>
      <c r="AU176" s="13">
        <f t="shared" si="245"/>
        <v>0</v>
      </c>
      <c r="AV176" s="13">
        <f t="shared" si="236"/>
        <v>21.19923</v>
      </c>
      <c r="AW176" s="13">
        <f t="shared" si="237"/>
        <v>21.19923</v>
      </c>
      <c r="AX176" s="13">
        <f t="shared" si="238"/>
        <v>21.19923</v>
      </c>
      <c r="AY176" s="13">
        <v>1001.73347</v>
      </c>
      <c r="AZ176" s="13">
        <f t="shared" si="239"/>
        <v>0</v>
      </c>
      <c r="BA176" s="13">
        <f t="shared" si="240"/>
        <v>0</v>
      </c>
      <c r="BB176" s="97">
        <f t="shared" si="241"/>
        <v>0</v>
      </c>
      <c r="BC176" s="499"/>
      <c r="BD176" s="499">
        <v>78.75</v>
      </c>
      <c r="BE176" s="499">
        <v>22.685246774193541</v>
      </c>
      <c r="BF176" s="499">
        <v>19.491291330645154</v>
      </c>
      <c r="BG176" s="499">
        <v>22.061305188424907</v>
      </c>
      <c r="BI176" s="499">
        <f t="shared" ref="BI176:BJ176" si="282">AS179</f>
        <v>115</v>
      </c>
      <c r="BJ176" s="499">
        <f t="shared" si="282"/>
        <v>3.467025</v>
      </c>
      <c r="BK176" s="5">
        <f t="shared" si="214"/>
        <v>0</v>
      </c>
      <c r="BL176" s="499">
        <f t="shared" si="215"/>
        <v>17.34055</v>
      </c>
      <c r="BM176" s="499">
        <f t="shared" si="216"/>
        <v>967.409266</v>
      </c>
      <c r="BO176" s="499">
        <f t="shared" si="217"/>
        <v>115</v>
      </c>
      <c r="BP176" s="499">
        <f t="shared" si="218"/>
        <v>3.467025</v>
      </c>
      <c r="BQ176" s="5">
        <f t="shared" si="211"/>
        <v>0</v>
      </c>
      <c r="BR176" s="499">
        <f t="shared" si="219"/>
        <v>17.34055</v>
      </c>
      <c r="BS176" s="499">
        <f t="shared" si="220"/>
        <v>967.409266</v>
      </c>
      <c r="BU176" s="499">
        <f t="shared" si="221"/>
        <v>115</v>
      </c>
      <c r="BV176" s="499">
        <f t="shared" si="222"/>
        <v>3.467025</v>
      </c>
      <c r="BW176" s="5">
        <f t="shared" si="212"/>
        <v>0</v>
      </c>
      <c r="BX176" s="499">
        <f t="shared" si="223"/>
        <v>17.34055</v>
      </c>
      <c r="BY176" s="499">
        <f t="shared" si="224"/>
        <v>967.409266</v>
      </c>
      <c r="CA176">
        <v>115</v>
      </c>
      <c r="CB176">
        <v>3.467025</v>
      </c>
      <c r="CC176">
        <v>0</v>
      </c>
      <c r="CD176">
        <v>17.34055</v>
      </c>
      <c r="CE176">
        <v>967.409266</v>
      </c>
      <c r="CG176" s="499">
        <f t="shared" si="225"/>
        <v>0</v>
      </c>
      <c r="CH176" s="499">
        <f t="shared" si="226"/>
        <v>0</v>
      </c>
      <c r="CI176" s="499">
        <f t="shared" si="227"/>
        <v>0</v>
      </c>
      <c r="CJ176" s="499">
        <f t="shared" si="228"/>
        <v>0</v>
      </c>
      <c r="CP176" s="499"/>
      <c r="CQ176" s="65">
        <f t="shared" si="230"/>
        <v>0.97867200197338344</v>
      </c>
      <c r="CR176" s="499">
        <f t="shared" si="231"/>
        <v>0.97867200197338344</v>
      </c>
      <c r="CS176" s="499">
        <f t="shared" si="232"/>
        <v>0.97867200197338344</v>
      </c>
      <c r="CT176" s="38">
        <f t="shared" si="233"/>
        <v>1</v>
      </c>
      <c r="CU176" s="498">
        <f t="shared" si="234"/>
        <v>1</v>
      </c>
    </row>
    <row r="177" spans="43:99">
      <c r="AQ177" s="499"/>
      <c r="AR177" s="228">
        <v>18.658933000000001</v>
      </c>
      <c r="AS177" s="13">
        <v>104</v>
      </c>
      <c r="AT177" s="13">
        <v>3.3666680000000002</v>
      </c>
      <c r="AU177" s="13">
        <f t="shared" si="245"/>
        <v>0</v>
      </c>
      <c r="AV177" s="13">
        <f t="shared" si="236"/>
        <v>18.658933000000001</v>
      </c>
      <c r="AW177" s="13">
        <f t="shared" si="237"/>
        <v>18.658933000000001</v>
      </c>
      <c r="AX177" s="13">
        <f t="shared" si="238"/>
        <v>18.658933000000001</v>
      </c>
      <c r="AY177" s="13">
        <v>1022.370154</v>
      </c>
      <c r="AZ177" s="13">
        <f t="shared" si="239"/>
        <v>0</v>
      </c>
      <c r="BA177" s="13">
        <f t="shared" si="240"/>
        <v>0</v>
      </c>
      <c r="BB177" s="97">
        <f t="shared" si="241"/>
        <v>0</v>
      </c>
      <c r="BC177" s="499"/>
      <c r="BD177" s="499">
        <v>78.55</v>
      </c>
      <c r="BE177" s="499">
        <v>22.851837701612901</v>
      </c>
      <c r="BF177" s="499">
        <v>19.582178225806462</v>
      </c>
      <c r="BG177" s="499">
        <v>22.209430832600731</v>
      </c>
      <c r="BI177" s="499">
        <f t="shared" ref="BI177:BJ177" si="283">AS180</f>
        <v>124</v>
      </c>
      <c r="BJ177" s="499">
        <f t="shared" si="283"/>
        <v>3.4958260000000001</v>
      </c>
      <c r="BK177" s="5">
        <f t="shared" si="214"/>
        <v>0</v>
      </c>
      <c r="BL177" s="499">
        <f t="shared" si="215"/>
        <v>17.437017000000001</v>
      </c>
      <c r="BM177" s="499">
        <f t="shared" si="216"/>
        <v>999.16065300000002</v>
      </c>
      <c r="BO177" s="499">
        <f t="shared" si="217"/>
        <v>124</v>
      </c>
      <c r="BP177" s="499">
        <f t="shared" si="218"/>
        <v>3.4958260000000001</v>
      </c>
      <c r="BQ177" s="5">
        <f t="shared" si="211"/>
        <v>0</v>
      </c>
      <c r="BR177" s="499">
        <f t="shared" si="219"/>
        <v>17.437017000000001</v>
      </c>
      <c r="BS177" s="499">
        <f t="shared" si="220"/>
        <v>999.16065300000002</v>
      </c>
      <c r="BU177" s="499">
        <f t="shared" si="221"/>
        <v>124</v>
      </c>
      <c r="BV177" s="499">
        <f t="shared" si="222"/>
        <v>3.4958260000000001</v>
      </c>
      <c r="BW177" s="5">
        <f t="shared" si="212"/>
        <v>0</v>
      </c>
      <c r="BX177" s="499">
        <f t="shared" si="223"/>
        <v>17.437017000000001</v>
      </c>
      <c r="BY177" s="499">
        <f t="shared" si="224"/>
        <v>999.16065300000002</v>
      </c>
      <c r="CA177">
        <v>124</v>
      </c>
      <c r="CB177">
        <v>3.4958260000000001</v>
      </c>
      <c r="CC177">
        <v>0</v>
      </c>
      <c r="CD177">
        <v>17.437017000000001</v>
      </c>
      <c r="CE177">
        <v>999.16065300000002</v>
      </c>
      <c r="CG177" s="499">
        <f t="shared" si="225"/>
        <v>0</v>
      </c>
      <c r="CH177" s="499">
        <f t="shared" si="226"/>
        <v>0</v>
      </c>
      <c r="CI177" s="499">
        <f t="shared" si="227"/>
        <v>0</v>
      </c>
      <c r="CJ177" s="499">
        <f t="shared" si="228"/>
        <v>0</v>
      </c>
      <c r="CP177" s="499"/>
      <c r="CQ177" s="65">
        <f t="shared" si="230"/>
        <v>0.97885912997790792</v>
      </c>
      <c r="CR177" s="499">
        <f t="shared" si="231"/>
        <v>0.97885912997790792</v>
      </c>
      <c r="CS177" s="499">
        <f t="shared" si="232"/>
        <v>0.97885912997790792</v>
      </c>
      <c r="CT177" s="38">
        <f t="shared" si="233"/>
        <v>1</v>
      </c>
      <c r="CU177" s="498">
        <f t="shared" si="234"/>
        <v>1</v>
      </c>
    </row>
    <row r="178" spans="43:99">
      <c r="AQ178" s="499"/>
      <c r="AR178" s="228">
        <v>20.046220000000002</v>
      </c>
      <c r="AS178" s="13">
        <v>288</v>
      </c>
      <c r="AT178" s="13">
        <v>3.4330729999999998</v>
      </c>
      <c r="AU178" s="13">
        <f t="shared" si="245"/>
        <v>0</v>
      </c>
      <c r="AV178" s="13">
        <f t="shared" si="236"/>
        <v>20.046220000000002</v>
      </c>
      <c r="AW178" s="13">
        <f t="shared" si="237"/>
        <v>20.046220000000002</v>
      </c>
      <c r="AX178" s="13">
        <f t="shared" si="238"/>
        <v>20.046220000000002</v>
      </c>
      <c r="AY178" s="13">
        <v>999.22202200000004</v>
      </c>
      <c r="AZ178" s="13">
        <f t="shared" si="239"/>
        <v>0</v>
      </c>
      <c r="BA178" s="13">
        <f t="shared" si="240"/>
        <v>0</v>
      </c>
      <c r="BB178" s="97">
        <f t="shared" si="241"/>
        <v>0</v>
      </c>
      <c r="BC178" s="499"/>
      <c r="BD178" s="499">
        <v>78.349999999999994</v>
      </c>
      <c r="BE178" s="499">
        <v>23.027534274193549</v>
      </c>
      <c r="BF178" s="499">
        <v>19.698619153225803</v>
      </c>
      <c r="BG178" s="499">
        <v>22.366225595952383</v>
      </c>
      <c r="BI178" s="499">
        <f t="shared" ref="BI178:BJ178" si="284">AS181</f>
        <v>92</v>
      </c>
      <c r="BJ178" s="499">
        <f t="shared" si="284"/>
        <v>3.5</v>
      </c>
      <c r="BK178" s="5">
        <f t="shared" si="214"/>
        <v>0</v>
      </c>
      <c r="BL178" s="499">
        <f t="shared" si="215"/>
        <v>18.827366999999999</v>
      </c>
      <c r="BM178" s="499">
        <f t="shared" si="216"/>
        <v>1002.068727</v>
      </c>
      <c r="BO178" s="499">
        <f t="shared" si="217"/>
        <v>92</v>
      </c>
      <c r="BP178" s="499">
        <f t="shared" si="218"/>
        <v>3.5</v>
      </c>
      <c r="BQ178" s="5">
        <f t="shared" si="211"/>
        <v>0</v>
      </c>
      <c r="BR178" s="499">
        <f t="shared" si="219"/>
        <v>18.827366999999999</v>
      </c>
      <c r="BS178" s="499">
        <f t="shared" si="220"/>
        <v>1002.068727</v>
      </c>
      <c r="BU178" s="499">
        <f t="shared" si="221"/>
        <v>92</v>
      </c>
      <c r="BV178" s="499">
        <f t="shared" si="222"/>
        <v>3.5</v>
      </c>
      <c r="BW178" s="5">
        <f t="shared" si="212"/>
        <v>0</v>
      </c>
      <c r="BX178" s="499">
        <f t="shared" si="223"/>
        <v>18.827366999999999</v>
      </c>
      <c r="BY178" s="499">
        <f t="shared" si="224"/>
        <v>1002.068727</v>
      </c>
      <c r="CA178">
        <v>92</v>
      </c>
      <c r="CB178">
        <v>3.5</v>
      </c>
      <c r="CC178">
        <v>0</v>
      </c>
      <c r="CD178">
        <v>18.827366999999999</v>
      </c>
      <c r="CE178">
        <v>1002.068727</v>
      </c>
      <c r="CG178" s="499">
        <f t="shared" si="225"/>
        <v>0</v>
      </c>
      <c r="CH178" s="499">
        <f t="shared" si="226"/>
        <v>0</v>
      </c>
      <c r="CI178" s="499">
        <f t="shared" si="227"/>
        <v>0</v>
      </c>
      <c r="CJ178" s="499">
        <f t="shared" si="228"/>
        <v>0</v>
      </c>
      <c r="CP178" s="499"/>
      <c r="CQ178" s="65">
        <f t="shared" si="230"/>
        <v>0.97885894616897184</v>
      </c>
      <c r="CR178" s="499">
        <f t="shared" si="231"/>
        <v>0.97885894616897184</v>
      </c>
      <c r="CS178" s="499">
        <f t="shared" si="232"/>
        <v>0.97885894616897184</v>
      </c>
      <c r="CT178" s="38">
        <f t="shared" si="233"/>
        <v>1</v>
      </c>
      <c r="CU178" s="498">
        <f t="shared" si="234"/>
        <v>1</v>
      </c>
    </row>
    <row r="179" spans="43:99">
      <c r="AQ179" s="499"/>
      <c r="AR179" s="228">
        <v>17.34055</v>
      </c>
      <c r="AS179" s="13">
        <v>115</v>
      </c>
      <c r="AT179" s="13">
        <v>3.467025</v>
      </c>
      <c r="AU179" s="13">
        <f t="shared" si="245"/>
        <v>0</v>
      </c>
      <c r="AV179" s="13">
        <f t="shared" si="236"/>
        <v>17.34055</v>
      </c>
      <c r="AW179" s="13">
        <f t="shared" si="237"/>
        <v>17.34055</v>
      </c>
      <c r="AX179" s="13">
        <f t="shared" si="238"/>
        <v>17.34055</v>
      </c>
      <c r="AY179" s="13">
        <v>967.409266</v>
      </c>
      <c r="AZ179" s="13">
        <f t="shared" si="239"/>
        <v>0</v>
      </c>
      <c r="BA179" s="13">
        <f t="shared" si="240"/>
        <v>0</v>
      </c>
      <c r="BB179" s="97">
        <f t="shared" si="241"/>
        <v>0</v>
      </c>
      <c r="BC179" s="499"/>
      <c r="BD179" s="499">
        <v>78.150000000000006</v>
      </c>
      <c r="BE179" s="499">
        <v>23.223783064516134</v>
      </c>
      <c r="BF179" s="499">
        <v>19.833764314516124</v>
      </c>
      <c r="BG179" s="499">
        <v>22.5440977984066</v>
      </c>
      <c r="BI179" s="499">
        <f t="shared" ref="BI179:BJ179" si="285">AS182</f>
        <v>2</v>
      </c>
      <c r="BJ179" s="499">
        <f t="shared" si="285"/>
        <v>3.5</v>
      </c>
      <c r="BK179" s="5">
        <f t="shared" si="214"/>
        <v>0</v>
      </c>
      <c r="BL179" s="499">
        <f t="shared" si="215"/>
        <v>18.828388</v>
      </c>
      <c r="BM179" s="499">
        <f t="shared" si="216"/>
        <v>1218.13716</v>
      </c>
      <c r="BO179" s="499">
        <f t="shared" si="217"/>
        <v>2</v>
      </c>
      <c r="BP179" s="499">
        <f t="shared" si="218"/>
        <v>3.5</v>
      </c>
      <c r="BQ179" s="5">
        <f t="shared" si="211"/>
        <v>0</v>
      </c>
      <c r="BR179" s="499">
        <f t="shared" si="219"/>
        <v>18.828388</v>
      </c>
      <c r="BS179" s="499">
        <f t="shared" si="220"/>
        <v>1218.13716</v>
      </c>
      <c r="BU179" s="499">
        <f t="shared" si="221"/>
        <v>2</v>
      </c>
      <c r="BV179" s="499">
        <f t="shared" si="222"/>
        <v>3.5</v>
      </c>
      <c r="BW179" s="5">
        <f t="shared" si="212"/>
        <v>0</v>
      </c>
      <c r="BX179" s="499">
        <f t="shared" si="223"/>
        <v>18.828388</v>
      </c>
      <c r="BY179" s="499">
        <f t="shared" si="224"/>
        <v>1218.13716</v>
      </c>
      <c r="CA179">
        <v>2</v>
      </c>
      <c r="CB179">
        <v>3.5</v>
      </c>
      <c r="CC179">
        <v>0</v>
      </c>
      <c r="CD179">
        <v>18.828388</v>
      </c>
      <c r="CE179">
        <v>1218.13716</v>
      </c>
      <c r="CG179" s="499">
        <f t="shared" si="225"/>
        <v>0</v>
      </c>
      <c r="CH179" s="499">
        <f t="shared" si="226"/>
        <v>0</v>
      </c>
      <c r="CI179" s="499">
        <f t="shared" si="227"/>
        <v>0</v>
      </c>
      <c r="CJ179" s="499">
        <f t="shared" si="228"/>
        <v>0</v>
      </c>
      <c r="CP179" s="499"/>
      <c r="CQ179" s="65">
        <f t="shared" si="230"/>
        <v>0.97884330876285019</v>
      </c>
      <c r="CR179" s="499">
        <f t="shared" si="231"/>
        <v>0.97884330876285019</v>
      </c>
      <c r="CS179" s="499">
        <f t="shared" si="232"/>
        <v>0.97884330876285019</v>
      </c>
      <c r="CT179" s="38">
        <f t="shared" si="233"/>
        <v>1</v>
      </c>
      <c r="CU179" s="498">
        <f t="shared" si="234"/>
        <v>1</v>
      </c>
    </row>
    <row r="180" spans="43:99">
      <c r="AQ180" s="499"/>
      <c r="AR180" s="228">
        <v>17.437017000000001</v>
      </c>
      <c r="AS180" s="13">
        <v>124</v>
      </c>
      <c r="AT180" s="13">
        <v>3.4958260000000001</v>
      </c>
      <c r="AU180" s="13">
        <f t="shared" si="245"/>
        <v>0</v>
      </c>
      <c r="AV180" s="13">
        <f t="shared" si="236"/>
        <v>17.437017000000001</v>
      </c>
      <c r="AW180" s="13">
        <f t="shared" si="237"/>
        <v>17.437017000000001</v>
      </c>
      <c r="AX180" s="13">
        <f t="shared" si="238"/>
        <v>17.437017000000001</v>
      </c>
      <c r="AY180" s="13">
        <v>999.16065300000002</v>
      </c>
      <c r="AZ180" s="13">
        <f t="shared" si="239"/>
        <v>0</v>
      </c>
      <c r="BA180" s="13">
        <f t="shared" si="240"/>
        <v>0</v>
      </c>
      <c r="BB180" s="97">
        <f t="shared" si="241"/>
        <v>0</v>
      </c>
      <c r="BC180" s="499"/>
      <c r="BD180" s="499">
        <v>77.95</v>
      </c>
      <c r="BE180" s="499">
        <v>23.388547983870968</v>
      </c>
      <c r="BF180" s="499">
        <v>19.968152822580642</v>
      </c>
      <c r="BG180" s="499">
        <v>22.689554014391028</v>
      </c>
      <c r="BI180" s="499">
        <f t="shared" ref="BI180:BJ180" si="286">AS183</f>
        <v>341</v>
      </c>
      <c r="BJ180" s="499">
        <f t="shared" si="286"/>
        <v>3.501144</v>
      </c>
      <c r="BK180" s="5">
        <f t="shared" si="214"/>
        <v>0</v>
      </c>
      <c r="BL180" s="499">
        <f t="shared" si="215"/>
        <v>19.076446000000001</v>
      </c>
      <c r="BM180" s="499">
        <f t="shared" si="216"/>
        <v>1064.1347020000001</v>
      </c>
      <c r="BO180" s="499">
        <f t="shared" si="217"/>
        <v>341</v>
      </c>
      <c r="BP180" s="499">
        <f t="shared" si="218"/>
        <v>3.501144</v>
      </c>
      <c r="BQ180" s="5">
        <f t="shared" si="211"/>
        <v>0</v>
      </c>
      <c r="BR180" s="499">
        <f t="shared" si="219"/>
        <v>19.076446000000001</v>
      </c>
      <c r="BS180" s="499">
        <f t="shared" si="220"/>
        <v>1064.1347020000001</v>
      </c>
      <c r="BU180" s="499">
        <f t="shared" si="221"/>
        <v>341</v>
      </c>
      <c r="BV180" s="499">
        <f t="shared" si="222"/>
        <v>3.501144</v>
      </c>
      <c r="BW180" s="5">
        <f t="shared" si="212"/>
        <v>0</v>
      </c>
      <c r="BX180" s="499">
        <f t="shared" si="223"/>
        <v>19.076446000000001</v>
      </c>
      <c r="BY180" s="499">
        <f t="shared" si="224"/>
        <v>1064.1347020000001</v>
      </c>
      <c r="CA180">
        <v>341</v>
      </c>
      <c r="CB180">
        <v>3.501144</v>
      </c>
      <c r="CC180">
        <v>0</v>
      </c>
      <c r="CD180">
        <v>19.076446000000001</v>
      </c>
      <c r="CE180">
        <v>1064.1347020000001</v>
      </c>
      <c r="CG180" s="499">
        <f t="shared" si="225"/>
        <v>0</v>
      </c>
      <c r="CH180" s="499">
        <f t="shared" si="226"/>
        <v>0</v>
      </c>
      <c r="CI180" s="499">
        <f t="shared" si="227"/>
        <v>0</v>
      </c>
      <c r="CJ180" s="499">
        <f t="shared" si="228"/>
        <v>0</v>
      </c>
      <c r="CP180" s="499"/>
      <c r="CQ180" s="65">
        <f t="shared" si="230"/>
        <v>0.97884327486903144</v>
      </c>
      <c r="CR180" s="499">
        <f t="shared" si="231"/>
        <v>0.97884327486903144</v>
      </c>
      <c r="CS180" s="499">
        <f t="shared" si="232"/>
        <v>0.97884327486903144</v>
      </c>
      <c r="CT180" s="38">
        <f t="shared" si="233"/>
        <v>1</v>
      </c>
      <c r="CU180" s="498">
        <f t="shared" si="234"/>
        <v>1</v>
      </c>
    </row>
    <row r="181" spans="43:99">
      <c r="AQ181" s="499"/>
      <c r="AR181" s="228">
        <v>18.827366999999999</v>
      </c>
      <c r="AS181" s="13">
        <v>92</v>
      </c>
      <c r="AT181" s="13">
        <v>3.5</v>
      </c>
      <c r="AU181" s="13">
        <f t="shared" si="245"/>
        <v>0</v>
      </c>
      <c r="AV181" s="13">
        <f t="shared" si="236"/>
        <v>18.827366999999999</v>
      </c>
      <c r="AW181" s="13">
        <f t="shared" si="237"/>
        <v>18.827366999999999</v>
      </c>
      <c r="AX181" s="13">
        <f t="shared" si="238"/>
        <v>18.827366999999999</v>
      </c>
      <c r="AY181" s="13">
        <v>1002.068727</v>
      </c>
      <c r="AZ181" s="13">
        <f t="shared" si="239"/>
        <v>0</v>
      </c>
      <c r="BA181" s="13">
        <f t="shared" si="240"/>
        <v>0</v>
      </c>
      <c r="BB181" s="97">
        <f t="shared" si="241"/>
        <v>0</v>
      </c>
      <c r="BC181" s="499"/>
      <c r="BD181" s="499">
        <v>77.75</v>
      </c>
      <c r="BE181" s="499">
        <v>23.433356653225804</v>
      </c>
      <c r="BF181" s="499">
        <v>20.080262298387101</v>
      </c>
      <c r="BG181" s="499">
        <v>22.707801100219779</v>
      </c>
      <c r="BI181" s="499">
        <f t="shared" ref="BI181:BJ181" si="287">AS184</f>
        <v>161</v>
      </c>
      <c r="BJ181" s="499">
        <f t="shared" si="287"/>
        <v>3.5178639999999999</v>
      </c>
      <c r="BK181" s="5">
        <f t="shared" si="214"/>
        <v>0</v>
      </c>
      <c r="BL181" s="499">
        <f t="shared" si="215"/>
        <v>18.145973000000001</v>
      </c>
      <c r="BM181" s="499">
        <f t="shared" si="216"/>
        <v>998.88296300000002</v>
      </c>
      <c r="BO181" s="499">
        <f t="shared" si="217"/>
        <v>161</v>
      </c>
      <c r="BP181" s="499">
        <f t="shared" si="218"/>
        <v>3.5178639999999999</v>
      </c>
      <c r="BQ181" s="5">
        <f t="shared" si="211"/>
        <v>0</v>
      </c>
      <c r="BR181" s="499">
        <f t="shared" si="219"/>
        <v>18.145973000000001</v>
      </c>
      <c r="BS181" s="499">
        <f t="shared" si="220"/>
        <v>998.88296300000002</v>
      </c>
      <c r="BU181" s="499">
        <f t="shared" si="221"/>
        <v>161</v>
      </c>
      <c r="BV181" s="499">
        <f t="shared" si="222"/>
        <v>3.5178639999999999</v>
      </c>
      <c r="BW181" s="5">
        <f t="shared" si="212"/>
        <v>0</v>
      </c>
      <c r="BX181" s="499">
        <f t="shared" si="223"/>
        <v>18.145973000000001</v>
      </c>
      <c r="BY181" s="499">
        <f t="shared" si="224"/>
        <v>998.88296300000002</v>
      </c>
      <c r="CA181">
        <v>161</v>
      </c>
      <c r="CB181">
        <v>3.5178639999999999</v>
      </c>
      <c r="CC181">
        <v>0</v>
      </c>
      <c r="CD181">
        <v>18.145973000000001</v>
      </c>
      <c r="CE181">
        <v>998.88296300000002</v>
      </c>
      <c r="CG181" s="499">
        <f t="shared" si="225"/>
        <v>0</v>
      </c>
      <c r="CH181" s="499">
        <f t="shared" si="226"/>
        <v>0</v>
      </c>
      <c r="CI181" s="499">
        <f t="shared" si="227"/>
        <v>0</v>
      </c>
      <c r="CJ181" s="499">
        <f t="shared" si="228"/>
        <v>0</v>
      </c>
      <c r="CP181" s="499"/>
      <c r="CQ181" s="65">
        <f t="shared" si="230"/>
        <v>0.97883262131868587</v>
      </c>
      <c r="CR181" s="499">
        <f t="shared" si="231"/>
        <v>0.97883262131868587</v>
      </c>
      <c r="CS181" s="499">
        <f t="shared" si="232"/>
        <v>0.97883262131868587</v>
      </c>
      <c r="CT181" s="38">
        <f t="shared" si="233"/>
        <v>1</v>
      </c>
      <c r="CU181" s="498">
        <f t="shared" si="234"/>
        <v>1</v>
      </c>
    </row>
    <row r="182" spans="43:99">
      <c r="AQ182" s="499"/>
      <c r="AR182" s="228">
        <v>18.828388</v>
      </c>
      <c r="AS182" s="13">
        <v>2</v>
      </c>
      <c r="AT182" s="13">
        <v>3.5</v>
      </c>
      <c r="AU182" s="13">
        <f t="shared" si="245"/>
        <v>0</v>
      </c>
      <c r="AV182" s="13">
        <f t="shared" si="236"/>
        <v>18.828388</v>
      </c>
      <c r="AW182" s="13">
        <f t="shared" si="237"/>
        <v>18.828388</v>
      </c>
      <c r="AX182" s="13">
        <f t="shared" si="238"/>
        <v>18.828388</v>
      </c>
      <c r="AY182" s="13">
        <v>1218.13716</v>
      </c>
      <c r="AZ182" s="13">
        <f t="shared" si="239"/>
        <v>0</v>
      </c>
      <c r="BA182" s="13">
        <f t="shared" si="240"/>
        <v>0</v>
      </c>
      <c r="BB182" s="97">
        <f t="shared" si="241"/>
        <v>0</v>
      </c>
      <c r="BC182" s="499"/>
      <c r="BD182" s="499">
        <v>77.55</v>
      </c>
      <c r="BE182" s="499">
        <v>23.66066713709677</v>
      </c>
      <c r="BF182" s="499">
        <v>20.222848387096775</v>
      </c>
      <c r="BG182" s="499">
        <v>22.896886609935901</v>
      </c>
      <c r="BI182" s="499">
        <f t="shared" ref="BI182:BJ182" si="288">AS185</f>
        <v>410</v>
      </c>
      <c r="BJ182" s="499">
        <f t="shared" si="288"/>
        <v>3.5316010000000002</v>
      </c>
      <c r="BK182" s="5">
        <f t="shared" si="214"/>
        <v>0</v>
      </c>
      <c r="BL182" s="499">
        <f t="shared" si="215"/>
        <v>21.19923</v>
      </c>
      <c r="BM182" s="499">
        <f t="shared" si="216"/>
        <v>999.58367999999996</v>
      </c>
      <c r="BO182" s="499">
        <f t="shared" si="217"/>
        <v>410</v>
      </c>
      <c r="BP182" s="499">
        <f t="shared" si="218"/>
        <v>3.5316010000000002</v>
      </c>
      <c r="BQ182" s="5">
        <f t="shared" si="211"/>
        <v>0</v>
      </c>
      <c r="BR182" s="499">
        <f t="shared" si="219"/>
        <v>21.19923</v>
      </c>
      <c r="BS182" s="499">
        <f t="shared" si="220"/>
        <v>999.58367999999996</v>
      </c>
      <c r="BU182" s="499">
        <f t="shared" si="221"/>
        <v>410</v>
      </c>
      <c r="BV182" s="499">
        <f t="shared" si="222"/>
        <v>3.5316010000000002</v>
      </c>
      <c r="BW182" s="5">
        <f t="shared" si="212"/>
        <v>0</v>
      </c>
      <c r="BX182" s="499">
        <f t="shared" si="223"/>
        <v>21.19923</v>
      </c>
      <c r="BY182" s="499">
        <f t="shared" si="224"/>
        <v>999.58367999999996</v>
      </c>
      <c r="CA182">
        <v>410</v>
      </c>
      <c r="CB182">
        <v>3.5316010000000002</v>
      </c>
      <c r="CC182">
        <v>0</v>
      </c>
      <c r="CD182">
        <v>21.19923</v>
      </c>
      <c r="CE182">
        <v>999.58367999999996</v>
      </c>
      <c r="CG182" s="499">
        <f t="shared" si="225"/>
        <v>0</v>
      </c>
      <c r="CH182" s="499">
        <f t="shared" si="226"/>
        <v>0</v>
      </c>
      <c r="CI182" s="499">
        <f t="shared" si="227"/>
        <v>0</v>
      </c>
      <c r="CJ182" s="499">
        <f t="shared" si="228"/>
        <v>0</v>
      </c>
      <c r="CP182" s="499"/>
      <c r="CQ182" s="65">
        <f t="shared" si="230"/>
        <v>0.97885568954298063</v>
      </c>
      <c r="CR182" s="499">
        <f t="shared" si="231"/>
        <v>0.97885568954298063</v>
      </c>
      <c r="CS182" s="499">
        <f t="shared" si="232"/>
        <v>0.97885568954298063</v>
      </c>
      <c r="CT182" s="38">
        <f t="shared" si="233"/>
        <v>1</v>
      </c>
      <c r="CU182" s="498">
        <f t="shared" si="234"/>
        <v>1</v>
      </c>
    </row>
    <row r="183" spans="43:99">
      <c r="AQ183" s="499"/>
      <c r="AR183" s="228">
        <v>19.076446000000001</v>
      </c>
      <c r="AS183" s="13">
        <v>341</v>
      </c>
      <c r="AT183" s="13">
        <v>3.501144</v>
      </c>
      <c r="AU183" s="13">
        <f t="shared" si="245"/>
        <v>0</v>
      </c>
      <c r="AV183" s="13">
        <f t="shared" si="236"/>
        <v>19.076446000000001</v>
      </c>
      <c r="AW183" s="13">
        <f t="shared" si="237"/>
        <v>19.076446000000001</v>
      </c>
      <c r="AX183" s="13">
        <f t="shared" si="238"/>
        <v>19.076446000000001</v>
      </c>
      <c r="AY183" s="13">
        <v>1064.1347020000001</v>
      </c>
      <c r="AZ183" s="13">
        <f t="shared" si="239"/>
        <v>0</v>
      </c>
      <c r="BA183" s="13">
        <f t="shared" si="240"/>
        <v>0</v>
      </c>
      <c r="BB183" s="97">
        <f t="shared" si="241"/>
        <v>0</v>
      </c>
      <c r="BC183" s="499"/>
      <c r="BD183" s="499">
        <v>77.349999999999994</v>
      </c>
      <c r="BE183" s="499">
        <v>23.785333669354834</v>
      </c>
      <c r="BF183" s="499">
        <v>20.319477217741948</v>
      </c>
      <c r="BG183" s="499">
        <v>23.019313176405685</v>
      </c>
      <c r="BI183" s="499">
        <f t="shared" ref="BI183:BJ183" si="289">AS186</f>
        <v>486</v>
      </c>
      <c r="BJ183" s="499">
        <f t="shared" si="289"/>
        <v>3.5396040000000002</v>
      </c>
      <c r="BK183" s="5">
        <f t="shared" si="214"/>
        <v>0</v>
      </c>
      <c r="BL183" s="499">
        <f t="shared" si="215"/>
        <v>19.041125999999998</v>
      </c>
      <c r="BM183" s="499">
        <f t="shared" si="216"/>
        <v>790.87943299999995</v>
      </c>
      <c r="BO183" s="499">
        <f t="shared" si="217"/>
        <v>486</v>
      </c>
      <c r="BP183" s="499">
        <f t="shared" si="218"/>
        <v>3.5396040000000002</v>
      </c>
      <c r="BQ183" s="5">
        <f t="shared" si="211"/>
        <v>0</v>
      </c>
      <c r="BR183" s="499">
        <f t="shared" si="219"/>
        <v>19.041125999999998</v>
      </c>
      <c r="BS183" s="499">
        <f t="shared" si="220"/>
        <v>790.87943299999995</v>
      </c>
      <c r="BU183" s="499">
        <f t="shared" si="221"/>
        <v>486</v>
      </c>
      <c r="BV183" s="499">
        <f t="shared" si="222"/>
        <v>3.5396040000000002</v>
      </c>
      <c r="BW183" s="5">
        <f t="shared" si="212"/>
        <v>0</v>
      </c>
      <c r="BX183" s="499">
        <f t="shared" si="223"/>
        <v>19.041125999999998</v>
      </c>
      <c r="BY183" s="499">
        <f t="shared" si="224"/>
        <v>790.87943299999995</v>
      </c>
      <c r="CA183">
        <v>486</v>
      </c>
      <c r="CB183">
        <v>3.5396040000000002</v>
      </c>
      <c r="CC183">
        <v>0</v>
      </c>
      <c r="CD183">
        <v>19.041125999999998</v>
      </c>
      <c r="CE183">
        <v>790.87943299999995</v>
      </c>
      <c r="CG183" s="499">
        <f t="shared" si="225"/>
        <v>0</v>
      </c>
      <c r="CH183" s="499">
        <f t="shared" si="226"/>
        <v>0</v>
      </c>
      <c r="CI183" s="499">
        <f t="shared" si="227"/>
        <v>0</v>
      </c>
      <c r="CJ183" s="499">
        <f t="shared" si="228"/>
        <v>0</v>
      </c>
      <c r="CP183" s="499"/>
      <c r="CQ183" s="65">
        <f t="shared" si="230"/>
        <v>0.97700502449924442</v>
      </c>
      <c r="CR183" s="499">
        <f t="shared" si="231"/>
        <v>0.97700502449924442</v>
      </c>
      <c r="CS183" s="499">
        <f t="shared" si="232"/>
        <v>0.97700502449924442</v>
      </c>
      <c r="CT183" s="38">
        <f t="shared" si="233"/>
        <v>1</v>
      </c>
      <c r="CU183" s="498">
        <f t="shared" si="234"/>
        <v>1</v>
      </c>
    </row>
    <row r="184" spans="43:99">
      <c r="AQ184" s="499"/>
      <c r="AR184" s="228">
        <v>18.145973000000001</v>
      </c>
      <c r="AS184" s="13">
        <v>161</v>
      </c>
      <c r="AT184" s="13">
        <v>3.5178639999999999</v>
      </c>
      <c r="AU184" s="13">
        <f t="shared" si="245"/>
        <v>0</v>
      </c>
      <c r="AV184" s="13">
        <f t="shared" si="236"/>
        <v>18.145973000000001</v>
      </c>
      <c r="AW184" s="13">
        <f t="shared" si="237"/>
        <v>18.145973000000001</v>
      </c>
      <c r="AX184" s="13">
        <f t="shared" si="238"/>
        <v>18.145973000000001</v>
      </c>
      <c r="AY184" s="13">
        <v>998.88296300000002</v>
      </c>
      <c r="AZ184" s="13">
        <f t="shared" si="239"/>
        <v>0</v>
      </c>
      <c r="BA184" s="13">
        <f t="shared" si="240"/>
        <v>0</v>
      </c>
      <c r="BB184" s="97">
        <f t="shared" si="241"/>
        <v>0</v>
      </c>
      <c r="BC184" s="499"/>
      <c r="BD184" s="499">
        <v>77.150000000000006</v>
      </c>
      <c r="BE184" s="499">
        <v>23.913616935483869</v>
      </c>
      <c r="BF184" s="499">
        <v>20.403647782258066</v>
      </c>
      <c r="BG184" s="499">
        <v>23.164550896153845</v>
      </c>
      <c r="BI184" s="499">
        <f t="shared" ref="BI184:BJ184" si="290">AS187</f>
        <v>461</v>
      </c>
      <c r="BJ184" s="499">
        <f t="shared" si="290"/>
        <v>3.5421879999999999</v>
      </c>
      <c r="BK184" s="5">
        <f t="shared" si="214"/>
        <v>0</v>
      </c>
      <c r="BL184" s="499">
        <f t="shared" si="215"/>
        <v>21.19923</v>
      </c>
      <c r="BM184" s="499">
        <f t="shared" si="216"/>
        <v>998.692318</v>
      </c>
      <c r="BO184" s="499">
        <f t="shared" si="217"/>
        <v>461</v>
      </c>
      <c r="BP184" s="499">
        <f t="shared" si="218"/>
        <v>3.5421879999999999</v>
      </c>
      <c r="BQ184" s="5">
        <f t="shared" si="211"/>
        <v>0</v>
      </c>
      <c r="BR184" s="499">
        <f t="shared" si="219"/>
        <v>21.19923</v>
      </c>
      <c r="BS184" s="499">
        <f t="shared" si="220"/>
        <v>998.692318</v>
      </c>
      <c r="BU184" s="499">
        <f t="shared" si="221"/>
        <v>461</v>
      </c>
      <c r="BV184" s="499">
        <f t="shared" si="222"/>
        <v>3.5421879999999999</v>
      </c>
      <c r="BW184" s="5">
        <f t="shared" si="212"/>
        <v>0</v>
      </c>
      <c r="BX184" s="499">
        <f t="shared" si="223"/>
        <v>21.19923</v>
      </c>
      <c r="BY184" s="499">
        <f t="shared" si="224"/>
        <v>998.692318</v>
      </c>
      <c r="CA184">
        <v>461</v>
      </c>
      <c r="CB184">
        <v>3.5421879999999999</v>
      </c>
      <c r="CC184">
        <v>0</v>
      </c>
      <c r="CD184">
        <v>21.19923</v>
      </c>
      <c r="CE184">
        <v>998.692318</v>
      </c>
      <c r="CG184" s="499">
        <f t="shared" si="225"/>
        <v>0</v>
      </c>
      <c r="CH184" s="499">
        <f t="shared" si="226"/>
        <v>0</v>
      </c>
      <c r="CI184" s="499">
        <f t="shared" si="227"/>
        <v>0</v>
      </c>
      <c r="CJ184" s="499">
        <f t="shared" si="228"/>
        <v>0</v>
      </c>
      <c r="CP184" s="499"/>
      <c r="CQ184" s="65">
        <f t="shared" si="230"/>
        <v>0.97883447675210533</v>
      </c>
      <c r="CR184" s="499">
        <f t="shared" si="231"/>
        <v>0.97883447675210533</v>
      </c>
      <c r="CS184" s="499">
        <f t="shared" si="232"/>
        <v>0.97883447675210533</v>
      </c>
      <c r="CT184" s="38">
        <f t="shared" si="233"/>
        <v>1</v>
      </c>
      <c r="CU184" s="498">
        <f t="shared" si="234"/>
        <v>1</v>
      </c>
    </row>
    <row r="185" spans="43:99">
      <c r="AQ185" s="499"/>
      <c r="AR185" s="228">
        <v>21.19923</v>
      </c>
      <c r="AS185" s="13">
        <v>410</v>
      </c>
      <c r="AT185" s="13">
        <v>3.5316010000000002</v>
      </c>
      <c r="AU185" s="13">
        <f t="shared" si="245"/>
        <v>0</v>
      </c>
      <c r="AV185" s="13">
        <f t="shared" si="236"/>
        <v>21.19923</v>
      </c>
      <c r="AW185" s="13">
        <f t="shared" si="237"/>
        <v>21.19923</v>
      </c>
      <c r="AX185" s="13">
        <f t="shared" si="238"/>
        <v>21.19923</v>
      </c>
      <c r="AY185" s="13">
        <v>999.58367999999996</v>
      </c>
      <c r="AZ185" s="13">
        <f t="shared" si="239"/>
        <v>0</v>
      </c>
      <c r="BA185" s="13">
        <f t="shared" si="240"/>
        <v>0</v>
      </c>
      <c r="BB185" s="97">
        <f t="shared" si="241"/>
        <v>0</v>
      </c>
      <c r="BC185" s="499"/>
      <c r="BD185" s="499">
        <v>76.95</v>
      </c>
      <c r="BE185" s="499">
        <v>23.963973991935486</v>
      </c>
      <c r="BF185" s="499">
        <v>20.35176774193549</v>
      </c>
      <c r="BG185" s="499">
        <v>23.232904761584248</v>
      </c>
      <c r="BI185" s="499">
        <f t="shared" ref="BI185:BJ185" si="291">AS188</f>
        <v>196</v>
      </c>
      <c r="BJ185" s="499">
        <f t="shared" si="291"/>
        <v>3.5455999999999999</v>
      </c>
      <c r="BK185" s="5">
        <f t="shared" si="214"/>
        <v>1</v>
      </c>
      <c r="BL185" s="499">
        <f t="shared" si="215"/>
        <v>27.957811</v>
      </c>
      <c r="BM185" s="499">
        <f t="shared" si="216"/>
        <v>719.34270500000002</v>
      </c>
      <c r="BO185" s="499">
        <f t="shared" si="217"/>
        <v>196</v>
      </c>
      <c r="BP185" s="499">
        <f t="shared" si="218"/>
        <v>3.5455999999999999</v>
      </c>
      <c r="BQ185" s="5">
        <f t="shared" si="211"/>
        <v>1</v>
      </c>
      <c r="BR185" s="499">
        <f t="shared" si="219"/>
        <v>27.957811</v>
      </c>
      <c r="BS185" s="499">
        <f t="shared" si="220"/>
        <v>719.34270500000002</v>
      </c>
      <c r="BU185" s="499">
        <f t="shared" si="221"/>
        <v>196</v>
      </c>
      <c r="BV185" s="499">
        <f t="shared" si="222"/>
        <v>3.5455999999999999</v>
      </c>
      <c r="BW185" s="5">
        <f t="shared" si="212"/>
        <v>1</v>
      </c>
      <c r="BX185" s="499">
        <f t="shared" si="223"/>
        <v>27.957811</v>
      </c>
      <c r="BY185" s="499">
        <f t="shared" si="224"/>
        <v>719.34270500000002</v>
      </c>
      <c r="CA185">
        <v>196</v>
      </c>
      <c r="CB185">
        <v>3.5455999999999999</v>
      </c>
      <c r="CC185">
        <v>1</v>
      </c>
      <c r="CD185">
        <v>27.957811</v>
      </c>
      <c r="CE185">
        <v>719.34270500000002</v>
      </c>
      <c r="CG185" s="499">
        <f t="shared" si="225"/>
        <v>1</v>
      </c>
      <c r="CH185" s="499">
        <f t="shared" si="226"/>
        <v>1</v>
      </c>
      <c r="CI185" s="499">
        <f t="shared" si="227"/>
        <v>1</v>
      </c>
      <c r="CJ185" s="499">
        <f t="shared" si="228"/>
        <v>1</v>
      </c>
      <c r="CP185" s="499"/>
      <c r="CQ185" s="65">
        <f t="shared" si="230"/>
        <v>0.97700502449924442</v>
      </c>
      <c r="CR185" s="499">
        <f t="shared" si="231"/>
        <v>0.97700502449924442</v>
      </c>
      <c r="CS185" s="499">
        <f t="shared" si="232"/>
        <v>0.97700502449924442</v>
      </c>
      <c r="CT185" s="38">
        <f t="shared" si="233"/>
        <v>1</v>
      </c>
      <c r="CU185" s="498">
        <f t="shared" si="234"/>
        <v>1</v>
      </c>
    </row>
    <row r="186" spans="43:99">
      <c r="AQ186" s="499"/>
      <c r="AR186" s="228">
        <v>19.041125999999998</v>
      </c>
      <c r="AS186" s="13">
        <v>486</v>
      </c>
      <c r="AT186" s="13">
        <v>3.5396040000000002</v>
      </c>
      <c r="AU186" s="13">
        <f t="shared" si="245"/>
        <v>0</v>
      </c>
      <c r="AV186" s="13">
        <f t="shared" si="236"/>
        <v>19.041125999999998</v>
      </c>
      <c r="AW186" s="13">
        <f t="shared" si="237"/>
        <v>19.041125999999998</v>
      </c>
      <c r="AX186" s="13">
        <f t="shared" si="238"/>
        <v>19.041125999999998</v>
      </c>
      <c r="AY186" s="13">
        <v>790.87943299999995</v>
      </c>
      <c r="AZ186" s="13">
        <f t="shared" si="239"/>
        <v>0</v>
      </c>
      <c r="BA186" s="13">
        <f t="shared" si="240"/>
        <v>0</v>
      </c>
      <c r="BB186" s="97">
        <f t="shared" si="241"/>
        <v>0</v>
      </c>
      <c r="BC186" s="499"/>
      <c r="BD186" s="499">
        <v>76.75</v>
      </c>
      <c r="BE186" s="499">
        <v>24.066106250000001</v>
      </c>
      <c r="BF186" s="499">
        <v>20.377496975806451</v>
      </c>
      <c r="BG186" s="499">
        <v>23.322482095805857</v>
      </c>
      <c r="BI186" s="499">
        <f t="shared" ref="BI186:BJ186" si="292">AS189</f>
        <v>186</v>
      </c>
      <c r="BJ186" s="499">
        <f t="shared" si="292"/>
        <v>3.5518290000000001</v>
      </c>
      <c r="BK186" s="5">
        <f t="shared" si="214"/>
        <v>0</v>
      </c>
      <c r="BL186" s="499">
        <f t="shared" si="215"/>
        <v>18.952162000000001</v>
      </c>
      <c r="BM186" s="499">
        <f t="shared" si="216"/>
        <v>842.366085</v>
      </c>
      <c r="BO186" s="499">
        <f t="shared" si="217"/>
        <v>186</v>
      </c>
      <c r="BP186" s="499">
        <f t="shared" si="218"/>
        <v>3.5518290000000001</v>
      </c>
      <c r="BQ186" s="5">
        <f t="shared" si="211"/>
        <v>0</v>
      </c>
      <c r="BR186" s="499">
        <f t="shared" si="219"/>
        <v>18.952162000000001</v>
      </c>
      <c r="BS186" s="499">
        <f t="shared" si="220"/>
        <v>842.366085</v>
      </c>
      <c r="BU186" s="499">
        <f t="shared" si="221"/>
        <v>186</v>
      </c>
      <c r="BV186" s="499">
        <f t="shared" si="222"/>
        <v>3.5518290000000001</v>
      </c>
      <c r="BW186" s="5">
        <f t="shared" si="212"/>
        <v>0</v>
      </c>
      <c r="BX186" s="499">
        <f t="shared" si="223"/>
        <v>18.952162000000001</v>
      </c>
      <c r="BY186" s="499">
        <f t="shared" si="224"/>
        <v>842.366085</v>
      </c>
      <c r="CA186">
        <v>186</v>
      </c>
      <c r="CB186">
        <v>3.5518290000000001</v>
      </c>
      <c r="CC186">
        <v>0</v>
      </c>
      <c r="CD186">
        <v>18.952162000000001</v>
      </c>
      <c r="CE186">
        <v>842.366085</v>
      </c>
      <c r="CG186" s="499">
        <f t="shared" si="225"/>
        <v>0</v>
      </c>
      <c r="CH186" s="499">
        <f t="shared" si="226"/>
        <v>0</v>
      </c>
      <c r="CI186" s="499">
        <f t="shared" si="227"/>
        <v>0</v>
      </c>
      <c r="CJ186" s="499">
        <f t="shared" si="228"/>
        <v>0</v>
      </c>
      <c r="CP186" s="499"/>
      <c r="CQ186" s="65">
        <f t="shared" si="230"/>
        <v>7.5858531261372808E-4</v>
      </c>
      <c r="CR186" s="499">
        <f t="shared" si="231"/>
        <v>7.5858531261372808E-4</v>
      </c>
      <c r="CS186" s="499">
        <f t="shared" si="232"/>
        <v>7.5858531261372808E-4</v>
      </c>
      <c r="CT186" s="38">
        <f t="shared" si="233"/>
        <v>1</v>
      </c>
      <c r="CU186" s="498">
        <f t="shared" si="234"/>
        <v>1</v>
      </c>
    </row>
    <row r="187" spans="43:99">
      <c r="AQ187" s="499"/>
      <c r="AR187" s="228">
        <v>21.19923</v>
      </c>
      <c r="AS187" s="13">
        <v>461</v>
      </c>
      <c r="AT187" s="13">
        <v>3.5421879999999999</v>
      </c>
      <c r="AU187" s="13">
        <f t="shared" si="245"/>
        <v>0</v>
      </c>
      <c r="AV187" s="13">
        <f t="shared" si="236"/>
        <v>21.19923</v>
      </c>
      <c r="AW187" s="13">
        <f t="shared" si="237"/>
        <v>21.19923</v>
      </c>
      <c r="AX187" s="13">
        <f t="shared" si="238"/>
        <v>21.19923</v>
      </c>
      <c r="AY187" s="13">
        <v>998.692318</v>
      </c>
      <c r="AZ187" s="13">
        <f t="shared" si="239"/>
        <v>0</v>
      </c>
      <c r="BA187" s="13">
        <f t="shared" si="240"/>
        <v>0</v>
      </c>
      <c r="BB187" s="97">
        <f t="shared" si="241"/>
        <v>0</v>
      </c>
      <c r="BC187" s="499"/>
      <c r="BD187" s="499">
        <v>76.55</v>
      </c>
      <c r="BE187" s="499">
        <v>24.149614919354839</v>
      </c>
      <c r="BF187" s="499">
        <v>20.410765725806453</v>
      </c>
      <c r="BG187" s="499">
        <v>23.394557068195969</v>
      </c>
      <c r="BI187" s="499">
        <f t="shared" ref="BI187:BJ187" si="293">AS190</f>
        <v>109</v>
      </c>
      <c r="BJ187" s="499">
        <f t="shared" si="293"/>
        <v>3.55748</v>
      </c>
      <c r="BK187" s="5">
        <f t="shared" si="214"/>
        <v>0</v>
      </c>
      <c r="BL187" s="499">
        <f t="shared" si="215"/>
        <v>18.759687</v>
      </c>
      <c r="BM187" s="499">
        <f t="shared" si="216"/>
        <v>905.27238999999997</v>
      </c>
      <c r="BO187" s="499">
        <f t="shared" si="217"/>
        <v>109</v>
      </c>
      <c r="BP187" s="499">
        <f t="shared" si="218"/>
        <v>3.55748</v>
      </c>
      <c r="BQ187" s="5">
        <f t="shared" si="211"/>
        <v>0</v>
      </c>
      <c r="BR187" s="499">
        <f t="shared" si="219"/>
        <v>18.759687</v>
      </c>
      <c r="BS187" s="499">
        <f t="shared" si="220"/>
        <v>905.27238999999997</v>
      </c>
      <c r="BU187" s="499">
        <f t="shared" si="221"/>
        <v>109</v>
      </c>
      <c r="BV187" s="499">
        <f t="shared" si="222"/>
        <v>3.55748</v>
      </c>
      <c r="BW187" s="5">
        <f t="shared" si="212"/>
        <v>0</v>
      </c>
      <c r="BX187" s="499">
        <f t="shared" si="223"/>
        <v>18.759687</v>
      </c>
      <c r="BY187" s="499">
        <f t="shared" si="224"/>
        <v>905.27238999999997</v>
      </c>
      <c r="CA187">
        <v>109</v>
      </c>
      <c r="CB187">
        <v>3.55748</v>
      </c>
      <c r="CC187">
        <v>0</v>
      </c>
      <c r="CD187">
        <v>18.759687</v>
      </c>
      <c r="CE187">
        <v>905.27238999999997</v>
      </c>
      <c r="CG187" s="499">
        <f t="shared" si="225"/>
        <v>0</v>
      </c>
      <c r="CH187" s="499">
        <f t="shared" si="226"/>
        <v>0</v>
      </c>
      <c r="CI187" s="499">
        <f t="shared" si="227"/>
        <v>0</v>
      </c>
      <c r="CJ187" s="499">
        <f t="shared" si="228"/>
        <v>0</v>
      </c>
      <c r="CP187" s="499"/>
      <c r="CQ187" s="65">
        <f t="shared" si="230"/>
        <v>0.97883861194542687</v>
      </c>
      <c r="CR187" s="499">
        <f t="shared" si="231"/>
        <v>0.97883861194542687</v>
      </c>
      <c r="CS187" s="499">
        <f t="shared" si="232"/>
        <v>0.97883861194542687</v>
      </c>
      <c r="CT187" s="38">
        <f t="shared" si="233"/>
        <v>1</v>
      </c>
      <c r="CU187" s="498">
        <f t="shared" si="234"/>
        <v>1</v>
      </c>
    </row>
    <row r="188" spans="43:99">
      <c r="AQ188" s="499"/>
      <c r="AR188" s="228">
        <v>27.957811</v>
      </c>
      <c r="AS188" s="13">
        <v>196</v>
      </c>
      <c r="AT188" s="13">
        <v>3.5455999999999999</v>
      </c>
      <c r="AU188" s="13">
        <f t="shared" si="245"/>
        <v>1</v>
      </c>
      <c r="AV188" s="13">
        <f t="shared" si="236"/>
        <v>27.957811</v>
      </c>
      <c r="AW188" s="13">
        <f t="shared" si="237"/>
        <v>27.957811</v>
      </c>
      <c r="AX188" s="13">
        <f t="shared" si="238"/>
        <v>27.957811</v>
      </c>
      <c r="AY188" s="13">
        <v>719.34270500000002</v>
      </c>
      <c r="AZ188" s="13">
        <f t="shared" si="239"/>
        <v>0</v>
      </c>
      <c r="BA188" s="13">
        <f t="shared" si="240"/>
        <v>0</v>
      </c>
      <c r="BB188" s="97">
        <f t="shared" si="241"/>
        <v>0</v>
      </c>
      <c r="BC188" s="499"/>
      <c r="BD188" s="499">
        <v>76.349999999999994</v>
      </c>
      <c r="BE188" s="499">
        <v>24.183449193548391</v>
      </c>
      <c r="BF188" s="499">
        <v>20.439251411290321</v>
      </c>
      <c r="BG188" s="499">
        <v>23.425737376662092</v>
      </c>
      <c r="BI188" s="499">
        <f t="shared" ref="BI188:BJ188" si="294">AS191</f>
        <v>285</v>
      </c>
      <c r="BJ188" s="499">
        <f t="shared" si="294"/>
        <v>3.5594250000000001</v>
      </c>
      <c r="BK188" s="5">
        <f t="shared" si="214"/>
        <v>0</v>
      </c>
      <c r="BL188" s="499">
        <f t="shared" si="215"/>
        <v>17.504901</v>
      </c>
      <c r="BM188" s="499">
        <f t="shared" si="216"/>
        <v>1001.833382</v>
      </c>
      <c r="BO188" s="499">
        <f t="shared" si="217"/>
        <v>285</v>
      </c>
      <c r="BP188" s="499">
        <f t="shared" si="218"/>
        <v>3.5594250000000001</v>
      </c>
      <c r="BQ188" s="5">
        <f t="shared" si="211"/>
        <v>0</v>
      </c>
      <c r="BR188" s="499">
        <f t="shared" si="219"/>
        <v>17.504901</v>
      </c>
      <c r="BS188" s="499">
        <f t="shared" si="220"/>
        <v>1001.833382</v>
      </c>
      <c r="BU188" s="499">
        <f t="shared" si="221"/>
        <v>285</v>
      </c>
      <c r="BV188" s="499">
        <f t="shared" si="222"/>
        <v>3.5594250000000001</v>
      </c>
      <c r="BW188" s="5">
        <f t="shared" si="212"/>
        <v>0</v>
      </c>
      <c r="BX188" s="499">
        <f t="shared" si="223"/>
        <v>17.504901</v>
      </c>
      <c r="BY188" s="499">
        <f t="shared" si="224"/>
        <v>1001.833382</v>
      </c>
      <c r="CA188">
        <v>285</v>
      </c>
      <c r="CB188">
        <v>3.5594250000000001</v>
      </c>
      <c r="CC188">
        <v>0</v>
      </c>
      <c r="CD188">
        <v>17.504901</v>
      </c>
      <c r="CE188">
        <v>1001.833382</v>
      </c>
      <c r="CG188" s="499">
        <f t="shared" si="225"/>
        <v>0</v>
      </c>
      <c r="CH188" s="499">
        <f t="shared" si="226"/>
        <v>0</v>
      </c>
      <c r="CI188" s="499">
        <f t="shared" si="227"/>
        <v>0</v>
      </c>
      <c r="CJ188" s="499">
        <f t="shared" si="228"/>
        <v>0</v>
      </c>
      <c r="CP188" s="499"/>
      <c r="CQ188" s="65">
        <f t="shared" si="230"/>
        <v>0.97884540887417049</v>
      </c>
      <c r="CR188" s="499">
        <f t="shared" si="231"/>
        <v>0.97884540887417049</v>
      </c>
      <c r="CS188" s="499">
        <f t="shared" si="232"/>
        <v>0.97884540887417049</v>
      </c>
      <c r="CT188" s="38">
        <f t="shared" si="233"/>
        <v>1</v>
      </c>
      <c r="CU188" s="498">
        <f t="shared" si="234"/>
        <v>1</v>
      </c>
    </row>
    <row r="189" spans="43:99">
      <c r="AQ189" s="499"/>
      <c r="AR189" s="228">
        <v>18.952162000000001</v>
      </c>
      <c r="AS189" s="13">
        <v>186</v>
      </c>
      <c r="AT189" s="13">
        <v>3.5518290000000001</v>
      </c>
      <c r="AU189" s="13">
        <f t="shared" si="245"/>
        <v>0</v>
      </c>
      <c r="AV189" s="13">
        <f t="shared" si="236"/>
        <v>18.952162000000001</v>
      </c>
      <c r="AW189" s="13">
        <f t="shared" si="237"/>
        <v>18.952162000000001</v>
      </c>
      <c r="AX189" s="13">
        <f t="shared" si="238"/>
        <v>18.952162000000001</v>
      </c>
      <c r="AY189" s="13">
        <v>842.366085</v>
      </c>
      <c r="AZ189" s="13">
        <f t="shared" si="239"/>
        <v>0</v>
      </c>
      <c r="BA189" s="13">
        <f t="shared" si="240"/>
        <v>0</v>
      </c>
      <c r="BB189" s="97">
        <f t="shared" si="241"/>
        <v>0</v>
      </c>
      <c r="BC189" s="499"/>
      <c r="BD189" s="499">
        <v>76.150000000000006</v>
      </c>
      <c r="BE189" s="499">
        <v>24.085833064516134</v>
      </c>
      <c r="BF189" s="499">
        <v>20.415106048387091</v>
      </c>
      <c r="BG189" s="499">
        <v>23.333423676359892</v>
      </c>
      <c r="BI189" s="499">
        <f t="shared" ref="BI189:BJ189" si="295">AS192</f>
        <v>386</v>
      </c>
      <c r="BJ189" s="499">
        <f t="shared" si="295"/>
        <v>3.5638169999999998</v>
      </c>
      <c r="BK189" s="5">
        <f t="shared" si="214"/>
        <v>0</v>
      </c>
      <c r="BL189" s="499">
        <f t="shared" si="215"/>
        <v>20.598991000000002</v>
      </c>
      <c r="BM189" s="499">
        <f t="shared" si="216"/>
        <v>1001.137374</v>
      </c>
      <c r="BO189" s="499">
        <f t="shared" si="217"/>
        <v>386</v>
      </c>
      <c r="BP189" s="499">
        <f t="shared" si="218"/>
        <v>3.5638169999999998</v>
      </c>
      <c r="BQ189" s="5">
        <f t="shared" si="211"/>
        <v>0</v>
      </c>
      <c r="BR189" s="499">
        <f t="shared" si="219"/>
        <v>20.598991000000002</v>
      </c>
      <c r="BS189" s="499">
        <f t="shared" si="220"/>
        <v>1001.137374</v>
      </c>
      <c r="BU189" s="499">
        <f t="shared" si="221"/>
        <v>386</v>
      </c>
      <c r="BV189" s="499">
        <f t="shared" si="222"/>
        <v>3.5638169999999998</v>
      </c>
      <c r="BW189" s="5">
        <f t="shared" si="212"/>
        <v>0</v>
      </c>
      <c r="BX189" s="499">
        <f t="shared" si="223"/>
        <v>20.598991000000002</v>
      </c>
      <c r="BY189" s="499">
        <f t="shared" si="224"/>
        <v>1001.137374</v>
      </c>
      <c r="CA189">
        <v>386</v>
      </c>
      <c r="CB189">
        <v>3.5638169999999998</v>
      </c>
      <c r="CC189">
        <v>0</v>
      </c>
      <c r="CD189">
        <v>20.598991000000002</v>
      </c>
      <c r="CE189">
        <v>1001.137374</v>
      </c>
      <c r="CG189" s="499">
        <f t="shared" si="225"/>
        <v>0</v>
      </c>
      <c r="CH189" s="499">
        <f t="shared" si="226"/>
        <v>0</v>
      </c>
      <c r="CI189" s="499">
        <f t="shared" si="227"/>
        <v>0</v>
      </c>
      <c r="CJ189" s="499">
        <f t="shared" si="228"/>
        <v>0</v>
      </c>
      <c r="CP189" s="499"/>
      <c r="CQ189" s="65">
        <f t="shared" si="230"/>
        <v>0.97885879399918574</v>
      </c>
      <c r="CR189" s="499">
        <f t="shared" si="231"/>
        <v>0.97885879399918574</v>
      </c>
      <c r="CS189" s="499">
        <f t="shared" si="232"/>
        <v>0.97885879399918574</v>
      </c>
      <c r="CT189" s="38">
        <f t="shared" si="233"/>
        <v>1</v>
      </c>
      <c r="CU189" s="498">
        <f t="shared" si="234"/>
        <v>1</v>
      </c>
    </row>
    <row r="190" spans="43:99">
      <c r="AQ190" s="499"/>
      <c r="AR190" s="228">
        <v>18.759687</v>
      </c>
      <c r="AS190" s="13">
        <v>109</v>
      </c>
      <c r="AT190" s="13">
        <v>3.55748</v>
      </c>
      <c r="AU190" s="13">
        <f t="shared" si="245"/>
        <v>0</v>
      </c>
      <c r="AV190" s="13">
        <f t="shared" si="236"/>
        <v>18.759687</v>
      </c>
      <c r="AW190" s="13">
        <f t="shared" si="237"/>
        <v>18.759687</v>
      </c>
      <c r="AX190" s="13">
        <f t="shared" si="238"/>
        <v>18.759687</v>
      </c>
      <c r="AY190" s="13">
        <v>905.27238999999997</v>
      </c>
      <c r="AZ190" s="13">
        <f t="shared" si="239"/>
        <v>0</v>
      </c>
      <c r="BA190" s="13">
        <f t="shared" si="240"/>
        <v>0</v>
      </c>
      <c r="BB190" s="97">
        <f t="shared" si="241"/>
        <v>0</v>
      </c>
      <c r="BC190" s="499"/>
      <c r="BD190" s="499">
        <v>75.95</v>
      </c>
      <c r="BE190" s="499">
        <v>23.764269556451609</v>
      </c>
      <c r="BF190" s="499">
        <v>20.232669153225814</v>
      </c>
      <c r="BG190" s="499">
        <v>23.056998339885528</v>
      </c>
      <c r="BI190" s="499">
        <f t="shared" ref="BI190:BJ190" si="296">AS193</f>
        <v>373</v>
      </c>
      <c r="BJ190" s="499">
        <f t="shared" si="296"/>
        <v>3.573712</v>
      </c>
      <c r="BK190" s="5">
        <f t="shared" si="214"/>
        <v>0</v>
      </c>
      <c r="BL190" s="499">
        <f t="shared" si="215"/>
        <v>18.683432</v>
      </c>
      <c r="BM190" s="499">
        <f t="shared" si="216"/>
        <v>941.68609300000003</v>
      </c>
      <c r="BO190" s="499">
        <f t="shared" si="217"/>
        <v>373</v>
      </c>
      <c r="BP190" s="499">
        <f t="shared" si="218"/>
        <v>3.573712</v>
      </c>
      <c r="BQ190" s="5">
        <f t="shared" si="211"/>
        <v>0</v>
      </c>
      <c r="BR190" s="499">
        <f t="shared" si="219"/>
        <v>18.683432</v>
      </c>
      <c r="BS190" s="499">
        <f t="shared" si="220"/>
        <v>941.68609300000003</v>
      </c>
      <c r="BU190" s="499">
        <f t="shared" si="221"/>
        <v>373</v>
      </c>
      <c r="BV190" s="499">
        <f t="shared" si="222"/>
        <v>3.573712</v>
      </c>
      <c r="BW190" s="5">
        <f t="shared" si="212"/>
        <v>0</v>
      </c>
      <c r="BX190" s="499">
        <f t="shared" si="223"/>
        <v>18.683432</v>
      </c>
      <c r="BY190" s="499">
        <f t="shared" si="224"/>
        <v>941.68609300000003</v>
      </c>
      <c r="CA190">
        <v>373</v>
      </c>
      <c r="CB190">
        <v>3.573712</v>
      </c>
      <c r="CC190">
        <v>0</v>
      </c>
      <c r="CD190">
        <v>18.683432</v>
      </c>
      <c r="CE190">
        <v>941.68609300000003</v>
      </c>
      <c r="CG190" s="499">
        <f t="shared" si="225"/>
        <v>0</v>
      </c>
      <c r="CH190" s="499">
        <f t="shared" si="226"/>
        <v>0</v>
      </c>
      <c r="CI190" s="499">
        <f t="shared" si="227"/>
        <v>0</v>
      </c>
      <c r="CJ190" s="499">
        <f t="shared" si="228"/>
        <v>0</v>
      </c>
      <c r="CP190" s="499"/>
      <c r="CQ190" s="65">
        <f t="shared" si="230"/>
        <v>0.97829640220272451</v>
      </c>
      <c r="CR190" s="499">
        <f t="shared" si="231"/>
        <v>0.97829640220272451</v>
      </c>
      <c r="CS190" s="499">
        <f t="shared" si="232"/>
        <v>0.97829640220272451</v>
      </c>
      <c r="CT190" s="38">
        <f t="shared" si="233"/>
        <v>1</v>
      </c>
      <c r="CU190" s="498">
        <f t="shared" si="234"/>
        <v>1</v>
      </c>
    </row>
    <row r="191" spans="43:99">
      <c r="AQ191" s="499"/>
      <c r="AR191" s="228">
        <v>17.504901</v>
      </c>
      <c r="AS191" s="13">
        <v>285</v>
      </c>
      <c r="AT191" s="13">
        <v>3.5594250000000001</v>
      </c>
      <c r="AU191" s="13">
        <f t="shared" si="245"/>
        <v>0</v>
      </c>
      <c r="AV191" s="13">
        <f t="shared" si="236"/>
        <v>17.504901</v>
      </c>
      <c r="AW191" s="13">
        <f t="shared" si="237"/>
        <v>17.504901</v>
      </c>
      <c r="AX191" s="13">
        <f t="shared" si="238"/>
        <v>17.504901</v>
      </c>
      <c r="AY191" s="13">
        <v>1001.833382</v>
      </c>
      <c r="AZ191" s="13">
        <f t="shared" si="239"/>
        <v>0</v>
      </c>
      <c r="BA191" s="13">
        <f t="shared" si="240"/>
        <v>0</v>
      </c>
      <c r="BB191" s="97">
        <f t="shared" si="241"/>
        <v>0</v>
      </c>
      <c r="BC191" s="499"/>
      <c r="BD191" s="499">
        <v>75.75</v>
      </c>
      <c r="BE191" s="499">
        <v>23.854909274193556</v>
      </c>
      <c r="BF191" s="499">
        <v>20.16845887096774</v>
      </c>
      <c r="BG191" s="499">
        <v>23.13684815952838</v>
      </c>
      <c r="BI191" s="499">
        <f t="shared" ref="BI191:BJ191" si="297">AS194</f>
        <v>264</v>
      </c>
      <c r="BJ191" s="499">
        <f t="shared" si="297"/>
        <v>3.5958649999999999</v>
      </c>
      <c r="BK191" s="5">
        <f t="shared" si="214"/>
        <v>0</v>
      </c>
      <c r="BL191" s="499">
        <f t="shared" si="215"/>
        <v>22.20065</v>
      </c>
      <c r="BM191" s="499">
        <f t="shared" si="216"/>
        <v>999.55978400000004</v>
      </c>
      <c r="BO191" s="499">
        <f t="shared" si="217"/>
        <v>264</v>
      </c>
      <c r="BP191" s="499">
        <f t="shared" si="218"/>
        <v>3.5958649999999999</v>
      </c>
      <c r="BQ191" s="5">
        <f t="shared" si="211"/>
        <v>0</v>
      </c>
      <c r="BR191" s="499">
        <f t="shared" si="219"/>
        <v>22.20065</v>
      </c>
      <c r="BS191" s="499">
        <f t="shared" si="220"/>
        <v>999.55978400000004</v>
      </c>
      <c r="BU191" s="499">
        <f t="shared" si="221"/>
        <v>264</v>
      </c>
      <c r="BV191" s="499">
        <f t="shared" si="222"/>
        <v>3.5958649999999999</v>
      </c>
      <c r="BW191" s="5">
        <f t="shared" si="212"/>
        <v>0</v>
      </c>
      <c r="BX191" s="499">
        <f t="shared" si="223"/>
        <v>22.20065</v>
      </c>
      <c r="BY191" s="499">
        <f t="shared" si="224"/>
        <v>999.55978400000004</v>
      </c>
      <c r="CA191">
        <v>264</v>
      </c>
      <c r="CB191">
        <v>3.5958649999999999</v>
      </c>
      <c r="CC191">
        <v>0</v>
      </c>
      <c r="CD191">
        <v>22.20065</v>
      </c>
      <c r="CE191">
        <v>999.55978400000004</v>
      </c>
      <c r="CG191" s="499">
        <f t="shared" si="225"/>
        <v>0</v>
      </c>
      <c r="CH191" s="499">
        <f t="shared" si="226"/>
        <v>0</v>
      </c>
      <c r="CI191" s="499">
        <f t="shared" si="227"/>
        <v>0</v>
      </c>
      <c r="CJ191" s="499">
        <f t="shared" si="228"/>
        <v>0</v>
      </c>
      <c r="CP191" s="499"/>
      <c r="CQ191" s="65">
        <f t="shared" si="230"/>
        <v>0.97884746022508184</v>
      </c>
      <c r="CR191" s="499">
        <f t="shared" si="231"/>
        <v>0.97884746022508184</v>
      </c>
      <c r="CS191" s="499">
        <f t="shared" si="232"/>
        <v>0.97884746022508184</v>
      </c>
      <c r="CT191" s="38">
        <f t="shared" si="233"/>
        <v>1</v>
      </c>
      <c r="CU191" s="498">
        <f t="shared" si="234"/>
        <v>1</v>
      </c>
    </row>
    <row r="192" spans="43:99">
      <c r="AQ192" s="499"/>
      <c r="AR192" s="228">
        <v>20.598991000000002</v>
      </c>
      <c r="AS192" s="13">
        <v>386</v>
      </c>
      <c r="AT192" s="13">
        <v>3.5638169999999998</v>
      </c>
      <c r="AU192" s="13">
        <f t="shared" si="245"/>
        <v>0</v>
      </c>
      <c r="AV192" s="13">
        <f t="shared" si="236"/>
        <v>20.598991000000002</v>
      </c>
      <c r="AW192" s="13">
        <f t="shared" si="237"/>
        <v>20.598991000000002</v>
      </c>
      <c r="AX192" s="13">
        <f t="shared" si="238"/>
        <v>20.598991000000002</v>
      </c>
      <c r="AY192" s="13">
        <v>1001.137374</v>
      </c>
      <c r="AZ192" s="13">
        <f t="shared" si="239"/>
        <v>0</v>
      </c>
      <c r="BA192" s="13">
        <f t="shared" si="240"/>
        <v>0</v>
      </c>
      <c r="BB192" s="97">
        <f t="shared" si="241"/>
        <v>0</v>
      </c>
      <c r="BC192" s="499"/>
      <c r="BD192" s="499">
        <v>75.55</v>
      </c>
      <c r="BE192" s="499">
        <v>23.665756854838705</v>
      </c>
      <c r="BF192" s="499">
        <v>20.113235080645165</v>
      </c>
      <c r="BG192" s="499">
        <v>22.979746944010991</v>
      </c>
      <c r="BI192" s="499">
        <f t="shared" ref="BI192:BJ192" si="298">AS195</f>
        <v>274</v>
      </c>
      <c r="BJ192" s="499">
        <f t="shared" si="298"/>
        <v>3.6</v>
      </c>
      <c r="BK192" s="5">
        <f t="shared" si="214"/>
        <v>1</v>
      </c>
      <c r="BL192" s="499">
        <f t="shared" si="215"/>
        <v>31.407889000000001</v>
      </c>
      <c r="BM192" s="499">
        <f t="shared" si="216"/>
        <v>1002.9569729999999</v>
      </c>
      <c r="BO192" s="499">
        <f t="shared" si="217"/>
        <v>274</v>
      </c>
      <c r="BP192" s="499">
        <f t="shared" si="218"/>
        <v>3.6</v>
      </c>
      <c r="BQ192" s="5">
        <f t="shared" si="211"/>
        <v>1</v>
      </c>
      <c r="BR192" s="499">
        <f t="shared" si="219"/>
        <v>31.407889000000001</v>
      </c>
      <c r="BS192" s="499">
        <f t="shared" si="220"/>
        <v>1002.9569729999999</v>
      </c>
      <c r="BU192" s="499">
        <f t="shared" si="221"/>
        <v>274</v>
      </c>
      <c r="BV192" s="499">
        <f t="shared" si="222"/>
        <v>3.6</v>
      </c>
      <c r="BW192" s="5">
        <f t="shared" si="212"/>
        <v>1</v>
      </c>
      <c r="BX192" s="499">
        <f t="shared" si="223"/>
        <v>31.407889000000001</v>
      </c>
      <c r="BY192" s="499">
        <f t="shared" si="224"/>
        <v>1002.9569729999999</v>
      </c>
      <c r="CA192">
        <v>274</v>
      </c>
      <c r="CB192">
        <v>3.6</v>
      </c>
      <c r="CC192">
        <v>1</v>
      </c>
      <c r="CD192">
        <v>31.407889000000001</v>
      </c>
      <c r="CE192">
        <v>1002.9569729999999</v>
      </c>
      <c r="CG192" s="499">
        <f t="shared" si="225"/>
        <v>1</v>
      </c>
      <c r="CH192" s="499">
        <f t="shared" si="226"/>
        <v>1</v>
      </c>
      <c r="CI192" s="499">
        <f t="shared" si="227"/>
        <v>1</v>
      </c>
      <c r="CJ192" s="499">
        <f t="shared" si="228"/>
        <v>1</v>
      </c>
      <c r="CP192" s="499"/>
      <c r="CQ192" s="65">
        <f t="shared" si="230"/>
        <v>0.96545421538075227</v>
      </c>
      <c r="CR192" s="499">
        <f t="shared" si="231"/>
        <v>0.96545421538075227</v>
      </c>
      <c r="CS192" s="499">
        <f t="shared" si="232"/>
        <v>0.96545421538075227</v>
      </c>
      <c r="CT192" s="38">
        <f t="shared" si="233"/>
        <v>1</v>
      </c>
      <c r="CU192" s="498">
        <f t="shared" si="234"/>
        <v>1</v>
      </c>
    </row>
    <row r="193" spans="43:99">
      <c r="AQ193" s="499"/>
      <c r="AR193" s="228">
        <v>18.683432</v>
      </c>
      <c r="AS193" s="13">
        <v>373</v>
      </c>
      <c r="AT193" s="13">
        <v>3.573712</v>
      </c>
      <c r="AU193" s="13">
        <f t="shared" si="245"/>
        <v>0</v>
      </c>
      <c r="AV193" s="13">
        <f t="shared" si="236"/>
        <v>18.683432</v>
      </c>
      <c r="AW193" s="13">
        <f t="shared" si="237"/>
        <v>18.683432</v>
      </c>
      <c r="AX193" s="13">
        <f t="shared" si="238"/>
        <v>18.683432</v>
      </c>
      <c r="AY193" s="13">
        <v>941.68609300000003</v>
      </c>
      <c r="AZ193" s="13">
        <f t="shared" si="239"/>
        <v>0</v>
      </c>
      <c r="BA193" s="13">
        <f t="shared" si="240"/>
        <v>0</v>
      </c>
      <c r="BB193" s="97">
        <f t="shared" si="241"/>
        <v>0</v>
      </c>
      <c r="BC193" s="499"/>
      <c r="BD193" s="499">
        <v>75.349999999999994</v>
      </c>
      <c r="BE193" s="499">
        <v>23.496878629032246</v>
      </c>
      <c r="BF193" s="499">
        <v>20.098597580645155</v>
      </c>
      <c r="BG193" s="499">
        <v>22.838780866804033</v>
      </c>
      <c r="BI193" s="499">
        <f t="shared" ref="BI193:BJ193" si="299">AS196</f>
        <v>302</v>
      </c>
      <c r="BJ193" s="499">
        <f t="shared" si="299"/>
        <v>3.6057389999999998</v>
      </c>
      <c r="BK193" s="5">
        <f t="shared" si="214"/>
        <v>0</v>
      </c>
      <c r="BL193" s="499">
        <f t="shared" si="215"/>
        <v>17.497755999999999</v>
      </c>
      <c r="BM193" s="499">
        <f t="shared" si="216"/>
        <v>998.59051099999999</v>
      </c>
      <c r="BO193" s="499">
        <f t="shared" si="217"/>
        <v>302</v>
      </c>
      <c r="BP193" s="499">
        <f t="shared" si="218"/>
        <v>3.6057389999999998</v>
      </c>
      <c r="BQ193" s="5">
        <f t="shared" si="211"/>
        <v>0</v>
      </c>
      <c r="BR193" s="499">
        <f t="shared" si="219"/>
        <v>17.497755999999999</v>
      </c>
      <c r="BS193" s="499">
        <f t="shared" si="220"/>
        <v>998.59051099999999</v>
      </c>
      <c r="BU193" s="499">
        <f t="shared" si="221"/>
        <v>302</v>
      </c>
      <c r="BV193" s="499">
        <f t="shared" si="222"/>
        <v>3.6057389999999998</v>
      </c>
      <c r="BW193" s="5">
        <f t="shared" si="212"/>
        <v>0</v>
      </c>
      <c r="BX193" s="499">
        <f t="shared" si="223"/>
        <v>17.497755999999999</v>
      </c>
      <c r="BY193" s="499">
        <f t="shared" si="224"/>
        <v>998.59051099999999</v>
      </c>
      <c r="CA193">
        <v>302</v>
      </c>
      <c r="CB193">
        <v>3.6057389999999998</v>
      </c>
      <c r="CC193">
        <v>0</v>
      </c>
      <c r="CD193">
        <v>17.497755999999999</v>
      </c>
      <c r="CE193">
        <v>998.59051099999999</v>
      </c>
      <c r="CG193" s="499">
        <f t="shared" si="225"/>
        <v>0</v>
      </c>
      <c r="CH193" s="499">
        <f t="shared" si="226"/>
        <v>0</v>
      </c>
      <c r="CI193" s="499">
        <f t="shared" si="227"/>
        <v>0</v>
      </c>
      <c r="CJ193" s="499">
        <f t="shared" si="228"/>
        <v>0</v>
      </c>
      <c r="CP193" s="499"/>
      <c r="CQ193" s="65">
        <f t="shared" si="230"/>
        <v>8.0036784430378056E-7</v>
      </c>
      <c r="CR193" s="499">
        <f t="shared" si="231"/>
        <v>8.0036784430378056E-7</v>
      </c>
      <c r="CS193" s="499">
        <f t="shared" si="232"/>
        <v>8.0036784430378056E-7</v>
      </c>
      <c r="CT193" s="38">
        <f t="shared" si="233"/>
        <v>1</v>
      </c>
      <c r="CU193" s="498">
        <f t="shared" si="234"/>
        <v>1</v>
      </c>
    </row>
    <row r="194" spans="43:99">
      <c r="AQ194" s="499"/>
      <c r="AR194" s="228">
        <v>22.20065</v>
      </c>
      <c r="AS194" s="13">
        <v>264</v>
      </c>
      <c r="AT194" s="13">
        <v>3.5958649999999999</v>
      </c>
      <c r="AU194" s="13">
        <f t="shared" si="245"/>
        <v>0</v>
      </c>
      <c r="AV194" s="13">
        <f t="shared" si="236"/>
        <v>22.20065</v>
      </c>
      <c r="AW194" s="13">
        <f t="shared" si="237"/>
        <v>22.20065</v>
      </c>
      <c r="AX194" s="13">
        <f t="shared" si="238"/>
        <v>22.20065</v>
      </c>
      <c r="AY194" s="13">
        <v>999.55978400000004</v>
      </c>
      <c r="AZ194" s="13">
        <f t="shared" si="239"/>
        <v>0</v>
      </c>
      <c r="BA194" s="13">
        <f t="shared" si="240"/>
        <v>0</v>
      </c>
      <c r="BB194" s="97">
        <f t="shared" si="241"/>
        <v>0</v>
      </c>
      <c r="BC194" s="499"/>
      <c r="BD194" s="499">
        <v>75.150000000000006</v>
      </c>
      <c r="BE194" s="499">
        <v>23.303738508064512</v>
      </c>
      <c r="BF194" s="499">
        <v>20.084325403225808</v>
      </c>
      <c r="BG194" s="499">
        <v>22.672708100787549</v>
      </c>
      <c r="BI194" s="499">
        <f t="shared" ref="BI194:BJ194" si="300">AS197</f>
        <v>481</v>
      </c>
      <c r="BJ194" s="499">
        <f t="shared" si="300"/>
        <v>3.634252</v>
      </c>
      <c r="BK194" s="5">
        <f t="shared" si="214"/>
        <v>1</v>
      </c>
      <c r="BL194" s="499">
        <f t="shared" si="215"/>
        <v>30.642278000000001</v>
      </c>
      <c r="BM194" s="499">
        <f t="shared" si="216"/>
        <v>810.81634199999996</v>
      </c>
      <c r="BO194" s="499">
        <f t="shared" si="217"/>
        <v>481</v>
      </c>
      <c r="BP194" s="499">
        <f t="shared" si="218"/>
        <v>3.634252</v>
      </c>
      <c r="BQ194" s="5">
        <f t="shared" si="211"/>
        <v>1</v>
      </c>
      <c r="BR194" s="499">
        <f t="shared" si="219"/>
        <v>30.642278000000001</v>
      </c>
      <c r="BS194" s="499">
        <f t="shared" si="220"/>
        <v>810.81634199999996</v>
      </c>
      <c r="BU194" s="499">
        <f t="shared" si="221"/>
        <v>481</v>
      </c>
      <c r="BV194" s="499">
        <f t="shared" si="222"/>
        <v>3.634252</v>
      </c>
      <c r="BW194" s="5">
        <f t="shared" si="212"/>
        <v>1</v>
      </c>
      <c r="BX194" s="499">
        <f t="shared" si="223"/>
        <v>30.642278000000001</v>
      </c>
      <c r="BY194" s="499">
        <f t="shared" si="224"/>
        <v>810.81634199999996</v>
      </c>
      <c r="CA194">
        <v>481</v>
      </c>
      <c r="CB194">
        <v>3.634252</v>
      </c>
      <c r="CC194">
        <v>1</v>
      </c>
      <c r="CD194">
        <v>30.642278000000001</v>
      </c>
      <c r="CE194">
        <v>810.81634199999996</v>
      </c>
      <c r="CG194" s="499">
        <f t="shared" si="225"/>
        <v>1</v>
      </c>
      <c r="CH194" s="499">
        <f t="shared" si="226"/>
        <v>1</v>
      </c>
      <c r="CI194" s="499">
        <f t="shared" si="227"/>
        <v>1</v>
      </c>
      <c r="CJ194" s="499">
        <f t="shared" si="228"/>
        <v>1</v>
      </c>
      <c r="CP194" s="499"/>
      <c r="CQ194" s="65">
        <f t="shared" si="230"/>
        <v>0.97885881099896721</v>
      </c>
      <c r="CR194" s="499">
        <f t="shared" si="231"/>
        <v>0.97885881099896721</v>
      </c>
      <c r="CS194" s="499">
        <f t="shared" si="232"/>
        <v>0.97885881099896721</v>
      </c>
      <c r="CT194" s="38">
        <f t="shared" si="233"/>
        <v>1</v>
      </c>
      <c r="CU194" s="498">
        <f t="shared" si="234"/>
        <v>1</v>
      </c>
    </row>
    <row r="195" spans="43:99">
      <c r="AQ195" s="499"/>
      <c r="AR195" s="228">
        <v>31.407889000000001</v>
      </c>
      <c r="AS195" s="13">
        <v>274</v>
      </c>
      <c r="AT195" s="13">
        <v>3.6</v>
      </c>
      <c r="AU195" s="13">
        <f t="shared" si="245"/>
        <v>1</v>
      </c>
      <c r="AV195" s="13">
        <f t="shared" si="236"/>
        <v>31.407889000000001</v>
      </c>
      <c r="AW195" s="13">
        <f t="shared" si="237"/>
        <v>31.407889000000001</v>
      </c>
      <c r="AX195" s="13">
        <f t="shared" si="238"/>
        <v>31.407889000000001</v>
      </c>
      <c r="AY195" s="13">
        <v>1002.9569729999999</v>
      </c>
      <c r="AZ195" s="13">
        <f t="shared" si="239"/>
        <v>0</v>
      </c>
      <c r="BA195" s="13">
        <f t="shared" si="240"/>
        <v>0</v>
      </c>
      <c r="BB195" s="97">
        <f t="shared" si="241"/>
        <v>0</v>
      </c>
      <c r="BC195" s="499"/>
      <c r="BD195" s="499">
        <v>74.95</v>
      </c>
      <c r="BE195" s="499">
        <v>23.157609475806453</v>
      </c>
      <c r="BF195" s="499">
        <v>20.120244354838718</v>
      </c>
      <c r="BG195" s="499">
        <v>22.553010407010078</v>
      </c>
      <c r="BI195" s="499">
        <f t="shared" ref="BI195:BJ195" si="301">AS198</f>
        <v>73</v>
      </c>
      <c r="BJ195" s="499">
        <f t="shared" si="301"/>
        <v>3.6577440000000001</v>
      </c>
      <c r="BK195" s="5">
        <f t="shared" si="214"/>
        <v>0</v>
      </c>
      <c r="BL195" s="499">
        <f t="shared" si="215"/>
        <v>21.19923</v>
      </c>
      <c r="BM195" s="499">
        <f t="shared" si="216"/>
        <v>999.30765099999996</v>
      </c>
      <c r="BO195" s="499">
        <f t="shared" si="217"/>
        <v>73</v>
      </c>
      <c r="BP195" s="499">
        <f t="shared" si="218"/>
        <v>3.6577440000000001</v>
      </c>
      <c r="BQ195" s="5">
        <f t="shared" si="211"/>
        <v>0</v>
      </c>
      <c r="BR195" s="499">
        <f t="shared" si="219"/>
        <v>21.19923</v>
      </c>
      <c r="BS195" s="499">
        <f t="shared" si="220"/>
        <v>999.30765099999996</v>
      </c>
      <c r="BU195" s="499">
        <f t="shared" si="221"/>
        <v>73</v>
      </c>
      <c r="BV195" s="499">
        <f t="shared" si="222"/>
        <v>3.6577440000000001</v>
      </c>
      <c r="BW195" s="5">
        <f t="shared" si="212"/>
        <v>0</v>
      </c>
      <c r="BX195" s="499">
        <f t="shared" si="223"/>
        <v>21.19923</v>
      </c>
      <c r="BY195" s="499">
        <f t="shared" si="224"/>
        <v>999.30765099999996</v>
      </c>
      <c r="CA195">
        <v>73</v>
      </c>
      <c r="CB195">
        <v>3.6577440000000001</v>
      </c>
      <c r="CC195">
        <v>0</v>
      </c>
      <c r="CD195">
        <v>21.19923</v>
      </c>
      <c r="CE195">
        <v>999.30765099999996</v>
      </c>
      <c r="CG195" s="499">
        <f t="shared" si="225"/>
        <v>0</v>
      </c>
      <c r="CH195" s="499">
        <f t="shared" si="226"/>
        <v>0</v>
      </c>
      <c r="CI195" s="499">
        <f t="shared" si="227"/>
        <v>0</v>
      </c>
      <c r="CJ195" s="499">
        <f t="shared" si="228"/>
        <v>0</v>
      </c>
      <c r="CP195" s="499"/>
      <c r="CQ195" s="65">
        <f t="shared" si="230"/>
        <v>3.663780070652867E-6</v>
      </c>
      <c r="CR195" s="499">
        <f t="shared" si="231"/>
        <v>3.663780070652867E-6</v>
      </c>
      <c r="CS195" s="499">
        <f t="shared" si="232"/>
        <v>3.663780070652867E-6</v>
      </c>
      <c r="CT195" s="38">
        <f t="shared" si="233"/>
        <v>1</v>
      </c>
      <c r="CU195" s="498">
        <f t="shared" si="234"/>
        <v>1</v>
      </c>
    </row>
    <row r="196" spans="43:99">
      <c r="AQ196" s="499"/>
      <c r="AR196" s="228">
        <v>17.497755999999999</v>
      </c>
      <c r="AS196" s="13">
        <v>302</v>
      </c>
      <c r="AT196" s="13">
        <v>3.6057389999999998</v>
      </c>
      <c r="AU196" s="13">
        <f t="shared" si="245"/>
        <v>0</v>
      </c>
      <c r="AV196" s="13">
        <f t="shared" si="236"/>
        <v>17.497755999999999</v>
      </c>
      <c r="AW196" s="13">
        <f t="shared" si="237"/>
        <v>17.497755999999999</v>
      </c>
      <c r="AX196" s="13">
        <f t="shared" si="238"/>
        <v>17.497755999999999</v>
      </c>
      <c r="AY196" s="13">
        <v>998.59051099999999</v>
      </c>
      <c r="AZ196" s="13">
        <f t="shared" si="239"/>
        <v>0</v>
      </c>
      <c r="BA196" s="13">
        <f t="shared" si="240"/>
        <v>0</v>
      </c>
      <c r="BB196" s="97">
        <f t="shared" si="241"/>
        <v>0</v>
      </c>
      <c r="BC196" s="499"/>
      <c r="BD196" s="499">
        <v>74.75</v>
      </c>
      <c r="BE196" s="499">
        <v>23.085011895161301</v>
      </c>
      <c r="BF196" s="499">
        <v>20.183425806451609</v>
      </c>
      <c r="BG196" s="499">
        <v>22.497437748956049</v>
      </c>
      <c r="BI196" s="499">
        <f t="shared" ref="BI196:BJ196" si="302">AS199</f>
        <v>317</v>
      </c>
      <c r="BJ196" s="499">
        <f t="shared" si="302"/>
        <v>3.6614620000000002</v>
      </c>
      <c r="BK196" s="5">
        <f t="shared" si="214"/>
        <v>0</v>
      </c>
      <c r="BL196" s="499">
        <f t="shared" si="215"/>
        <v>22.635006000000001</v>
      </c>
      <c r="BM196" s="499">
        <f t="shared" si="216"/>
        <v>1067.8776330000001</v>
      </c>
      <c r="BO196" s="499">
        <f t="shared" si="217"/>
        <v>317</v>
      </c>
      <c r="BP196" s="499">
        <f t="shared" si="218"/>
        <v>3.6614620000000002</v>
      </c>
      <c r="BQ196" s="5">
        <f t="shared" si="211"/>
        <v>0</v>
      </c>
      <c r="BR196" s="499">
        <f t="shared" si="219"/>
        <v>22.635006000000001</v>
      </c>
      <c r="BS196" s="499">
        <f t="shared" si="220"/>
        <v>1067.8776330000001</v>
      </c>
      <c r="BU196" s="499">
        <f t="shared" si="221"/>
        <v>317</v>
      </c>
      <c r="BV196" s="499">
        <f t="shared" si="222"/>
        <v>3.6614620000000002</v>
      </c>
      <c r="BW196" s="5">
        <f t="shared" si="212"/>
        <v>0</v>
      </c>
      <c r="BX196" s="499">
        <f t="shared" si="223"/>
        <v>22.635006000000001</v>
      </c>
      <c r="BY196" s="499">
        <f t="shared" si="224"/>
        <v>1067.8776330000001</v>
      </c>
      <c r="CA196">
        <v>317</v>
      </c>
      <c r="CB196">
        <v>3.6614620000000002</v>
      </c>
      <c r="CC196">
        <v>0</v>
      </c>
      <c r="CD196">
        <v>22.635006000000001</v>
      </c>
      <c r="CE196">
        <v>1067.8776330000001</v>
      </c>
      <c r="CG196" s="499">
        <f t="shared" si="225"/>
        <v>0</v>
      </c>
      <c r="CH196" s="499">
        <f t="shared" si="226"/>
        <v>0</v>
      </c>
      <c r="CI196" s="499">
        <f t="shared" si="227"/>
        <v>0</v>
      </c>
      <c r="CJ196" s="499">
        <f t="shared" si="228"/>
        <v>0</v>
      </c>
      <c r="CP196" s="499"/>
      <c r="CQ196" s="65">
        <f t="shared" si="230"/>
        <v>0.97700502449924442</v>
      </c>
      <c r="CR196" s="499">
        <f t="shared" si="231"/>
        <v>0.97700502449924442</v>
      </c>
      <c r="CS196" s="499">
        <f t="shared" si="232"/>
        <v>0.97700502449924442</v>
      </c>
      <c r="CT196" s="38">
        <f t="shared" si="233"/>
        <v>1</v>
      </c>
      <c r="CU196" s="498">
        <f t="shared" si="234"/>
        <v>1</v>
      </c>
    </row>
    <row r="197" spans="43:99">
      <c r="AQ197" s="499"/>
      <c r="AR197" s="228">
        <v>30.642278000000001</v>
      </c>
      <c r="AS197" s="13">
        <v>481</v>
      </c>
      <c r="AT197" s="13">
        <v>3.634252</v>
      </c>
      <c r="AU197" s="13">
        <f t="shared" si="245"/>
        <v>1</v>
      </c>
      <c r="AV197" s="13">
        <f t="shared" si="236"/>
        <v>30.642278000000001</v>
      </c>
      <c r="AW197" s="13">
        <f t="shared" si="237"/>
        <v>30.642278000000001</v>
      </c>
      <c r="AX197" s="13">
        <f t="shared" si="238"/>
        <v>30.642278000000001</v>
      </c>
      <c r="AY197" s="13">
        <v>810.81634199999996</v>
      </c>
      <c r="AZ197" s="13">
        <f t="shared" si="239"/>
        <v>0</v>
      </c>
      <c r="BA197" s="13">
        <f t="shared" si="240"/>
        <v>0</v>
      </c>
      <c r="BB197" s="97">
        <f t="shared" si="241"/>
        <v>0</v>
      </c>
      <c r="BC197" s="499"/>
      <c r="BD197" s="499">
        <v>74.55</v>
      </c>
      <c r="BE197" s="499">
        <v>23.00938508064516</v>
      </c>
      <c r="BF197" s="499">
        <v>20.242967338709683</v>
      </c>
      <c r="BG197" s="499">
        <v>22.433116834235353</v>
      </c>
      <c r="BI197" s="499">
        <f t="shared" ref="BI197:BJ197" si="303">AS200</f>
        <v>369</v>
      </c>
      <c r="BJ197" s="499">
        <f t="shared" si="303"/>
        <v>3.696161</v>
      </c>
      <c r="BK197" s="5">
        <f t="shared" si="214"/>
        <v>0</v>
      </c>
      <c r="BL197" s="499">
        <f t="shared" si="215"/>
        <v>18.748661999999999</v>
      </c>
      <c r="BM197" s="499">
        <f t="shared" si="216"/>
        <v>725.39217399999995</v>
      </c>
      <c r="BO197" s="499">
        <f t="shared" si="217"/>
        <v>369</v>
      </c>
      <c r="BP197" s="499">
        <f t="shared" si="218"/>
        <v>3.696161</v>
      </c>
      <c r="BQ197" s="5">
        <f t="shared" ref="BQ197:BQ260" si="304">IF(BR197&gt;=24.4,1,0)</f>
        <v>0</v>
      </c>
      <c r="BR197" s="499">
        <f t="shared" si="219"/>
        <v>18.748661999999999</v>
      </c>
      <c r="BS197" s="499">
        <f t="shared" si="220"/>
        <v>725.39217399999995</v>
      </c>
      <c r="BU197" s="499">
        <f t="shared" si="221"/>
        <v>369</v>
      </c>
      <c r="BV197" s="499">
        <f t="shared" si="222"/>
        <v>3.696161</v>
      </c>
      <c r="BW197" s="5">
        <f t="shared" ref="BW197:BW260" si="305">IF(BX197&gt;=24.4,1,0)</f>
        <v>0</v>
      </c>
      <c r="BX197" s="499">
        <f t="shared" si="223"/>
        <v>18.748661999999999</v>
      </c>
      <c r="BY197" s="499">
        <f t="shared" si="224"/>
        <v>725.39217399999995</v>
      </c>
      <c r="CA197">
        <v>369</v>
      </c>
      <c r="CB197">
        <v>3.696161</v>
      </c>
      <c r="CC197">
        <v>0</v>
      </c>
      <c r="CD197">
        <v>18.748661999999999</v>
      </c>
      <c r="CE197">
        <v>725.39217399999995</v>
      </c>
      <c r="CG197" s="499">
        <f t="shared" si="225"/>
        <v>0</v>
      </c>
      <c r="CH197" s="499">
        <f t="shared" si="226"/>
        <v>0</v>
      </c>
      <c r="CI197" s="499">
        <f t="shared" si="227"/>
        <v>0</v>
      </c>
      <c r="CJ197" s="499">
        <f t="shared" si="228"/>
        <v>0</v>
      </c>
      <c r="CP197" s="499"/>
      <c r="CQ197" s="65">
        <f t="shared" si="230"/>
        <v>0.94766962178326863</v>
      </c>
      <c r="CR197" s="499">
        <f t="shared" si="231"/>
        <v>0.94766962178326863</v>
      </c>
      <c r="CS197" s="499">
        <f t="shared" si="232"/>
        <v>0.94766962178326863</v>
      </c>
      <c r="CT197" s="38">
        <f t="shared" si="233"/>
        <v>1</v>
      </c>
      <c r="CU197" s="498">
        <f t="shared" si="234"/>
        <v>1</v>
      </c>
    </row>
    <row r="198" spans="43:99">
      <c r="AQ198" s="499"/>
      <c r="AR198" s="228">
        <v>21.19923</v>
      </c>
      <c r="AS198" s="13">
        <v>73</v>
      </c>
      <c r="AT198" s="13">
        <v>3.6577440000000001</v>
      </c>
      <c r="AU198" s="13">
        <f t="shared" si="245"/>
        <v>0</v>
      </c>
      <c r="AV198" s="13">
        <f t="shared" si="236"/>
        <v>21.19923</v>
      </c>
      <c r="AW198" s="13">
        <f t="shared" si="237"/>
        <v>21.19923</v>
      </c>
      <c r="AX198" s="13">
        <f t="shared" si="238"/>
        <v>21.19923</v>
      </c>
      <c r="AY198" s="13">
        <v>999.30765099999996</v>
      </c>
      <c r="AZ198" s="13">
        <f t="shared" si="239"/>
        <v>0</v>
      </c>
      <c r="BA198" s="13">
        <f t="shared" si="240"/>
        <v>0</v>
      </c>
      <c r="BB198" s="97">
        <f t="shared" si="241"/>
        <v>0</v>
      </c>
      <c r="BC198" s="499"/>
      <c r="BD198" s="499">
        <v>74.349999999999994</v>
      </c>
      <c r="BE198" s="499">
        <v>22.920038104838699</v>
      </c>
      <c r="BF198" s="499">
        <v>20.29833427419355</v>
      </c>
      <c r="BG198" s="499">
        <v>22.356154390723447</v>
      </c>
      <c r="BI198" s="499">
        <f t="shared" ref="BI198:BJ198" si="306">AS201</f>
        <v>316</v>
      </c>
      <c r="BJ198" s="499">
        <f t="shared" si="306"/>
        <v>3.7090230000000002</v>
      </c>
      <c r="BK198" s="5">
        <f t="shared" ref="BK198:BK261" si="307">IF(BL198&gt;=24.4,1,0)</f>
        <v>0</v>
      </c>
      <c r="BL198" s="499">
        <f t="shared" ref="BL198:BL261" si="308">AR201</f>
        <v>22.525575</v>
      </c>
      <c r="BM198" s="499">
        <f t="shared" ref="BM198:BM261" si="309">AY201</f>
        <v>1001.5030829999999</v>
      </c>
      <c r="BO198" s="499">
        <f t="shared" ref="BO198:BO261" si="310">BI198</f>
        <v>316</v>
      </c>
      <c r="BP198" s="499">
        <f t="shared" ref="BP198:BP261" si="311">BJ198</f>
        <v>3.7090230000000002</v>
      </c>
      <c r="BQ198" s="5">
        <f t="shared" si="304"/>
        <v>0</v>
      </c>
      <c r="BR198" s="499">
        <f t="shared" ref="BR198:BR261" si="312">$BL198-AZ201</f>
        <v>22.525575</v>
      </c>
      <c r="BS198" s="499">
        <f t="shared" ref="BS198:BS261" si="313">BM198</f>
        <v>1001.5030829999999</v>
      </c>
      <c r="BU198" s="499">
        <f t="shared" ref="BU198:BU261" si="314">BI198</f>
        <v>316</v>
      </c>
      <c r="BV198" s="499">
        <f t="shared" ref="BV198:BV261" si="315">BJ198</f>
        <v>3.7090230000000002</v>
      </c>
      <c r="BW198" s="5">
        <f t="shared" si="305"/>
        <v>0</v>
      </c>
      <c r="BX198" s="499">
        <f t="shared" ref="BX198:BX261" si="316">$BL198-BA201</f>
        <v>22.525575</v>
      </c>
      <c r="BY198" s="499">
        <f t="shared" ref="BY198:BY261" si="317">BM198</f>
        <v>1001.5030829999999</v>
      </c>
      <c r="CA198">
        <v>316</v>
      </c>
      <c r="CB198">
        <v>3.7090230000000002</v>
      </c>
      <c r="CC198">
        <v>0</v>
      </c>
      <c r="CD198">
        <v>22.525575</v>
      </c>
      <c r="CE198">
        <v>1001.5030829999999</v>
      </c>
      <c r="CG198" s="499">
        <f t="shared" ref="CG198:CG261" si="318">BK198</f>
        <v>0</v>
      </c>
      <c r="CH198" s="499">
        <f t="shared" ref="CH198:CH261" si="319">BQ198</f>
        <v>0</v>
      </c>
      <c r="CI198" s="499">
        <f t="shared" ref="CI198:CI261" si="320">BW198</f>
        <v>0</v>
      </c>
      <c r="CJ198" s="499">
        <f t="shared" ref="CJ198:CJ261" si="321">CC198</f>
        <v>0</v>
      </c>
      <c r="CP198" s="499"/>
      <c r="CQ198" s="65">
        <f t="shared" si="230"/>
        <v>0.97884572501902478</v>
      </c>
      <c r="CR198" s="499">
        <f t="shared" si="231"/>
        <v>0.97884572501902478</v>
      </c>
      <c r="CS198" s="499">
        <f t="shared" si="232"/>
        <v>0.97884572501902478</v>
      </c>
      <c r="CT198" s="38">
        <f t="shared" si="233"/>
        <v>1</v>
      </c>
      <c r="CU198" s="498">
        <f t="shared" si="234"/>
        <v>1</v>
      </c>
    </row>
    <row r="199" spans="43:99">
      <c r="AQ199" s="499"/>
      <c r="AR199" s="228">
        <v>22.635006000000001</v>
      </c>
      <c r="AS199" s="13">
        <v>317</v>
      </c>
      <c r="AT199" s="13">
        <v>3.6614620000000002</v>
      </c>
      <c r="AU199" s="13">
        <f t="shared" si="245"/>
        <v>0</v>
      </c>
      <c r="AV199" s="13">
        <f t="shared" si="236"/>
        <v>22.635006000000001</v>
      </c>
      <c r="AW199" s="13">
        <f t="shared" si="237"/>
        <v>22.635006000000001</v>
      </c>
      <c r="AX199" s="13">
        <f t="shared" si="238"/>
        <v>22.635006000000001</v>
      </c>
      <c r="AY199" s="13">
        <v>1067.8776330000001</v>
      </c>
      <c r="AZ199" s="13">
        <f t="shared" si="239"/>
        <v>0</v>
      </c>
      <c r="BA199" s="13">
        <f t="shared" si="240"/>
        <v>0</v>
      </c>
      <c r="BB199" s="97">
        <f t="shared" si="241"/>
        <v>0</v>
      </c>
      <c r="BC199" s="499"/>
      <c r="BD199" s="499">
        <v>74.150000000000006</v>
      </c>
      <c r="BE199" s="499">
        <v>22.862246572580645</v>
      </c>
      <c r="BF199" s="499">
        <v>20.269567137096779</v>
      </c>
      <c r="BG199" s="499">
        <v>22.302794018484441</v>
      </c>
      <c r="BI199" s="499">
        <f t="shared" ref="BI199:BJ199" si="322">AS202</f>
        <v>419</v>
      </c>
      <c r="BJ199" s="499">
        <f t="shared" si="322"/>
        <v>3.7255539999999998</v>
      </c>
      <c r="BK199" s="5">
        <f t="shared" si="307"/>
        <v>0</v>
      </c>
      <c r="BL199" s="499">
        <f t="shared" si="308"/>
        <v>21.19923</v>
      </c>
      <c r="BM199" s="499">
        <f t="shared" si="309"/>
        <v>998.86918300000002</v>
      </c>
      <c r="BO199" s="499">
        <f t="shared" si="310"/>
        <v>419</v>
      </c>
      <c r="BP199" s="499">
        <f t="shared" si="311"/>
        <v>3.7255539999999998</v>
      </c>
      <c r="BQ199" s="5">
        <f t="shared" si="304"/>
        <v>0</v>
      </c>
      <c r="BR199" s="499">
        <f t="shared" si="312"/>
        <v>21.19923</v>
      </c>
      <c r="BS199" s="499">
        <f t="shared" si="313"/>
        <v>998.86918300000002</v>
      </c>
      <c r="BU199" s="499">
        <f t="shared" si="314"/>
        <v>419</v>
      </c>
      <c r="BV199" s="499">
        <f t="shared" si="315"/>
        <v>3.7255539999999998</v>
      </c>
      <c r="BW199" s="5">
        <f t="shared" si="305"/>
        <v>0</v>
      </c>
      <c r="BX199" s="499">
        <f t="shared" si="316"/>
        <v>21.19923</v>
      </c>
      <c r="BY199" s="499">
        <f t="shared" si="317"/>
        <v>998.86918300000002</v>
      </c>
      <c r="CA199">
        <v>419</v>
      </c>
      <c r="CB199">
        <v>3.7255539999999998</v>
      </c>
      <c r="CC199">
        <v>0</v>
      </c>
      <c r="CD199">
        <v>21.19923</v>
      </c>
      <c r="CE199">
        <v>998.86918300000002</v>
      </c>
      <c r="CG199" s="499">
        <f t="shared" si="318"/>
        <v>0</v>
      </c>
      <c r="CH199" s="499">
        <f t="shared" si="319"/>
        <v>0</v>
      </c>
      <c r="CI199" s="499">
        <f t="shared" si="320"/>
        <v>0</v>
      </c>
      <c r="CJ199" s="499">
        <f t="shared" si="321"/>
        <v>0</v>
      </c>
      <c r="CP199" s="499"/>
      <c r="CQ199" s="65">
        <f t="shared" ref="CQ199:CQ262" si="323">(97.886/(1+EXP(-((BL198-24.35322)/-0.5033))))/100</f>
        <v>0.95360740813831757</v>
      </c>
      <c r="CR199" s="499">
        <f t="shared" ref="CR199:CR262" si="324">(97.886/(1+EXP(-((BR198-24.35322)/-0.5033))))/100</f>
        <v>0.95360740813831757</v>
      </c>
      <c r="CS199" s="499">
        <f t="shared" ref="CS199:CS262" si="325">(97.886/(1+EXP(-((BX198-24.35322)/-0.5033))))/100</f>
        <v>0.95360740813831757</v>
      </c>
      <c r="CT199" s="38">
        <f t="shared" ref="CT199:CT262" si="326">CR199/CQ199</f>
        <v>1</v>
      </c>
      <c r="CU199" s="498">
        <f t="shared" ref="CU199:CU262" si="327">CS199/CQ199</f>
        <v>1</v>
      </c>
    </row>
    <row r="200" spans="43:99">
      <c r="AQ200" s="499"/>
      <c r="AR200" s="228">
        <v>18.748661999999999</v>
      </c>
      <c r="AS200" s="13">
        <v>369</v>
      </c>
      <c r="AT200" s="13">
        <v>3.696161</v>
      </c>
      <c r="AU200" s="13">
        <f t="shared" si="245"/>
        <v>0</v>
      </c>
      <c r="AV200" s="13">
        <f t="shared" si="236"/>
        <v>18.748661999999999</v>
      </c>
      <c r="AW200" s="13">
        <f t="shared" si="237"/>
        <v>18.748661999999999</v>
      </c>
      <c r="AX200" s="13">
        <f t="shared" si="238"/>
        <v>18.748661999999999</v>
      </c>
      <c r="AY200" s="13">
        <v>725.39217399999995</v>
      </c>
      <c r="AZ200" s="13">
        <f t="shared" si="239"/>
        <v>0</v>
      </c>
      <c r="BA200" s="13">
        <f t="shared" si="240"/>
        <v>0</v>
      </c>
      <c r="BB200" s="97">
        <f t="shared" si="241"/>
        <v>0</v>
      </c>
      <c r="BC200" s="499"/>
      <c r="BD200" s="499">
        <v>73.95</v>
      </c>
      <c r="BE200" s="499">
        <v>22.820174596774194</v>
      </c>
      <c r="BF200" s="499">
        <v>20.247524395161289</v>
      </c>
      <c r="BG200" s="499">
        <v>22.263728106831504</v>
      </c>
      <c r="BI200" s="499">
        <f t="shared" ref="BI200:BJ200" si="328">AS203</f>
        <v>20</v>
      </c>
      <c r="BJ200" s="499">
        <f t="shared" si="328"/>
        <v>3.7318310000000001</v>
      </c>
      <c r="BK200" s="5">
        <f t="shared" si="307"/>
        <v>0</v>
      </c>
      <c r="BL200" s="499">
        <f t="shared" si="308"/>
        <v>19.804286999999999</v>
      </c>
      <c r="BM200" s="499">
        <f t="shared" si="309"/>
        <v>1718.0663669999999</v>
      </c>
      <c r="BO200" s="499">
        <f t="shared" si="310"/>
        <v>20</v>
      </c>
      <c r="BP200" s="499">
        <f t="shared" si="311"/>
        <v>3.7318310000000001</v>
      </c>
      <c r="BQ200" s="5">
        <f t="shared" si="304"/>
        <v>0</v>
      </c>
      <c r="BR200" s="499">
        <f t="shared" si="312"/>
        <v>19.804286999999999</v>
      </c>
      <c r="BS200" s="499">
        <f t="shared" si="313"/>
        <v>1718.0663669999999</v>
      </c>
      <c r="BU200" s="499">
        <f t="shared" si="314"/>
        <v>20</v>
      </c>
      <c r="BV200" s="499">
        <f t="shared" si="315"/>
        <v>3.7318310000000001</v>
      </c>
      <c r="BW200" s="5">
        <f t="shared" si="305"/>
        <v>0</v>
      </c>
      <c r="BX200" s="499">
        <f t="shared" si="316"/>
        <v>19.804286999999999</v>
      </c>
      <c r="BY200" s="499">
        <f t="shared" si="317"/>
        <v>1718.0663669999999</v>
      </c>
      <c r="CA200">
        <v>20</v>
      </c>
      <c r="CB200">
        <v>3.7318310000000001</v>
      </c>
      <c r="CC200">
        <v>0</v>
      </c>
      <c r="CD200">
        <v>19.804286999999999</v>
      </c>
      <c r="CE200">
        <v>1718.0663669999999</v>
      </c>
      <c r="CG200" s="499">
        <f t="shared" si="318"/>
        <v>0</v>
      </c>
      <c r="CH200" s="499">
        <f t="shared" si="319"/>
        <v>0</v>
      </c>
      <c r="CI200" s="499">
        <f t="shared" si="320"/>
        <v>0</v>
      </c>
      <c r="CJ200" s="499">
        <f t="shared" si="321"/>
        <v>0</v>
      </c>
      <c r="CP200" s="499"/>
      <c r="CQ200" s="65">
        <f t="shared" si="323"/>
        <v>0.97700502449924442</v>
      </c>
      <c r="CR200" s="499">
        <f t="shared" si="324"/>
        <v>0.97700502449924442</v>
      </c>
      <c r="CS200" s="499">
        <f t="shared" si="325"/>
        <v>0.97700502449924442</v>
      </c>
      <c r="CT200" s="38">
        <f t="shared" si="326"/>
        <v>1</v>
      </c>
      <c r="CU200" s="498">
        <f t="shared" si="327"/>
        <v>1</v>
      </c>
    </row>
    <row r="201" spans="43:99">
      <c r="AQ201" s="499"/>
      <c r="AR201" s="228">
        <v>22.525575</v>
      </c>
      <c r="AS201" s="13">
        <v>316</v>
      </c>
      <c r="AT201" s="13">
        <v>3.7090230000000002</v>
      </c>
      <c r="AU201" s="13">
        <f t="shared" si="245"/>
        <v>0</v>
      </c>
      <c r="AV201" s="13">
        <f t="shared" ref="AV201:AV264" si="329">IF(ISERROR(VLOOKUP(AS201,B$3:AP$102,40,FALSE))=TRUE,AR201,VLOOKUP(AS201,B$3:AP$102,40,FALSE))</f>
        <v>22.525575</v>
      </c>
      <c r="AW201" s="13">
        <f t="shared" ref="AW201:AW264" si="330">IF(ISERROR(VLOOKUP(AS201,B$3:AP$102,39,FALSE))=TRUE,AR201,VLOOKUP(AS201,B$3:AP$102,39,FALSE))</f>
        <v>22.525575</v>
      </c>
      <c r="AX201" s="13">
        <f t="shared" ref="AX201:AX264" si="331">IF(ISERROR(VLOOKUP(AS201,B$3:AP$102,41,FALSE))=TRUE,AR201,VLOOKUP(AS201,B$3:AP$102,41,FALSE))</f>
        <v>22.525575</v>
      </c>
      <c r="AY201" s="13">
        <v>1001.5030829999999</v>
      </c>
      <c r="AZ201" s="13">
        <f t="shared" ref="AZ201:AZ264" si="332">IF($AV201=0,0,$AV201-AW201)</f>
        <v>0</v>
      </c>
      <c r="BA201" s="13">
        <f t="shared" ref="BA201:BA264" si="333">IF($AV201=0,0,$AV201-AX201)</f>
        <v>0</v>
      </c>
      <c r="BB201" s="97">
        <f t="shared" ref="BB201:BB264" si="334">IF(AV201=0,0,$AR201-AV201)</f>
        <v>0</v>
      </c>
      <c r="BC201" s="499"/>
      <c r="BD201" s="499">
        <v>73.75</v>
      </c>
      <c r="BE201" s="499">
        <v>22.793706048387094</v>
      </c>
      <c r="BF201" s="499">
        <v>20.222499798387094</v>
      </c>
      <c r="BG201" s="499">
        <v>22.224126235151104</v>
      </c>
      <c r="BI201" s="499">
        <f t="shared" ref="BI201:BJ201" si="335">AS204</f>
        <v>69</v>
      </c>
      <c r="BJ201" s="499">
        <f t="shared" si="335"/>
        <v>3.7443610000000001</v>
      </c>
      <c r="BK201" s="5">
        <f t="shared" si="307"/>
        <v>0</v>
      </c>
      <c r="BL201" s="499">
        <f t="shared" si="308"/>
        <v>20.962327999999999</v>
      </c>
      <c r="BM201" s="499">
        <f t="shared" si="309"/>
        <v>964.64038600000003</v>
      </c>
      <c r="BO201" s="499">
        <f t="shared" si="310"/>
        <v>69</v>
      </c>
      <c r="BP201" s="499">
        <f t="shared" si="311"/>
        <v>3.7443610000000001</v>
      </c>
      <c r="BQ201" s="5">
        <f t="shared" si="304"/>
        <v>0</v>
      </c>
      <c r="BR201" s="499">
        <f t="shared" si="312"/>
        <v>20.962327999999999</v>
      </c>
      <c r="BS201" s="499">
        <f t="shared" si="313"/>
        <v>964.64038600000003</v>
      </c>
      <c r="BU201" s="499">
        <f t="shared" si="314"/>
        <v>69</v>
      </c>
      <c r="BV201" s="499">
        <f t="shared" si="315"/>
        <v>3.7443610000000001</v>
      </c>
      <c r="BW201" s="5">
        <f t="shared" si="305"/>
        <v>0</v>
      </c>
      <c r="BX201" s="499">
        <f t="shared" si="316"/>
        <v>20.962327999999999</v>
      </c>
      <c r="BY201" s="499">
        <f t="shared" si="317"/>
        <v>964.64038600000003</v>
      </c>
      <c r="CA201">
        <v>69</v>
      </c>
      <c r="CB201">
        <v>3.7443610000000001</v>
      </c>
      <c r="CC201">
        <v>0</v>
      </c>
      <c r="CD201">
        <v>20.962327999999999</v>
      </c>
      <c r="CE201">
        <v>964.64038600000003</v>
      </c>
      <c r="CG201" s="499">
        <f t="shared" si="318"/>
        <v>0</v>
      </c>
      <c r="CH201" s="499">
        <f t="shared" si="319"/>
        <v>0</v>
      </c>
      <c r="CI201" s="499">
        <f t="shared" si="320"/>
        <v>0</v>
      </c>
      <c r="CJ201" s="499">
        <f t="shared" si="321"/>
        <v>0</v>
      </c>
      <c r="CP201" s="499"/>
      <c r="CQ201" s="65">
        <f t="shared" si="323"/>
        <v>0.97874374205997017</v>
      </c>
      <c r="CR201" s="499">
        <f t="shared" si="324"/>
        <v>0.97874374205997017</v>
      </c>
      <c r="CS201" s="499">
        <f t="shared" si="325"/>
        <v>0.97874374205997017</v>
      </c>
      <c r="CT201" s="38">
        <f t="shared" si="326"/>
        <v>1</v>
      </c>
      <c r="CU201" s="498">
        <f t="shared" si="327"/>
        <v>1</v>
      </c>
    </row>
    <row r="202" spans="43:99">
      <c r="AQ202" s="499"/>
      <c r="AR202" s="228">
        <v>21.19923</v>
      </c>
      <c r="AS202" s="13">
        <v>419</v>
      </c>
      <c r="AT202" s="13">
        <v>3.7255539999999998</v>
      </c>
      <c r="AU202" s="13">
        <f t="shared" si="245"/>
        <v>0</v>
      </c>
      <c r="AV202" s="13">
        <f t="shared" si="329"/>
        <v>21.19923</v>
      </c>
      <c r="AW202" s="13">
        <f t="shared" si="330"/>
        <v>21.19923</v>
      </c>
      <c r="AX202" s="13">
        <f t="shared" si="331"/>
        <v>21.19923</v>
      </c>
      <c r="AY202" s="13">
        <v>998.86918300000002</v>
      </c>
      <c r="AZ202" s="13">
        <f t="shared" si="332"/>
        <v>0</v>
      </c>
      <c r="BA202" s="13">
        <f t="shared" si="333"/>
        <v>0</v>
      </c>
      <c r="BB202" s="97">
        <f t="shared" si="334"/>
        <v>0</v>
      </c>
      <c r="BC202" s="499"/>
      <c r="BD202" s="499">
        <v>73.55</v>
      </c>
      <c r="BE202" s="499">
        <v>22.8050310483871</v>
      </c>
      <c r="BF202" s="499">
        <v>20.200232056451618</v>
      </c>
      <c r="BG202" s="499">
        <v>22.202851957532054</v>
      </c>
      <c r="BI202" s="499">
        <f t="shared" ref="BI202:BJ202" si="336">AS205</f>
        <v>66</v>
      </c>
      <c r="BJ202" s="499">
        <f t="shared" si="336"/>
        <v>3.75</v>
      </c>
      <c r="BK202" s="5">
        <f t="shared" si="307"/>
        <v>1</v>
      </c>
      <c r="BL202" s="499">
        <f t="shared" si="308"/>
        <v>29.151888</v>
      </c>
      <c r="BM202" s="499">
        <f t="shared" si="309"/>
        <v>1220.753907</v>
      </c>
      <c r="BO202" s="499">
        <f t="shared" si="310"/>
        <v>66</v>
      </c>
      <c r="BP202" s="499">
        <f t="shared" si="311"/>
        <v>3.75</v>
      </c>
      <c r="BQ202" s="5">
        <f t="shared" si="304"/>
        <v>1</v>
      </c>
      <c r="BR202" s="499">
        <f t="shared" si="312"/>
        <v>29.151888</v>
      </c>
      <c r="BS202" s="499">
        <f t="shared" si="313"/>
        <v>1220.753907</v>
      </c>
      <c r="BU202" s="499">
        <f t="shared" si="314"/>
        <v>66</v>
      </c>
      <c r="BV202" s="499">
        <f t="shared" si="315"/>
        <v>3.75</v>
      </c>
      <c r="BW202" s="5">
        <f t="shared" si="305"/>
        <v>1</v>
      </c>
      <c r="BX202" s="499">
        <f t="shared" si="316"/>
        <v>29.151888</v>
      </c>
      <c r="BY202" s="499">
        <f t="shared" si="317"/>
        <v>1220.753907</v>
      </c>
      <c r="CA202">
        <v>66</v>
      </c>
      <c r="CB202">
        <v>3.75</v>
      </c>
      <c r="CC202">
        <v>1</v>
      </c>
      <c r="CD202">
        <v>29.151888</v>
      </c>
      <c r="CE202">
        <v>1220.753907</v>
      </c>
      <c r="CG202" s="499">
        <f t="shared" si="318"/>
        <v>1</v>
      </c>
      <c r="CH202" s="499">
        <f t="shared" si="319"/>
        <v>1</v>
      </c>
      <c r="CI202" s="499">
        <f t="shared" si="320"/>
        <v>1</v>
      </c>
      <c r="CJ202" s="499">
        <f t="shared" si="321"/>
        <v>1</v>
      </c>
      <c r="CP202" s="499"/>
      <c r="CQ202" s="65">
        <f t="shared" si="323"/>
        <v>0.97770061950666476</v>
      </c>
      <c r="CR202" s="499">
        <f t="shared" si="324"/>
        <v>0.97770061950666476</v>
      </c>
      <c r="CS202" s="499">
        <f t="shared" si="325"/>
        <v>0.97770061950666476</v>
      </c>
      <c r="CT202" s="38">
        <f t="shared" si="326"/>
        <v>1</v>
      </c>
      <c r="CU202" s="498">
        <f t="shared" si="327"/>
        <v>1</v>
      </c>
    </row>
    <row r="203" spans="43:99">
      <c r="AQ203" s="499"/>
      <c r="AR203" s="228">
        <v>19.804286999999999</v>
      </c>
      <c r="AS203" s="13">
        <v>20</v>
      </c>
      <c r="AT203" s="13">
        <v>3.7318310000000001</v>
      </c>
      <c r="AU203" s="13">
        <f t="shared" si="245"/>
        <v>0</v>
      </c>
      <c r="AV203" s="13">
        <f t="shared" si="329"/>
        <v>19.804286999999999</v>
      </c>
      <c r="AW203" s="13">
        <f t="shared" si="330"/>
        <v>19.804286999999999</v>
      </c>
      <c r="AX203" s="13">
        <f t="shared" si="331"/>
        <v>19.804286999999999</v>
      </c>
      <c r="AY203" s="13">
        <v>1718.0663669999999</v>
      </c>
      <c r="AZ203" s="13">
        <f t="shared" si="332"/>
        <v>0</v>
      </c>
      <c r="BA203" s="13">
        <f t="shared" si="333"/>
        <v>0</v>
      </c>
      <c r="BB203" s="97">
        <f t="shared" si="334"/>
        <v>0</v>
      </c>
      <c r="BC203" s="499"/>
      <c r="BD203" s="499">
        <v>73.349999999999994</v>
      </c>
      <c r="BE203" s="499">
        <v>22.846164717741932</v>
      </c>
      <c r="BF203" s="499">
        <v>20.179736491935486</v>
      </c>
      <c r="BG203" s="499">
        <v>22.203901991410262</v>
      </c>
      <c r="BI203" s="499">
        <f t="shared" ref="BI203:BJ203" si="337">AS206</f>
        <v>236</v>
      </c>
      <c r="BJ203" s="499">
        <f t="shared" si="337"/>
        <v>3.75</v>
      </c>
      <c r="BK203" s="5">
        <f t="shared" si="307"/>
        <v>1</v>
      </c>
      <c r="BL203" s="499">
        <f t="shared" si="308"/>
        <v>33.183086000000003</v>
      </c>
      <c r="BM203" s="499">
        <f t="shared" si="309"/>
        <v>999.37861199999998</v>
      </c>
      <c r="BO203" s="499">
        <f t="shared" si="310"/>
        <v>236</v>
      </c>
      <c r="BP203" s="499">
        <f t="shared" si="311"/>
        <v>3.75</v>
      </c>
      <c r="BQ203" s="5">
        <f t="shared" si="304"/>
        <v>1</v>
      </c>
      <c r="BR203" s="499">
        <f t="shared" si="312"/>
        <v>33.183086000000003</v>
      </c>
      <c r="BS203" s="499">
        <f t="shared" si="313"/>
        <v>999.37861199999998</v>
      </c>
      <c r="BU203" s="499">
        <f t="shared" si="314"/>
        <v>236</v>
      </c>
      <c r="BV203" s="499">
        <f t="shared" si="315"/>
        <v>3.75</v>
      </c>
      <c r="BW203" s="5">
        <f t="shared" si="305"/>
        <v>1</v>
      </c>
      <c r="BX203" s="499">
        <f t="shared" si="316"/>
        <v>33.183086000000003</v>
      </c>
      <c r="BY203" s="499">
        <f t="shared" si="317"/>
        <v>999.37861199999998</v>
      </c>
      <c r="CA203">
        <v>236</v>
      </c>
      <c r="CB203">
        <v>3.75</v>
      </c>
      <c r="CC203">
        <v>1</v>
      </c>
      <c r="CD203">
        <v>33.183086000000003</v>
      </c>
      <c r="CE203">
        <v>999.37861199999998</v>
      </c>
      <c r="CG203" s="499">
        <f t="shared" si="318"/>
        <v>1</v>
      </c>
      <c r="CH203" s="499">
        <f t="shared" si="319"/>
        <v>1</v>
      </c>
      <c r="CI203" s="499">
        <f t="shared" si="320"/>
        <v>1</v>
      </c>
      <c r="CJ203" s="499">
        <f t="shared" si="321"/>
        <v>1</v>
      </c>
      <c r="CP203" s="499"/>
      <c r="CQ203" s="65">
        <f t="shared" si="323"/>
        <v>7.0786102532467173E-5</v>
      </c>
      <c r="CR203" s="499">
        <f t="shared" si="324"/>
        <v>7.0786102532467173E-5</v>
      </c>
      <c r="CS203" s="499">
        <f t="shared" si="325"/>
        <v>7.0786102532467173E-5</v>
      </c>
      <c r="CT203" s="38">
        <f t="shared" si="326"/>
        <v>1</v>
      </c>
      <c r="CU203" s="498">
        <f t="shared" si="327"/>
        <v>1</v>
      </c>
    </row>
    <row r="204" spans="43:99">
      <c r="AQ204" s="499"/>
      <c r="AR204" s="228">
        <v>20.962327999999999</v>
      </c>
      <c r="AS204" s="13">
        <v>69</v>
      </c>
      <c r="AT204" s="13">
        <v>3.7443610000000001</v>
      </c>
      <c r="AU204" s="13">
        <f t="shared" ref="AU204:AU267" si="338">IF(AW204&gt;=24.4,1,0)</f>
        <v>0</v>
      </c>
      <c r="AV204" s="13">
        <f t="shared" si="329"/>
        <v>20.962327999999999</v>
      </c>
      <c r="AW204" s="13">
        <f t="shared" si="330"/>
        <v>20.962327999999999</v>
      </c>
      <c r="AX204" s="13">
        <f t="shared" si="331"/>
        <v>20.962327999999999</v>
      </c>
      <c r="AY204" s="13">
        <v>964.64038600000003</v>
      </c>
      <c r="AZ204" s="13">
        <f t="shared" si="332"/>
        <v>0</v>
      </c>
      <c r="BA204" s="13">
        <f t="shared" si="333"/>
        <v>0</v>
      </c>
      <c r="BB204" s="97">
        <f t="shared" si="334"/>
        <v>0</v>
      </c>
      <c r="BC204" s="499"/>
      <c r="BD204" s="499">
        <v>73.150000000000006</v>
      </c>
      <c r="BE204" s="499">
        <v>22.914507459677417</v>
      </c>
      <c r="BF204" s="499">
        <v>20.156894556451615</v>
      </c>
      <c r="BG204" s="499">
        <v>22.227619250682231</v>
      </c>
      <c r="BI204" s="499">
        <f t="shared" ref="BI204:BJ204" si="339">AS207</f>
        <v>255</v>
      </c>
      <c r="BJ204" s="499">
        <f t="shared" si="339"/>
        <v>3.7593839999999998</v>
      </c>
      <c r="BK204" s="5">
        <f t="shared" si="307"/>
        <v>1</v>
      </c>
      <c r="BL204" s="499">
        <f t="shared" si="308"/>
        <v>31.612562</v>
      </c>
      <c r="BM204" s="499">
        <f t="shared" si="309"/>
        <v>1017.1126410000001</v>
      </c>
      <c r="BO204" s="499">
        <f t="shared" si="310"/>
        <v>255</v>
      </c>
      <c r="BP204" s="499">
        <f t="shared" si="311"/>
        <v>3.7593839999999998</v>
      </c>
      <c r="BQ204" s="5">
        <f t="shared" si="304"/>
        <v>1</v>
      </c>
      <c r="BR204" s="499">
        <f t="shared" si="312"/>
        <v>31.612562</v>
      </c>
      <c r="BS204" s="499">
        <f t="shared" si="313"/>
        <v>1017.1126410000001</v>
      </c>
      <c r="BU204" s="499">
        <f t="shared" si="314"/>
        <v>255</v>
      </c>
      <c r="BV204" s="499">
        <f t="shared" si="315"/>
        <v>3.7593839999999998</v>
      </c>
      <c r="BW204" s="5">
        <f t="shared" si="305"/>
        <v>1</v>
      </c>
      <c r="BX204" s="499">
        <f t="shared" si="316"/>
        <v>31.612562</v>
      </c>
      <c r="BY204" s="499">
        <f t="shared" si="317"/>
        <v>1017.1126410000001</v>
      </c>
      <c r="CA204">
        <v>255</v>
      </c>
      <c r="CB204">
        <v>3.7593839999999998</v>
      </c>
      <c r="CC204">
        <v>1</v>
      </c>
      <c r="CD204">
        <v>31.612562</v>
      </c>
      <c r="CE204">
        <v>1017.1126410000001</v>
      </c>
      <c r="CG204" s="499">
        <f t="shared" si="318"/>
        <v>1</v>
      </c>
      <c r="CH204" s="499">
        <f t="shared" si="319"/>
        <v>1</v>
      </c>
      <c r="CI204" s="499">
        <f t="shared" si="320"/>
        <v>1</v>
      </c>
      <c r="CJ204" s="499">
        <f t="shared" si="321"/>
        <v>1</v>
      </c>
      <c r="CP204" s="499"/>
      <c r="CQ204" s="65">
        <f t="shared" si="323"/>
        <v>2.3522494598351488E-8</v>
      </c>
      <c r="CR204" s="499">
        <f t="shared" si="324"/>
        <v>2.3522494598351488E-8</v>
      </c>
      <c r="CS204" s="499">
        <f t="shared" si="325"/>
        <v>2.3522494598351488E-8</v>
      </c>
      <c r="CT204" s="38">
        <f t="shared" si="326"/>
        <v>1</v>
      </c>
      <c r="CU204" s="498">
        <f t="shared" si="327"/>
        <v>1</v>
      </c>
    </row>
    <row r="205" spans="43:99">
      <c r="AQ205" s="499"/>
      <c r="AR205" s="228">
        <v>29.151888</v>
      </c>
      <c r="AS205" s="13">
        <v>66</v>
      </c>
      <c r="AT205" s="13">
        <v>3.75</v>
      </c>
      <c r="AU205" s="13">
        <f t="shared" si="338"/>
        <v>1</v>
      </c>
      <c r="AV205" s="13">
        <f t="shared" si="329"/>
        <v>29.151888</v>
      </c>
      <c r="AW205" s="13">
        <f t="shared" si="330"/>
        <v>29.151888</v>
      </c>
      <c r="AX205" s="13">
        <f t="shared" si="331"/>
        <v>29.151888</v>
      </c>
      <c r="AY205" s="13">
        <v>1220.753907</v>
      </c>
      <c r="AZ205" s="13">
        <f t="shared" si="332"/>
        <v>0</v>
      </c>
      <c r="BA205" s="13">
        <f t="shared" si="333"/>
        <v>0</v>
      </c>
      <c r="BB205" s="97">
        <f t="shared" si="334"/>
        <v>0</v>
      </c>
      <c r="BC205" s="499"/>
      <c r="BD205" s="499">
        <v>72.95</v>
      </c>
      <c r="BE205" s="499">
        <v>23.004490927419351</v>
      </c>
      <c r="BF205" s="499">
        <v>20.133007661290325</v>
      </c>
      <c r="BG205" s="499">
        <v>22.273935061185892</v>
      </c>
      <c r="BI205" s="499">
        <f t="shared" ref="BI205:BJ205" si="340">AS208</f>
        <v>21</v>
      </c>
      <c r="BJ205" s="499">
        <f t="shared" si="340"/>
        <v>3.77569</v>
      </c>
      <c r="BK205" s="5">
        <f t="shared" si="307"/>
        <v>0</v>
      </c>
      <c r="BL205" s="499">
        <f t="shared" si="308"/>
        <v>18.001528</v>
      </c>
      <c r="BM205" s="499">
        <f t="shared" si="309"/>
        <v>1215.7603770000001</v>
      </c>
      <c r="BO205" s="499">
        <f t="shared" si="310"/>
        <v>21</v>
      </c>
      <c r="BP205" s="499">
        <f t="shared" si="311"/>
        <v>3.77569</v>
      </c>
      <c r="BQ205" s="5">
        <f t="shared" si="304"/>
        <v>0</v>
      </c>
      <c r="BR205" s="499">
        <f t="shared" si="312"/>
        <v>18.001528</v>
      </c>
      <c r="BS205" s="499">
        <f t="shared" si="313"/>
        <v>1215.7603770000001</v>
      </c>
      <c r="BU205" s="499">
        <f t="shared" si="314"/>
        <v>21</v>
      </c>
      <c r="BV205" s="499">
        <f t="shared" si="315"/>
        <v>3.77569</v>
      </c>
      <c r="BW205" s="5">
        <f t="shared" si="305"/>
        <v>0</v>
      </c>
      <c r="BX205" s="499">
        <f t="shared" si="316"/>
        <v>18.001528</v>
      </c>
      <c r="BY205" s="499">
        <f t="shared" si="317"/>
        <v>1215.7603770000001</v>
      </c>
      <c r="CA205">
        <v>21</v>
      </c>
      <c r="CB205">
        <v>3.77569</v>
      </c>
      <c r="CC205">
        <v>0</v>
      </c>
      <c r="CD205">
        <v>18.001528</v>
      </c>
      <c r="CE205">
        <v>1215.7603770000001</v>
      </c>
      <c r="CG205" s="499">
        <f t="shared" si="318"/>
        <v>0</v>
      </c>
      <c r="CH205" s="499">
        <f t="shared" si="319"/>
        <v>0</v>
      </c>
      <c r="CI205" s="499">
        <f t="shared" si="320"/>
        <v>0</v>
      </c>
      <c r="CJ205" s="499">
        <f t="shared" si="321"/>
        <v>0</v>
      </c>
      <c r="CP205" s="499"/>
      <c r="CQ205" s="65">
        <f t="shared" si="323"/>
        <v>5.3294043834426263E-7</v>
      </c>
      <c r="CR205" s="499">
        <f t="shared" si="324"/>
        <v>5.3294043834426263E-7</v>
      </c>
      <c r="CS205" s="499">
        <f t="shared" si="325"/>
        <v>5.3294043834426263E-7</v>
      </c>
      <c r="CT205" s="38">
        <f t="shared" si="326"/>
        <v>1</v>
      </c>
      <c r="CU205" s="498">
        <f t="shared" si="327"/>
        <v>1</v>
      </c>
    </row>
    <row r="206" spans="43:99">
      <c r="AQ206" s="499"/>
      <c r="AR206" s="228">
        <v>33.183086000000003</v>
      </c>
      <c r="AS206" s="13">
        <v>236</v>
      </c>
      <c r="AT206" s="13">
        <v>3.75</v>
      </c>
      <c r="AU206" s="13">
        <f t="shared" si="338"/>
        <v>1</v>
      </c>
      <c r="AV206" s="13">
        <f t="shared" si="329"/>
        <v>33.183086000000003</v>
      </c>
      <c r="AW206" s="13">
        <f t="shared" si="330"/>
        <v>33.183086000000003</v>
      </c>
      <c r="AX206" s="13">
        <f t="shared" si="331"/>
        <v>33.183086000000003</v>
      </c>
      <c r="AY206" s="13">
        <v>999.37861199999998</v>
      </c>
      <c r="AZ206" s="13">
        <f t="shared" si="332"/>
        <v>0</v>
      </c>
      <c r="BA206" s="13">
        <f t="shared" si="333"/>
        <v>0</v>
      </c>
      <c r="BB206" s="97">
        <f t="shared" si="334"/>
        <v>0</v>
      </c>
      <c r="BC206" s="499"/>
      <c r="BD206" s="499">
        <v>72.75</v>
      </c>
      <c r="BE206" s="499">
        <v>23.077240322580646</v>
      </c>
      <c r="BF206" s="499">
        <v>20.142496370967738</v>
      </c>
      <c r="BG206" s="499">
        <v>22.316783626103479</v>
      </c>
      <c r="BI206" s="499">
        <f t="shared" ref="BI206:BJ206" si="341">AS209</f>
        <v>375</v>
      </c>
      <c r="BJ206" s="499">
        <f t="shared" si="341"/>
        <v>3.8054109999999999</v>
      </c>
      <c r="BK206" s="5">
        <f t="shared" si="307"/>
        <v>0</v>
      </c>
      <c r="BL206" s="499">
        <f t="shared" si="308"/>
        <v>18.374124999999999</v>
      </c>
      <c r="BM206" s="499">
        <f t="shared" si="309"/>
        <v>1002.610735</v>
      </c>
      <c r="BO206" s="499">
        <f t="shared" si="310"/>
        <v>375</v>
      </c>
      <c r="BP206" s="499">
        <f t="shared" si="311"/>
        <v>3.8054109999999999</v>
      </c>
      <c r="BQ206" s="5">
        <f t="shared" si="304"/>
        <v>0</v>
      </c>
      <c r="BR206" s="499">
        <f t="shared" si="312"/>
        <v>18.374124999999999</v>
      </c>
      <c r="BS206" s="499">
        <f t="shared" si="313"/>
        <v>1002.610735</v>
      </c>
      <c r="BU206" s="499">
        <f t="shared" si="314"/>
        <v>375</v>
      </c>
      <c r="BV206" s="499">
        <f t="shared" si="315"/>
        <v>3.8054109999999999</v>
      </c>
      <c r="BW206" s="5">
        <f t="shared" si="305"/>
        <v>0</v>
      </c>
      <c r="BX206" s="499">
        <f t="shared" si="316"/>
        <v>18.374124999999999</v>
      </c>
      <c r="BY206" s="499">
        <f t="shared" si="317"/>
        <v>1002.610735</v>
      </c>
      <c r="CA206">
        <v>375</v>
      </c>
      <c r="CB206">
        <v>3.8054109999999999</v>
      </c>
      <c r="CC206">
        <v>0</v>
      </c>
      <c r="CD206">
        <v>18.374124999999999</v>
      </c>
      <c r="CE206">
        <v>1002.610735</v>
      </c>
      <c r="CG206" s="499">
        <f t="shared" si="318"/>
        <v>0</v>
      </c>
      <c r="CH206" s="499">
        <f t="shared" si="319"/>
        <v>0</v>
      </c>
      <c r="CI206" s="499">
        <f t="shared" si="320"/>
        <v>0</v>
      </c>
      <c r="CJ206" s="499">
        <f t="shared" si="321"/>
        <v>0</v>
      </c>
      <c r="CP206" s="499"/>
      <c r="CQ206" s="65">
        <f t="shared" si="323"/>
        <v>0.97885676493439822</v>
      </c>
      <c r="CR206" s="499">
        <f t="shared" si="324"/>
        <v>0.97885676493439822</v>
      </c>
      <c r="CS206" s="499">
        <f t="shared" si="325"/>
        <v>0.97885676493439822</v>
      </c>
      <c r="CT206" s="38">
        <f t="shared" si="326"/>
        <v>1</v>
      </c>
      <c r="CU206" s="498">
        <f t="shared" si="327"/>
        <v>1</v>
      </c>
    </row>
    <row r="207" spans="43:99">
      <c r="AQ207" s="499"/>
      <c r="AR207" s="228">
        <v>31.612562</v>
      </c>
      <c r="AS207" s="13">
        <v>255</v>
      </c>
      <c r="AT207" s="13">
        <v>3.7593839999999998</v>
      </c>
      <c r="AU207" s="13">
        <f t="shared" si="338"/>
        <v>1</v>
      </c>
      <c r="AV207" s="13">
        <f t="shared" si="329"/>
        <v>31.612562</v>
      </c>
      <c r="AW207" s="13">
        <f t="shared" si="330"/>
        <v>31.612562</v>
      </c>
      <c r="AX207" s="13">
        <f t="shared" si="331"/>
        <v>31.612562</v>
      </c>
      <c r="AY207" s="13">
        <v>1017.1126410000001</v>
      </c>
      <c r="AZ207" s="13">
        <f t="shared" si="332"/>
        <v>0</v>
      </c>
      <c r="BA207" s="13">
        <f t="shared" si="333"/>
        <v>0</v>
      </c>
      <c r="BB207" s="97">
        <f t="shared" si="334"/>
        <v>0</v>
      </c>
      <c r="BC207" s="499"/>
      <c r="BD207" s="499">
        <v>72.55</v>
      </c>
      <c r="BE207" s="499">
        <v>23.15815725806452</v>
      </c>
      <c r="BF207" s="499">
        <v>20.148198387096773</v>
      </c>
      <c r="BG207" s="499">
        <v>22.373431768141025</v>
      </c>
      <c r="BI207" s="499">
        <f t="shared" ref="BI207:BJ207" si="342">AS210</f>
        <v>265</v>
      </c>
      <c r="BJ207" s="499">
        <f t="shared" si="342"/>
        <v>3.814927</v>
      </c>
      <c r="BK207" s="5">
        <f t="shared" si="307"/>
        <v>0</v>
      </c>
      <c r="BL207" s="499">
        <f t="shared" si="308"/>
        <v>23.686240999999999</v>
      </c>
      <c r="BM207" s="499">
        <f t="shared" si="309"/>
        <v>924.003649</v>
      </c>
      <c r="BO207" s="499">
        <f t="shared" si="310"/>
        <v>265</v>
      </c>
      <c r="BP207" s="499">
        <f t="shared" si="311"/>
        <v>3.814927</v>
      </c>
      <c r="BQ207" s="5">
        <f t="shared" si="304"/>
        <v>0</v>
      </c>
      <c r="BR207" s="499">
        <f t="shared" si="312"/>
        <v>23.686240999999999</v>
      </c>
      <c r="BS207" s="499">
        <f t="shared" si="313"/>
        <v>924.003649</v>
      </c>
      <c r="BU207" s="499">
        <f t="shared" si="314"/>
        <v>265</v>
      </c>
      <c r="BV207" s="499">
        <f t="shared" si="315"/>
        <v>3.814927</v>
      </c>
      <c r="BW207" s="5">
        <f t="shared" si="305"/>
        <v>0</v>
      </c>
      <c r="BX207" s="499">
        <f t="shared" si="316"/>
        <v>23.686240999999999</v>
      </c>
      <c r="BY207" s="499">
        <f t="shared" si="317"/>
        <v>924.003649</v>
      </c>
      <c r="CA207">
        <v>265</v>
      </c>
      <c r="CB207">
        <v>3.814927</v>
      </c>
      <c r="CC207">
        <v>0</v>
      </c>
      <c r="CD207">
        <v>23.686240999999999</v>
      </c>
      <c r="CE207">
        <v>924.003649</v>
      </c>
      <c r="CG207" s="499">
        <f t="shared" si="318"/>
        <v>0</v>
      </c>
      <c r="CH207" s="499">
        <f t="shared" si="319"/>
        <v>0</v>
      </c>
      <c r="CI207" s="499">
        <f t="shared" si="320"/>
        <v>0</v>
      </c>
      <c r="CJ207" s="499">
        <f t="shared" si="321"/>
        <v>0</v>
      </c>
      <c r="CP207" s="499"/>
      <c r="CQ207" s="65">
        <f t="shared" si="323"/>
        <v>0.97885321744720311</v>
      </c>
      <c r="CR207" s="499">
        <f t="shared" si="324"/>
        <v>0.97885321744720311</v>
      </c>
      <c r="CS207" s="499">
        <f t="shared" si="325"/>
        <v>0.97885321744720311</v>
      </c>
      <c r="CT207" s="38">
        <f t="shared" si="326"/>
        <v>1</v>
      </c>
      <c r="CU207" s="498">
        <f t="shared" si="327"/>
        <v>1</v>
      </c>
    </row>
    <row r="208" spans="43:99">
      <c r="AQ208" s="499"/>
      <c r="AR208" s="228">
        <v>18.001528</v>
      </c>
      <c r="AS208" s="13">
        <v>21</v>
      </c>
      <c r="AT208" s="13">
        <v>3.77569</v>
      </c>
      <c r="AU208" s="13">
        <f t="shared" si="338"/>
        <v>0</v>
      </c>
      <c r="AV208" s="13">
        <f t="shared" si="329"/>
        <v>18.001528</v>
      </c>
      <c r="AW208" s="13">
        <f t="shared" si="330"/>
        <v>18.001528</v>
      </c>
      <c r="AX208" s="13">
        <f t="shared" si="331"/>
        <v>18.001528</v>
      </c>
      <c r="AY208" s="13">
        <v>1215.7603770000001</v>
      </c>
      <c r="AZ208" s="13">
        <f t="shared" si="332"/>
        <v>0</v>
      </c>
      <c r="BA208" s="13">
        <f t="shared" si="333"/>
        <v>0</v>
      </c>
      <c r="BB208" s="97">
        <f t="shared" si="334"/>
        <v>0</v>
      </c>
      <c r="BC208" s="499"/>
      <c r="BD208" s="499">
        <v>72.349999999999994</v>
      </c>
      <c r="BE208" s="499">
        <v>23.240812096774192</v>
      </c>
      <c r="BF208" s="499">
        <v>20.141169758064507</v>
      </c>
      <c r="BG208" s="499">
        <v>22.435786079661174</v>
      </c>
      <c r="BI208" s="499">
        <f t="shared" ref="BI208:BJ208" si="343">AS211</f>
        <v>466</v>
      </c>
      <c r="BJ208" s="499">
        <f t="shared" si="343"/>
        <v>3.821787</v>
      </c>
      <c r="BK208" s="5">
        <f t="shared" si="307"/>
        <v>0</v>
      </c>
      <c r="BL208" s="499">
        <f t="shared" si="308"/>
        <v>20.730675999999999</v>
      </c>
      <c r="BM208" s="499">
        <f t="shared" si="309"/>
        <v>1420.9143759999999</v>
      </c>
      <c r="BO208" s="499">
        <f t="shared" si="310"/>
        <v>466</v>
      </c>
      <c r="BP208" s="499">
        <f t="shared" si="311"/>
        <v>3.821787</v>
      </c>
      <c r="BQ208" s="5">
        <f t="shared" si="304"/>
        <v>0</v>
      </c>
      <c r="BR208" s="499">
        <f t="shared" si="312"/>
        <v>20.730675999999999</v>
      </c>
      <c r="BS208" s="499">
        <f t="shared" si="313"/>
        <v>1420.9143759999999</v>
      </c>
      <c r="BU208" s="499">
        <f t="shared" si="314"/>
        <v>466</v>
      </c>
      <c r="BV208" s="499">
        <f t="shared" si="315"/>
        <v>3.821787</v>
      </c>
      <c r="BW208" s="5">
        <f t="shared" si="305"/>
        <v>0</v>
      </c>
      <c r="BX208" s="499">
        <f t="shared" si="316"/>
        <v>20.730675999999999</v>
      </c>
      <c r="BY208" s="499">
        <f t="shared" si="317"/>
        <v>1420.9143759999999</v>
      </c>
      <c r="CA208">
        <v>466</v>
      </c>
      <c r="CB208">
        <v>3.821787</v>
      </c>
      <c r="CC208">
        <v>0</v>
      </c>
      <c r="CD208">
        <v>20.730675999999999</v>
      </c>
      <c r="CE208">
        <v>1420.9143759999999</v>
      </c>
      <c r="CG208" s="499">
        <f t="shared" si="318"/>
        <v>0</v>
      </c>
      <c r="CH208" s="499">
        <f t="shared" si="319"/>
        <v>0</v>
      </c>
      <c r="CI208" s="499">
        <f t="shared" si="320"/>
        <v>0</v>
      </c>
      <c r="CJ208" s="499">
        <f t="shared" si="321"/>
        <v>0</v>
      </c>
      <c r="CP208" s="499"/>
      <c r="CQ208" s="65">
        <f t="shared" si="323"/>
        <v>0.77334587114407594</v>
      </c>
      <c r="CR208" s="499">
        <f t="shared" si="324"/>
        <v>0.77334587114407594</v>
      </c>
      <c r="CS208" s="499">
        <f t="shared" si="325"/>
        <v>0.77334587114407594</v>
      </c>
      <c r="CT208" s="38">
        <f t="shared" si="326"/>
        <v>1</v>
      </c>
      <c r="CU208" s="498">
        <f t="shared" si="327"/>
        <v>1</v>
      </c>
    </row>
    <row r="209" spans="43:99">
      <c r="AQ209" s="499"/>
      <c r="AR209" s="228">
        <v>18.374124999999999</v>
      </c>
      <c r="AS209" s="13">
        <v>375</v>
      </c>
      <c r="AT209" s="13">
        <v>3.8054109999999999</v>
      </c>
      <c r="AU209" s="13">
        <f t="shared" si="338"/>
        <v>0</v>
      </c>
      <c r="AV209" s="13">
        <f t="shared" si="329"/>
        <v>18.374124999999999</v>
      </c>
      <c r="AW209" s="13">
        <f t="shared" si="330"/>
        <v>18.374124999999999</v>
      </c>
      <c r="AX209" s="13">
        <f t="shared" si="331"/>
        <v>18.374124999999999</v>
      </c>
      <c r="AY209" s="13">
        <v>1002.610735</v>
      </c>
      <c r="AZ209" s="13">
        <f t="shared" si="332"/>
        <v>0</v>
      </c>
      <c r="BA209" s="13">
        <f t="shared" si="333"/>
        <v>0</v>
      </c>
      <c r="BB209" s="97">
        <f t="shared" si="334"/>
        <v>0</v>
      </c>
      <c r="BC209" s="499"/>
      <c r="BD209" s="499">
        <v>72.150000000000006</v>
      </c>
      <c r="BE209" s="499">
        <v>23.300157862903227</v>
      </c>
      <c r="BF209" s="499">
        <v>20.144821572580639</v>
      </c>
      <c r="BG209" s="499">
        <v>22.483064425027472</v>
      </c>
      <c r="BI209" s="499">
        <f t="shared" ref="BI209:BJ209" si="344">AS212</f>
        <v>453</v>
      </c>
      <c r="BJ209" s="499">
        <f t="shared" si="344"/>
        <v>3.8286570000000002</v>
      </c>
      <c r="BK209" s="5">
        <f t="shared" si="307"/>
        <v>0</v>
      </c>
      <c r="BL209" s="499">
        <f t="shared" si="308"/>
        <v>21.19923</v>
      </c>
      <c r="BM209" s="499">
        <f t="shared" si="309"/>
        <v>999.17672300000004</v>
      </c>
      <c r="BO209" s="499">
        <f t="shared" si="310"/>
        <v>453</v>
      </c>
      <c r="BP209" s="499">
        <f t="shared" si="311"/>
        <v>3.8286570000000002</v>
      </c>
      <c r="BQ209" s="5">
        <f t="shared" si="304"/>
        <v>0</v>
      </c>
      <c r="BR209" s="499">
        <f t="shared" si="312"/>
        <v>21.19923</v>
      </c>
      <c r="BS209" s="499">
        <f t="shared" si="313"/>
        <v>999.17672300000004</v>
      </c>
      <c r="BU209" s="499">
        <f t="shared" si="314"/>
        <v>453</v>
      </c>
      <c r="BV209" s="499">
        <f t="shared" si="315"/>
        <v>3.8286570000000002</v>
      </c>
      <c r="BW209" s="5">
        <f t="shared" si="305"/>
        <v>0</v>
      </c>
      <c r="BX209" s="499">
        <f t="shared" si="316"/>
        <v>21.19923</v>
      </c>
      <c r="BY209" s="499">
        <f t="shared" si="317"/>
        <v>999.17672300000004</v>
      </c>
      <c r="CA209">
        <v>453</v>
      </c>
      <c r="CB209">
        <v>3.8286570000000002</v>
      </c>
      <c r="CC209">
        <v>0</v>
      </c>
      <c r="CD209">
        <v>21.19923</v>
      </c>
      <c r="CE209">
        <v>999.17672300000004</v>
      </c>
      <c r="CG209" s="499">
        <f t="shared" si="318"/>
        <v>0</v>
      </c>
      <c r="CH209" s="499">
        <f t="shared" si="319"/>
        <v>0</v>
      </c>
      <c r="CI209" s="499">
        <f t="shared" si="320"/>
        <v>0</v>
      </c>
      <c r="CJ209" s="499">
        <f t="shared" si="321"/>
        <v>0</v>
      </c>
      <c r="CP209" s="499"/>
      <c r="CQ209" s="65">
        <f t="shared" si="323"/>
        <v>0.97812797706137455</v>
      </c>
      <c r="CR209" s="499">
        <f t="shared" si="324"/>
        <v>0.97812797706137455</v>
      </c>
      <c r="CS209" s="499">
        <f t="shared" si="325"/>
        <v>0.97812797706137455</v>
      </c>
      <c r="CT209" s="38">
        <f t="shared" si="326"/>
        <v>1</v>
      </c>
      <c r="CU209" s="498">
        <f t="shared" si="327"/>
        <v>1</v>
      </c>
    </row>
    <row r="210" spans="43:99">
      <c r="AQ210" s="499"/>
      <c r="AR210" s="228">
        <v>23.686240999999999</v>
      </c>
      <c r="AS210" s="13">
        <v>265</v>
      </c>
      <c r="AT210" s="13">
        <v>3.814927</v>
      </c>
      <c r="AU210" s="13">
        <f t="shared" si="338"/>
        <v>0</v>
      </c>
      <c r="AV210" s="13">
        <f t="shared" si="329"/>
        <v>23.686240999999999</v>
      </c>
      <c r="AW210" s="13">
        <f t="shared" si="330"/>
        <v>23.686240999999999</v>
      </c>
      <c r="AX210" s="13">
        <f t="shared" si="331"/>
        <v>23.686240999999999</v>
      </c>
      <c r="AY210" s="13">
        <v>924.003649</v>
      </c>
      <c r="AZ210" s="13">
        <f t="shared" si="332"/>
        <v>0</v>
      </c>
      <c r="BA210" s="13">
        <f t="shared" si="333"/>
        <v>0</v>
      </c>
      <c r="BB210" s="97">
        <f t="shared" si="334"/>
        <v>0</v>
      </c>
      <c r="BC210" s="499"/>
      <c r="BD210" s="499">
        <v>71.95</v>
      </c>
      <c r="BE210" s="499">
        <v>23.382078629032261</v>
      </c>
      <c r="BF210" s="499">
        <v>20.152791733870959</v>
      </c>
      <c r="BG210" s="499">
        <v>22.551170049125457</v>
      </c>
      <c r="BI210" s="499">
        <f t="shared" ref="BI210:BJ210" si="345">AS213</f>
        <v>356</v>
      </c>
      <c r="BJ210" s="499">
        <f t="shared" si="345"/>
        <v>3.828694</v>
      </c>
      <c r="BK210" s="5">
        <f t="shared" si="307"/>
        <v>0</v>
      </c>
      <c r="BL210" s="499">
        <f t="shared" si="308"/>
        <v>19.679237000000001</v>
      </c>
      <c r="BM210" s="499">
        <f t="shared" si="309"/>
        <v>1006.3376960000001</v>
      </c>
      <c r="BO210" s="499">
        <f t="shared" si="310"/>
        <v>356</v>
      </c>
      <c r="BP210" s="499">
        <f t="shared" si="311"/>
        <v>3.828694</v>
      </c>
      <c r="BQ210" s="5">
        <f t="shared" si="304"/>
        <v>0</v>
      </c>
      <c r="BR210" s="499">
        <f t="shared" si="312"/>
        <v>19.679237000000001</v>
      </c>
      <c r="BS210" s="499">
        <f t="shared" si="313"/>
        <v>1006.3376960000001</v>
      </c>
      <c r="BU210" s="499">
        <f t="shared" si="314"/>
        <v>356</v>
      </c>
      <c r="BV210" s="499">
        <f t="shared" si="315"/>
        <v>3.828694</v>
      </c>
      <c r="BW210" s="5">
        <f t="shared" si="305"/>
        <v>0</v>
      </c>
      <c r="BX210" s="499">
        <f t="shared" si="316"/>
        <v>19.679237000000001</v>
      </c>
      <c r="BY210" s="499">
        <f t="shared" si="317"/>
        <v>1006.3376960000001</v>
      </c>
      <c r="CA210">
        <v>356</v>
      </c>
      <c r="CB210">
        <v>3.828694</v>
      </c>
      <c r="CC210">
        <v>0</v>
      </c>
      <c r="CD210">
        <v>19.679237000000001</v>
      </c>
      <c r="CE210">
        <v>1006.3376960000001</v>
      </c>
      <c r="CG210" s="499">
        <f t="shared" si="318"/>
        <v>0</v>
      </c>
      <c r="CH210" s="499">
        <f t="shared" si="319"/>
        <v>0</v>
      </c>
      <c r="CI210" s="499">
        <f t="shared" si="320"/>
        <v>0</v>
      </c>
      <c r="CJ210" s="499">
        <f t="shared" si="321"/>
        <v>0</v>
      </c>
      <c r="CP210" s="499"/>
      <c r="CQ210" s="65">
        <f t="shared" si="323"/>
        <v>0.97700502449924442</v>
      </c>
      <c r="CR210" s="499">
        <f t="shared" si="324"/>
        <v>0.97700502449924442</v>
      </c>
      <c r="CS210" s="499">
        <f t="shared" si="325"/>
        <v>0.97700502449924442</v>
      </c>
      <c r="CT210" s="38">
        <f t="shared" si="326"/>
        <v>1</v>
      </c>
      <c r="CU210" s="498">
        <f t="shared" si="327"/>
        <v>1</v>
      </c>
    </row>
    <row r="211" spans="43:99">
      <c r="AQ211" s="499"/>
      <c r="AR211" s="228">
        <v>20.730675999999999</v>
      </c>
      <c r="AS211" s="13">
        <v>466</v>
      </c>
      <c r="AT211" s="13">
        <v>3.821787</v>
      </c>
      <c r="AU211" s="13">
        <f t="shared" si="338"/>
        <v>0</v>
      </c>
      <c r="AV211" s="13">
        <f t="shared" si="329"/>
        <v>20.730675999999999</v>
      </c>
      <c r="AW211" s="13">
        <f t="shared" si="330"/>
        <v>20.730675999999999</v>
      </c>
      <c r="AX211" s="13">
        <f t="shared" si="331"/>
        <v>20.730675999999999</v>
      </c>
      <c r="AY211" s="13">
        <v>1420.9143759999999</v>
      </c>
      <c r="AZ211" s="13">
        <f t="shared" si="332"/>
        <v>0</v>
      </c>
      <c r="BA211" s="13">
        <f t="shared" si="333"/>
        <v>0</v>
      </c>
      <c r="BB211" s="97">
        <f t="shared" si="334"/>
        <v>0</v>
      </c>
      <c r="BC211" s="499"/>
      <c r="BD211" s="499">
        <v>71.75</v>
      </c>
      <c r="BE211" s="499">
        <v>23.464393951612902</v>
      </c>
      <c r="BF211" s="499">
        <v>20.139340725806456</v>
      </c>
      <c r="BG211" s="499">
        <v>22.621331877243595</v>
      </c>
      <c r="BI211" s="499">
        <f t="shared" ref="BI211:BJ211" si="346">AS214</f>
        <v>5</v>
      </c>
      <c r="BJ211" s="499">
        <f t="shared" si="346"/>
        <v>3.8345600000000002</v>
      </c>
      <c r="BK211" s="5">
        <f t="shared" si="307"/>
        <v>0</v>
      </c>
      <c r="BL211" s="499">
        <f t="shared" si="308"/>
        <v>22.672266</v>
      </c>
      <c r="BM211" s="499">
        <f t="shared" si="309"/>
        <v>1001.2406590000001</v>
      </c>
      <c r="BO211" s="499">
        <f t="shared" si="310"/>
        <v>5</v>
      </c>
      <c r="BP211" s="499">
        <f t="shared" si="311"/>
        <v>3.8345600000000002</v>
      </c>
      <c r="BQ211" s="5">
        <f t="shared" si="304"/>
        <v>0</v>
      </c>
      <c r="BR211" s="499">
        <f t="shared" si="312"/>
        <v>22.672266</v>
      </c>
      <c r="BS211" s="499">
        <f t="shared" si="313"/>
        <v>1001.2406590000001</v>
      </c>
      <c r="BU211" s="499">
        <f t="shared" si="314"/>
        <v>5</v>
      </c>
      <c r="BV211" s="499">
        <f t="shared" si="315"/>
        <v>3.8345600000000002</v>
      </c>
      <c r="BW211" s="5">
        <f t="shared" si="305"/>
        <v>0</v>
      </c>
      <c r="BX211" s="499">
        <f t="shared" si="316"/>
        <v>22.672266</v>
      </c>
      <c r="BY211" s="499">
        <f t="shared" si="317"/>
        <v>1001.2406590000001</v>
      </c>
      <c r="CA211">
        <v>5</v>
      </c>
      <c r="CB211">
        <v>3.8345600000000002</v>
      </c>
      <c r="CC211">
        <v>0</v>
      </c>
      <c r="CD211">
        <v>22.672266</v>
      </c>
      <c r="CE211">
        <v>1001.2406590000001</v>
      </c>
      <c r="CG211" s="499">
        <f t="shared" si="318"/>
        <v>0</v>
      </c>
      <c r="CH211" s="499">
        <f t="shared" si="319"/>
        <v>0</v>
      </c>
      <c r="CI211" s="499">
        <f t="shared" si="320"/>
        <v>0</v>
      </c>
      <c r="CJ211" s="499">
        <f t="shared" si="321"/>
        <v>0</v>
      </c>
      <c r="CP211" s="499"/>
      <c r="CQ211" s="65">
        <f t="shared" si="323"/>
        <v>0.97876931632881403</v>
      </c>
      <c r="CR211" s="499">
        <f t="shared" si="324"/>
        <v>0.97876931632881403</v>
      </c>
      <c r="CS211" s="499">
        <f t="shared" si="325"/>
        <v>0.97876931632881403</v>
      </c>
      <c r="CT211" s="38">
        <f t="shared" si="326"/>
        <v>1</v>
      </c>
      <c r="CU211" s="498">
        <f t="shared" si="327"/>
        <v>1</v>
      </c>
    </row>
    <row r="212" spans="43:99">
      <c r="AQ212" s="499"/>
      <c r="AR212" s="228">
        <v>21.19923</v>
      </c>
      <c r="AS212" s="13">
        <v>453</v>
      </c>
      <c r="AT212" s="13">
        <v>3.8286570000000002</v>
      </c>
      <c r="AU212" s="13">
        <f t="shared" si="338"/>
        <v>0</v>
      </c>
      <c r="AV212" s="13">
        <f t="shared" si="329"/>
        <v>21.19923</v>
      </c>
      <c r="AW212" s="13">
        <f t="shared" si="330"/>
        <v>21.19923</v>
      </c>
      <c r="AX212" s="13">
        <f t="shared" si="331"/>
        <v>21.19923</v>
      </c>
      <c r="AY212" s="13">
        <v>999.17672300000004</v>
      </c>
      <c r="AZ212" s="13">
        <f t="shared" si="332"/>
        <v>0</v>
      </c>
      <c r="BA212" s="13">
        <f t="shared" si="333"/>
        <v>0</v>
      </c>
      <c r="BB212" s="97">
        <f t="shared" si="334"/>
        <v>0</v>
      </c>
      <c r="BC212" s="499"/>
      <c r="BD212" s="499">
        <v>71.55</v>
      </c>
      <c r="BE212" s="499">
        <v>23.538823790322578</v>
      </c>
      <c r="BF212" s="499">
        <v>20.121217137096767</v>
      </c>
      <c r="BG212" s="499">
        <v>22.686356393708792</v>
      </c>
      <c r="BI212" s="499">
        <f t="shared" ref="BI212:BJ212" si="347">AS215</f>
        <v>220</v>
      </c>
      <c r="BJ212" s="499">
        <f t="shared" si="347"/>
        <v>3.8442059999999998</v>
      </c>
      <c r="BK212" s="5">
        <f t="shared" si="307"/>
        <v>0</v>
      </c>
      <c r="BL212" s="499">
        <f t="shared" si="308"/>
        <v>21.19923</v>
      </c>
      <c r="BM212" s="499">
        <f t="shared" si="309"/>
        <v>998.80291399999999</v>
      </c>
      <c r="BO212" s="499">
        <f t="shared" si="310"/>
        <v>220</v>
      </c>
      <c r="BP212" s="499">
        <f t="shared" si="311"/>
        <v>3.8442059999999998</v>
      </c>
      <c r="BQ212" s="5">
        <f t="shared" si="304"/>
        <v>0</v>
      </c>
      <c r="BR212" s="499">
        <f t="shared" si="312"/>
        <v>21.19923</v>
      </c>
      <c r="BS212" s="499">
        <f t="shared" si="313"/>
        <v>998.80291399999999</v>
      </c>
      <c r="BU212" s="499">
        <f t="shared" si="314"/>
        <v>220</v>
      </c>
      <c r="BV212" s="499">
        <f t="shared" si="315"/>
        <v>3.8442059999999998</v>
      </c>
      <c r="BW212" s="5">
        <f t="shared" si="305"/>
        <v>0</v>
      </c>
      <c r="BX212" s="499">
        <f t="shared" si="316"/>
        <v>21.19923</v>
      </c>
      <c r="BY212" s="499">
        <f t="shared" si="317"/>
        <v>998.80291399999999</v>
      </c>
      <c r="CA212">
        <v>220</v>
      </c>
      <c r="CB212">
        <v>3.8442059999999998</v>
      </c>
      <c r="CC212">
        <v>0</v>
      </c>
      <c r="CD212">
        <v>21.19923</v>
      </c>
      <c r="CE212">
        <v>998.80291399999999</v>
      </c>
      <c r="CG212" s="499">
        <f t="shared" si="318"/>
        <v>0</v>
      </c>
      <c r="CH212" s="499">
        <f t="shared" si="319"/>
        <v>0</v>
      </c>
      <c r="CI212" s="499">
        <f t="shared" si="320"/>
        <v>0</v>
      </c>
      <c r="CJ212" s="499">
        <f t="shared" si="321"/>
        <v>0</v>
      </c>
      <c r="CP212" s="499"/>
      <c r="CQ212" s="65">
        <f t="shared" si="323"/>
        <v>0.94535496941547947</v>
      </c>
      <c r="CR212" s="499">
        <f t="shared" si="324"/>
        <v>0.94535496941547947</v>
      </c>
      <c r="CS212" s="499">
        <f t="shared" si="325"/>
        <v>0.94535496941547947</v>
      </c>
      <c r="CT212" s="38">
        <f t="shared" si="326"/>
        <v>1</v>
      </c>
      <c r="CU212" s="498">
        <f t="shared" si="327"/>
        <v>1</v>
      </c>
    </row>
    <row r="213" spans="43:99">
      <c r="AQ213" s="499"/>
      <c r="AR213" s="228">
        <v>19.679237000000001</v>
      </c>
      <c r="AS213" s="13">
        <v>356</v>
      </c>
      <c r="AT213" s="13">
        <v>3.828694</v>
      </c>
      <c r="AU213" s="13">
        <f t="shared" si="338"/>
        <v>0</v>
      </c>
      <c r="AV213" s="13">
        <f t="shared" si="329"/>
        <v>19.679237000000001</v>
      </c>
      <c r="AW213" s="13">
        <f t="shared" si="330"/>
        <v>19.679237000000001</v>
      </c>
      <c r="AX213" s="13">
        <f t="shared" si="331"/>
        <v>19.679237000000001</v>
      </c>
      <c r="AY213" s="13">
        <v>1006.3376960000001</v>
      </c>
      <c r="AZ213" s="13">
        <f t="shared" si="332"/>
        <v>0</v>
      </c>
      <c r="BA213" s="13">
        <f t="shared" si="333"/>
        <v>0</v>
      </c>
      <c r="BB213" s="97">
        <f t="shared" si="334"/>
        <v>0</v>
      </c>
      <c r="BC213" s="499"/>
      <c r="BD213" s="499">
        <v>71.349999999999994</v>
      </c>
      <c r="BE213" s="499">
        <v>23.58945120967741</v>
      </c>
      <c r="BF213" s="499">
        <v>20.108490524193538</v>
      </c>
      <c r="BG213" s="499">
        <v>22.745339046034797</v>
      </c>
      <c r="BI213" s="499">
        <f t="shared" ref="BI213:BJ213" si="348">AS216</f>
        <v>105</v>
      </c>
      <c r="BJ213" s="499">
        <f t="shared" si="348"/>
        <v>3.8477899999999998</v>
      </c>
      <c r="BK213" s="5">
        <f t="shared" si="307"/>
        <v>0</v>
      </c>
      <c r="BL213" s="499">
        <f t="shared" si="308"/>
        <v>19.804286999999999</v>
      </c>
      <c r="BM213" s="499">
        <f t="shared" si="309"/>
        <v>1001.1876549999999</v>
      </c>
      <c r="BO213" s="499">
        <f t="shared" si="310"/>
        <v>105</v>
      </c>
      <c r="BP213" s="499">
        <f t="shared" si="311"/>
        <v>3.8477899999999998</v>
      </c>
      <c r="BQ213" s="5">
        <f t="shared" si="304"/>
        <v>0</v>
      </c>
      <c r="BR213" s="499">
        <f t="shared" si="312"/>
        <v>19.804286999999999</v>
      </c>
      <c r="BS213" s="499">
        <f t="shared" si="313"/>
        <v>1001.1876549999999</v>
      </c>
      <c r="BU213" s="499">
        <f t="shared" si="314"/>
        <v>105</v>
      </c>
      <c r="BV213" s="499">
        <f t="shared" si="315"/>
        <v>3.8477899999999998</v>
      </c>
      <c r="BW213" s="5">
        <f t="shared" si="305"/>
        <v>0</v>
      </c>
      <c r="BX213" s="499">
        <f t="shared" si="316"/>
        <v>19.804286999999999</v>
      </c>
      <c r="BY213" s="499">
        <f t="shared" si="317"/>
        <v>1001.1876549999999</v>
      </c>
      <c r="CA213">
        <v>105</v>
      </c>
      <c r="CB213">
        <v>3.8477899999999998</v>
      </c>
      <c r="CC213">
        <v>0</v>
      </c>
      <c r="CD213">
        <v>19.804286999999999</v>
      </c>
      <c r="CE213">
        <v>1001.1876549999999</v>
      </c>
      <c r="CG213" s="499">
        <f t="shared" si="318"/>
        <v>0</v>
      </c>
      <c r="CH213" s="499">
        <f t="shared" si="319"/>
        <v>0</v>
      </c>
      <c r="CI213" s="499">
        <f t="shared" si="320"/>
        <v>0</v>
      </c>
      <c r="CJ213" s="499">
        <f t="shared" si="321"/>
        <v>0</v>
      </c>
      <c r="CP213" s="499"/>
      <c r="CQ213" s="65">
        <f t="shared" si="323"/>
        <v>0.97700502449924442</v>
      </c>
      <c r="CR213" s="499">
        <f t="shared" si="324"/>
        <v>0.97700502449924442</v>
      </c>
      <c r="CS213" s="499">
        <f t="shared" si="325"/>
        <v>0.97700502449924442</v>
      </c>
      <c r="CT213" s="38">
        <f t="shared" si="326"/>
        <v>1</v>
      </c>
      <c r="CU213" s="498">
        <f t="shared" si="327"/>
        <v>1</v>
      </c>
    </row>
    <row r="214" spans="43:99">
      <c r="AQ214" s="499"/>
      <c r="AR214" s="228">
        <v>22.672266</v>
      </c>
      <c r="AS214" s="13">
        <v>5</v>
      </c>
      <c r="AT214" s="13">
        <v>3.8345600000000002</v>
      </c>
      <c r="AU214" s="13">
        <f t="shared" si="338"/>
        <v>0</v>
      </c>
      <c r="AV214" s="13">
        <f t="shared" si="329"/>
        <v>22.672266</v>
      </c>
      <c r="AW214" s="13">
        <f t="shared" si="330"/>
        <v>22.672266</v>
      </c>
      <c r="AX214" s="13">
        <f t="shared" si="331"/>
        <v>22.672266</v>
      </c>
      <c r="AY214" s="13">
        <v>1001.2406590000001</v>
      </c>
      <c r="AZ214" s="13">
        <f t="shared" si="332"/>
        <v>0</v>
      </c>
      <c r="BA214" s="13">
        <f t="shared" si="333"/>
        <v>0</v>
      </c>
      <c r="BB214" s="97">
        <f t="shared" si="334"/>
        <v>0</v>
      </c>
      <c r="BC214" s="499"/>
      <c r="BD214" s="499">
        <v>71.150000000000006</v>
      </c>
      <c r="BE214" s="499">
        <v>23.448974596774192</v>
      </c>
      <c r="BF214" s="499">
        <v>20.079769758064522</v>
      </c>
      <c r="BG214" s="499">
        <v>22.723051470416671</v>
      </c>
      <c r="BI214" s="499">
        <f t="shared" ref="BI214:BJ214" si="349">AS217</f>
        <v>441</v>
      </c>
      <c r="BJ214" s="499">
        <f t="shared" si="349"/>
        <v>3.8606780000000001</v>
      </c>
      <c r="BK214" s="5">
        <f t="shared" si="307"/>
        <v>0</v>
      </c>
      <c r="BL214" s="499">
        <f t="shared" si="308"/>
        <v>17.294613999999999</v>
      </c>
      <c r="BM214" s="499">
        <f t="shared" si="309"/>
        <v>999.66837799999996</v>
      </c>
      <c r="BO214" s="499">
        <f t="shared" si="310"/>
        <v>441</v>
      </c>
      <c r="BP214" s="499">
        <f t="shared" si="311"/>
        <v>3.8606780000000001</v>
      </c>
      <c r="BQ214" s="5">
        <f t="shared" si="304"/>
        <v>0</v>
      </c>
      <c r="BR214" s="499">
        <f t="shared" si="312"/>
        <v>17.294613999999999</v>
      </c>
      <c r="BS214" s="499">
        <f t="shared" si="313"/>
        <v>999.66837799999996</v>
      </c>
      <c r="BU214" s="499">
        <f t="shared" si="314"/>
        <v>441</v>
      </c>
      <c r="BV214" s="499">
        <f t="shared" si="315"/>
        <v>3.8606780000000001</v>
      </c>
      <c r="BW214" s="5">
        <f t="shared" si="305"/>
        <v>0</v>
      </c>
      <c r="BX214" s="499">
        <f t="shared" si="316"/>
        <v>17.294613999999999</v>
      </c>
      <c r="BY214" s="499">
        <f t="shared" si="317"/>
        <v>999.66837799999996</v>
      </c>
      <c r="CA214">
        <v>441</v>
      </c>
      <c r="CB214">
        <v>3.8606780000000001</v>
      </c>
      <c r="CC214">
        <v>0</v>
      </c>
      <c r="CD214">
        <v>17.294613999999999</v>
      </c>
      <c r="CE214">
        <v>999.66837799999996</v>
      </c>
      <c r="CG214" s="499">
        <f t="shared" si="318"/>
        <v>0</v>
      </c>
      <c r="CH214" s="499">
        <f t="shared" si="319"/>
        <v>0</v>
      </c>
      <c r="CI214" s="499">
        <f t="shared" si="320"/>
        <v>0</v>
      </c>
      <c r="CJ214" s="499">
        <f t="shared" si="321"/>
        <v>0</v>
      </c>
      <c r="CP214" s="499"/>
      <c r="CQ214" s="65">
        <f t="shared" si="323"/>
        <v>0.97874374205997017</v>
      </c>
      <c r="CR214" s="499">
        <f t="shared" si="324"/>
        <v>0.97874374205997017</v>
      </c>
      <c r="CS214" s="499">
        <f t="shared" si="325"/>
        <v>0.97874374205997017</v>
      </c>
      <c r="CT214" s="38">
        <f t="shared" si="326"/>
        <v>1</v>
      </c>
      <c r="CU214" s="498">
        <f t="shared" si="327"/>
        <v>1</v>
      </c>
    </row>
    <row r="215" spans="43:99">
      <c r="AQ215" s="499"/>
      <c r="AR215" s="228">
        <v>21.19923</v>
      </c>
      <c r="AS215" s="13">
        <v>220</v>
      </c>
      <c r="AT215" s="13">
        <v>3.8442059999999998</v>
      </c>
      <c r="AU215" s="13">
        <f t="shared" si="338"/>
        <v>0</v>
      </c>
      <c r="AV215" s="13">
        <f t="shared" si="329"/>
        <v>21.19923</v>
      </c>
      <c r="AW215" s="13">
        <f t="shared" si="330"/>
        <v>21.19923</v>
      </c>
      <c r="AX215" s="13">
        <f t="shared" si="331"/>
        <v>21.19923</v>
      </c>
      <c r="AY215" s="13">
        <v>998.80291399999999</v>
      </c>
      <c r="AZ215" s="13">
        <f t="shared" si="332"/>
        <v>0</v>
      </c>
      <c r="BA215" s="13">
        <f t="shared" si="333"/>
        <v>0</v>
      </c>
      <c r="BB215" s="97">
        <f t="shared" si="334"/>
        <v>0</v>
      </c>
      <c r="BC215" s="499"/>
      <c r="BD215" s="499">
        <v>70.95</v>
      </c>
      <c r="BE215" s="499">
        <v>23.480902620967747</v>
      </c>
      <c r="BF215" s="499">
        <v>20.045974395161299</v>
      </c>
      <c r="BG215" s="499">
        <v>22.818824100471616</v>
      </c>
      <c r="BI215" s="499">
        <f t="shared" ref="BI215:BJ215" si="350">AS218</f>
        <v>205</v>
      </c>
      <c r="BJ215" s="499">
        <f t="shared" si="350"/>
        <v>3.8634900000000001</v>
      </c>
      <c r="BK215" s="5">
        <f t="shared" si="307"/>
        <v>0</v>
      </c>
      <c r="BL215" s="499">
        <f t="shared" si="308"/>
        <v>21.19923</v>
      </c>
      <c r="BM215" s="499">
        <f t="shared" si="309"/>
        <v>1000.355733</v>
      </c>
      <c r="BO215" s="499">
        <f t="shared" si="310"/>
        <v>205</v>
      </c>
      <c r="BP215" s="499">
        <f t="shared" si="311"/>
        <v>3.8634900000000001</v>
      </c>
      <c r="BQ215" s="5">
        <f t="shared" si="304"/>
        <v>0</v>
      </c>
      <c r="BR215" s="499">
        <f t="shared" si="312"/>
        <v>21.19923</v>
      </c>
      <c r="BS215" s="499">
        <f t="shared" si="313"/>
        <v>1000.355733</v>
      </c>
      <c r="BU215" s="499">
        <f t="shared" si="314"/>
        <v>205</v>
      </c>
      <c r="BV215" s="499">
        <f t="shared" si="315"/>
        <v>3.8634900000000001</v>
      </c>
      <c r="BW215" s="5">
        <f t="shared" si="305"/>
        <v>0</v>
      </c>
      <c r="BX215" s="499">
        <f t="shared" si="316"/>
        <v>21.19923</v>
      </c>
      <c r="BY215" s="499">
        <f t="shared" si="317"/>
        <v>1000.355733</v>
      </c>
      <c r="CA215">
        <v>205</v>
      </c>
      <c r="CB215">
        <v>3.8634900000000001</v>
      </c>
      <c r="CC215">
        <v>0</v>
      </c>
      <c r="CD215">
        <v>21.19923</v>
      </c>
      <c r="CE215">
        <v>1000.355733</v>
      </c>
      <c r="CG215" s="499">
        <f t="shared" si="318"/>
        <v>0</v>
      </c>
      <c r="CH215" s="499">
        <f t="shared" si="319"/>
        <v>0</v>
      </c>
      <c r="CI215" s="499">
        <f t="shared" si="320"/>
        <v>0</v>
      </c>
      <c r="CJ215" s="499">
        <f t="shared" si="321"/>
        <v>0</v>
      </c>
      <c r="CP215" s="499"/>
      <c r="CQ215" s="65">
        <f t="shared" si="323"/>
        <v>0.9788592058685025</v>
      </c>
      <c r="CR215" s="499">
        <f t="shared" si="324"/>
        <v>0.9788592058685025</v>
      </c>
      <c r="CS215" s="499">
        <f t="shared" si="325"/>
        <v>0.9788592058685025</v>
      </c>
      <c r="CT215" s="38">
        <f t="shared" si="326"/>
        <v>1</v>
      </c>
      <c r="CU215" s="498">
        <f t="shared" si="327"/>
        <v>1</v>
      </c>
    </row>
    <row r="216" spans="43:99">
      <c r="AQ216" s="499"/>
      <c r="AR216" s="228">
        <v>19.804286999999999</v>
      </c>
      <c r="AS216" s="13">
        <v>105</v>
      </c>
      <c r="AT216" s="13">
        <v>3.8477899999999998</v>
      </c>
      <c r="AU216" s="13">
        <f t="shared" si="338"/>
        <v>0</v>
      </c>
      <c r="AV216" s="13">
        <f t="shared" si="329"/>
        <v>19.804286999999999</v>
      </c>
      <c r="AW216" s="13">
        <f t="shared" si="330"/>
        <v>19.804286999999999</v>
      </c>
      <c r="AX216" s="13">
        <f t="shared" si="331"/>
        <v>19.804286999999999</v>
      </c>
      <c r="AY216" s="13">
        <v>1001.1876549999999</v>
      </c>
      <c r="AZ216" s="13">
        <f t="shared" si="332"/>
        <v>0</v>
      </c>
      <c r="BA216" s="13">
        <f t="shared" si="333"/>
        <v>0</v>
      </c>
      <c r="BB216" s="97">
        <f t="shared" si="334"/>
        <v>0</v>
      </c>
      <c r="BC216" s="499"/>
      <c r="BD216" s="499">
        <v>70.75</v>
      </c>
      <c r="BE216" s="499">
        <v>23.554030241935486</v>
      </c>
      <c r="BF216" s="499">
        <v>20.017681048387097</v>
      </c>
      <c r="BG216" s="499">
        <v>22.899930113553122</v>
      </c>
      <c r="BI216" s="499">
        <f t="shared" ref="BI216:BJ216" si="351">AS219</f>
        <v>487</v>
      </c>
      <c r="BJ216" s="499">
        <f t="shared" si="351"/>
        <v>3.8673449999999998</v>
      </c>
      <c r="BK216" s="5">
        <f t="shared" si="307"/>
        <v>0</v>
      </c>
      <c r="BL216" s="499">
        <f t="shared" si="308"/>
        <v>23.34141</v>
      </c>
      <c r="BM216" s="499">
        <f t="shared" si="309"/>
        <v>1001.554428</v>
      </c>
      <c r="BO216" s="499">
        <f t="shared" si="310"/>
        <v>487</v>
      </c>
      <c r="BP216" s="499">
        <f t="shared" si="311"/>
        <v>3.8673449999999998</v>
      </c>
      <c r="BQ216" s="5">
        <f t="shared" si="304"/>
        <v>0</v>
      </c>
      <c r="BR216" s="499">
        <f t="shared" si="312"/>
        <v>23.34141</v>
      </c>
      <c r="BS216" s="499">
        <f t="shared" si="313"/>
        <v>1001.554428</v>
      </c>
      <c r="BU216" s="499">
        <f t="shared" si="314"/>
        <v>487</v>
      </c>
      <c r="BV216" s="499">
        <f t="shared" si="315"/>
        <v>3.8673449999999998</v>
      </c>
      <c r="BW216" s="5">
        <f t="shared" si="305"/>
        <v>0</v>
      </c>
      <c r="BX216" s="499">
        <f t="shared" si="316"/>
        <v>23.34141</v>
      </c>
      <c r="BY216" s="499">
        <f t="shared" si="317"/>
        <v>1001.554428</v>
      </c>
      <c r="CA216">
        <v>487</v>
      </c>
      <c r="CB216">
        <v>3.8673449999999998</v>
      </c>
      <c r="CC216">
        <v>0</v>
      </c>
      <c r="CD216">
        <v>23.34141</v>
      </c>
      <c r="CE216">
        <v>1001.554428</v>
      </c>
      <c r="CG216" s="499">
        <f t="shared" si="318"/>
        <v>0</v>
      </c>
      <c r="CH216" s="499">
        <f t="shared" si="319"/>
        <v>0</v>
      </c>
      <c r="CI216" s="499">
        <f t="shared" si="320"/>
        <v>0</v>
      </c>
      <c r="CJ216" s="499">
        <f t="shared" si="321"/>
        <v>0</v>
      </c>
      <c r="CP216" s="499"/>
      <c r="CQ216" s="65">
        <f t="shared" si="323"/>
        <v>0.97700502449924442</v>
      </c>
      <c r="CR216" s="499">
        <f t="shared" si="324"/>
        <v>0.97700502449924442</v>
      </c>
      <c r="CS216" s="499">
        <f t="shared" si="325"/>
        <v>0.97700502449924442</v>
      </c>
      <c r="CT216" s="38">
        <f t="shared" si="326"/>
        <v>1</v>
      </c>
      <c r="CU216" s="498">
        <f t="shared" si="327"/>
        <v>1</v>
      </c>
    </row>
    <row r="217" spans="43:99">
      <c r="AQ217" s="499"/>
      <c r="AR217" s="228">
        <v>17.294613999999999</v>
      </c>
      <c r="AS217" s="13">
        <v>441</v>
      </c>
      <c r="AT217" s="13">
        <v>3.8606780000000001</v>
      </c>
      <c r="AU217" s="13">
        <f t="shared" si="338"/>
        <v>0</v>
      </c>
      <c r="AV217" s="13">
        <f t="shared" si="329"/>
        <v>17.294613999999999</v>
      </c>
      <c r="AW217" s="13">
        <f t="shared" si="330"/>
        <v>17.294613999999999</v>
      </c>
      <c r="AX217" s="13">
        <f t="shared" si="331"/>
        <v>17.294613999999999</v>
      </c>
      <c r="AY217" s="13">
        <v>999.66837799999996</v>
      </c>
      <c r="AZ217" s="13">
        <f t="shared" si="332"/>
        <v>0</v>
      </c>
      <c r="BA217" s="13">
        <f t="shared" si="333"/>
        <v>0</v>
      </c>
      <c r="BB217" s="97">
        <f t="shared" si="334"/>
        <v>0</v>
      </c>
      <c r="BC217" s="499"/>
      <c r="BD217" s="499">
        <v>70.55</v>
      </c>
      <c r="BE217" s="499">
        <v>23.390453024193544</v>
      </c>
      <c r="BF217" s="499">
        <v>19.989374596774194</v>
      </c>
      <c r="BG217" s="499">
        <v>22.673624441652933</v>
      </c>
      <c r="BI217" s="499">
        <f t="shared" ref="BI217:BJ217" si="352">AS220</f>
        <v>179</v>
      </c>
      <c r="BJ217" s="499">
        <f t="shared" si="352"/>
        <v>3.8673449999999998</v>
      </c>
      <c r="BK217" s="5">
        <f t="shared" si="307"/>
        <v>0</v>
      </c>
      <c r="BL217" s="499">
        <f t="shared" si="308"/>
        <v>23.34141</v>
      </c>
      <c r="BM217" s="499">
        <f t="shared" si="309"/>
        <v>1001.53026</v>
      </c>
      <c r="BO217" s="499">
        <f t="shared" si="310"/>
        <v>179</v>
      </c>
      <c r="BP217" s="499">
        <f t="shared" si="311"/>
        <v>3.8673449999999998</v>
      </c>
      <c r="BQ217" s="5">
        <f t="shared" si="304"/>
        <v>0</v>
      </c>
      <c r="BR217" s="499">
        <f t="shared" si="312"/>
        <v>23.34141</v>
      </c>
      <c r="BS217" s="499">
        <f t="shared" si="313"/>
        <v>1001.53026</v>
      </c>
      <c r="BU217" s="499">
        <f t="shared" si="314"/>
        <v>179</v>
      </c>
      <c r="BV217" s="499">
        <f t="shared" si="315"/>
        <v>3.8673449999999998</v>
      </c>
      <c r="BW217" s="5">
        <f t="shared" si="305"/>
        <v>0</v>
      </c>
      <c r="BX217" s="499">
        <f t="shared" si="316"/>
        <v>23.34141</v>
      </c>
      <c r="BY217" s="499">
        <f t="shared" si="317"/>
        <v>1001.53026</v>
      </c>
      <c r="CA217">
        <v>179</v>
      </c>
      <c r="CB217">
        <v>3.8673449999999998</v>
      </c>
      <c r="CC217">
        <v>0</v>
      </c>
      <c r="CD217">
        <v>23.34141</v>
      </c>
      <c r="CE217">
        <v>1001.53026</v>
      </c>
      <c r="CG217" s="499">
        <f t="shared" si="318"/>
        <v>0</v>
      </c>
      <c r="CH217" s="499">
        <f t="shared" si="319"/>
        <v>0</v>
      </c>
      <c r="CI217" s="499">
        <f t="shared" si="320"/>
        <v>0</v>
      </c>
      <c r="CJ217" s="499">
        <f t="shared" si="321"/>
        <v>0</v>
      </c>
      <c r="CP217" s="499"/>
      <c r="CQ217" s="65">
        <f t="shared" si="323"/>
        <v>0.86323672474527824</v>
      </c>
      <c r="CR217" s="499">
        <f t="shared" si="324"/>
        <v>0.86323672474527824</v>
      </c>
      <c r="CS217" s="499">
        <f t="shared" si="325"/>
        <v>0.86323672474527824</v>
      </c>
      <c r="CT217" s="38">
        <f t="shared" si="326"/>
        <v>1</v>
      </c>
      <c r="CU217" s="498">
        <f t="shared" si="327"/>
        <v>1</v>
      </c>
    </row>
    <row r="218" spans="43:99">
      <c r="AQ218" s="499"/>
      <c r="AR218" s="228">
        <v>21.19923</v>
      </c>
      <c r="AS218" s="13">
        <v>205</v>
      </c>
      <c r="AT218" s="13">
        <v>3.8634900000000001</v>
      </c>
      <c r="AU218" s="13">
        <f t="shared" si="338"/>
        <v>0</v>
      </c>
      <c r="AV218" s="13">
        <f t="shared" si="329"/>
        <v>21.19923</v>
      </c>
      <c r="AW218" s="13">
        <f t="shared" si="330"/>
        <v>21.19923</v>
      </c>
      <c r="AX218" s="13">
        <f t="shared" si="331"/>
        <v>21.19923</v>
      </c>
      <c r="AY218" s="13">
        <v>1000.355733</v>
      </c>
      <c r="AZ218" s="13">
        <f t="shared" si="332"/>
        <v>0</v>
      </c>
      <c r="BA218" s="13">
        <f t="shared" si="333"/>
        <v>0</v>
      </c>
      <c r="BB218" s="97">
        <f t="shared" si="334"/>
        <v>0</v>
      </c>
      <c r="BC218" s="499"/>
      <c r="BD218" s="499">
        <v>70.349999999999994</v>
      </c>
      <c r="BE218" s="499">
        <v>23.242528629032261</v>
      </c>
      <c r="BF218" s="499">
        <v>19.962362096774203</v>
      </c>
      <c r="BG218" s="499">
        <v>22.464167424839747</v>
      </c>
      <c r="BI218" s="499">
        <f t="shared" ref="BI218:BJ218" si="353">AS221</f>
        <v>36</v>
      </c>
      <c r="BJ218" s="499">
        <f t="shared" si="353"/>
        <v>3.8673449999999998</v>
      </c>
      <c r="BK218" s="5">
        <f t="shared" si="307"/>
        <v>0</v>
      </c>
      <c r="BL218" s="499">
        <f t="shared" si="308"/>
        <v>23.358263999999998</v>
      </c>
      <c r="BM218" s="499">
        <f t="shared" si="309"/>
        <v>1071.340375</v>
      </c>
      <c r="BO218" s="499">
        <f t="shared" si="310"/>
        <v>36</v>
      </c>
      <c r="BP218" s="499">
        <f t="shared" si="311"/>
        <v>3.8673449999999998</v>
      </c>
      <c r="BQ218" s="5">
        <f t="shared" si="304"/>
        <v>0</v>
      </c>
      <c r="BR218" s="499">
        <f t="shared" si="312"/>
        <v>23.358263999999998</v>
      </c>
      <c r="BS218" s="499">
        <f t="shared" si="313"/>
        <v>1071.340375</v>
      </c>
      <c r="BU218" s="499">
        <f t="shared" si="314"/>
        <v>36</v>
      </c>
      <c r="BV218" s="499">
        <f t="shared" si="315"/>
        <v>3.8673449999999998</v>
      </c>
      <c r="BW218" s="5">
        <f t="shared" si="305"/>
        <v>0</v>
      </c>
      <c r="BX218" s="499">
        <f t="shared" si="316"/>
        <v>23.358263999999998</v>
      </c>
      <c r="BY218" s="499">
        <f t="shared" si="317"/>
        <v>1071.340375</v>
      </c>
      <c r="CA218">
        <v>36</v>
      </c>
      <c r="CB218">
        <v>3.8673449999999998</v>
      </c>
      <c r="CC218">
        <v>0</v>
      </c>
      <c r="CD218">
        <v>23.358263999999998</v>
      </c>
      <c r="CE218">
        <v>1071.340375</v>
      </c>
      <c r="CG218" s="499">
        <f t="shared" si="318"/>
        <v>0</v>
      </c>
      <c r="CH218" s="499">
        <f t="shared" si="319"/>
        <v>0</v>
      </c>
      <c r="CI218" s="499">
        <f t="shared" si="320"/>
        <v>0</v>
      </c>
      <c r="CJ218" s="499">
        <f t="shared" si="321"/>
        <v>0</v>
      </c>
      <c r="CP218" s="499"/>
      <c r="CQ218" s="65">
        <f t="shared" si="323"/>
        <v>0.86323672474527824</v>
      </c>
      <c r="CR218" s="499">
        <f t="shared" si="324"/>
        <v>0.86323672474527824</v>
      </c>
      <c r="CS218" s="499">
        <f t="shared" si="325"/>
        <v>0.86323672474527824</v>
      </c>
      <c r="CT218" s="38">
        <f t="shared" si="326"/>
        <v>1</v>
      </c>
      <c r="CU218" s="498">
        <f t="shared" si="327"/>
        <v>1</v>
      </c>
    </row>
    <row r="219" spans="43:99">
      <c r="AQ219" s="499"/>
      <c r="AR219" s="228">
        <v>23.34141</v>
      </c>
      <c r="AS219" s="13">
        <v>487</v>
      </c>
      <c r="AT219" s="13">
        <v>3.8673449999999998</v>
      </c>
      <c r="AU219" s="13">
        <f t="shared" si="338"/>
        <v>0</v>
      </c>
      <c r="AV219" s="13">
        <f t="shared" si="329"/>
        <v>23.34141</v>
      </c>
      <c r="AW219" s="13">
        <f t="shared" si="330"/>
        <v>23.34141</v>
      </c>
      <c r="AX219" s="13">
        <f t="shared" si="331"/>
        <v>23.34141</v>
      </c>
      <c r="AY219" s="13">
        <v>1001.554428</v>
      </c>
      <c r="AZ219" s="13">
        <f t="shared" si="332"/>
        <v>0</v>
      </c>
      <c r="BA219" s="13">
        <f t="shared" si="333"/>
        <v>0</v>
      </c>
      <c r="BB219" s="97">
        <f t="shared" si="334"/>
        <v>0</v>
      </c>
      <c r="BC219" s="499"/>
      <c r="BD219" s="499">
        <v>70.150000000000006</v>
      </c>
      <c r="BE219" s="499">
        <v>23.081815927419353</v>
      </c>
      <c r="BF219" s="499">
        <v>19.932250403225808</v>
      </c>
      <c r="BG219" s="499">
        <v>22.422662963598896</v>
      </c>
      <c r="BI219" s="499">
        <f t="shared" ref="BI219:BJ219" si="354">AS222</f>
        <v>358</v>
      </c>
      <c r="BJ219" s="499">
        <f t="shared" si="354"/>
        <v>3.8800949999999998</v>
      </c>
      <c r="BK219" s="5">
        <f t="shared" si="307"/>
        <v>0</v>
      </c>
      <c r="BL219" s="499">
        <f t="shared" si="308"/>
        <v>19.804286999999999</v>
      </c>
      <c r="BM219" s="499">
        <f t="shared" si="309"/>
        <v>1000.897444</v>
      </c>
      <c r="BO219" s="499">
        <f t="shared" si="310"/>
        <v>358</v>
      </c>
      <c r="BP219" s="499">
        <f t="shared" si="311"/>
        <v>3.8800949999999998</v>
      </c>
      <c r="BQ219" s="5">
        <f t="shared" si="304"/>
        <v>0</v>
      </c>
      <c r="BR219" s="499">
        <f t="shared" si="312"/>
        <v>19.804286999999999</v>
      </c>
      <c r="BS219" s="499">
        <f t="shared" si="313"/>
        <v>1000.897444</v>
      </c>
      <c r="BU219" s="499">
        <f t="shared" si="314"/>
        <v>358</v>
      </c>
      <c r="BV219" s="499">
        <f t="shared" si="315"/>
        <v>3.8800949999999998</v>
      </c>
      <c r="BW219" s="5">
        <f t="shared" si="305"/>
        <v>0</v>
      </c>
      <c r="BX219" s="499">
        <f t="shared" si="316"/>
        <v>19.804286999999999</v>
      </c>
      <c r="BY219" s="499">
        <f t="shared" si="317"/>
        <v>1000.897444</v>
      </c>
      <c r="CA219">
        <v>358</v>
      </c>
      <c r="CB219">
        <v>3.8800949999999998</v>
      </c>
      <c r="CC219">
        <v>0</v>
      </c>
      <c r="CD219">
        <v>19.804286999999999</v>
      </c>
      <c r="CE219">
        <v>1000.897444</v>
      </c>
      <c r="CG219" s="499">
        <f t="shared" si="318"/>
        <v>0</v>
      </c>
      <c r="CH219" s="499">
        <f t="shared" si="319"/>
        <v>0</v>
      </c>
      <c r="CI219" s="499">
        <f t="shared" si="320"/>
        <v>0</v>
      </c>
      <c r="CJ219" s="499">
        <f t="shared" si="321"/>
        <v>0</v>
      </c>
      <c r="CP219" s="499"/>
      <c r="CQ219" s="65">
        <f t="shared" si="323"/>
        <v>0.85977829371095937</v>
      </c>
      <c r="CR219" s="499">
        <f t="shared" si="324"/>
        <v>0.85977829371095937</v>
      </c>
      <c r="CS219" s="499">
        <f t="shared" si="325"/>
        <v>0.85977829371095937</v>
      </c>
      <c r="CT219" s="38">
        <f t="shared" si="326"/>
        <v>1</v>
      </c>
      <c r="CU219" s="498">
        <f t="shared" si="327"/>
        <v>1</v>
      </c>
    </row>
    <row r="220" spans="43:99">
      <c r="AQ220" s="499"/>
      <c r="AR220" s="228">
        <v>23.34141</v>
      </c>
      <c r="AS220" s="13">
        <v>179</v>
      </c>
      <c r="AT220" s="13">
        <v>3.8673449999999998</v>
      </c>
      <c r="AU220" s="13">
        <f t="shared" si="338"/>
        <v>0</v>
      </c>
      <c r="AV220" s="13">
        <f t="shared" si="329"/>
        <v>23.34141</v>
      </c>
      <c r="AW220" s="13">
        <f t="shared" si="330"/>
        <v>23.34141</v>
      </c>
      <c r="AX220" s="13">
        <f t="shared" si="331"/>
        <v>23.34141</v>
      </c>
      <c r="AY220" s="13">
        <v>1001.53026</v>
      </c>
      <c r="AZ220" s="13">
        <f t="shared" si="332"/>
        <v>0</v>
      </c>
      <c r="BA220" s="13">
        <f t="shared" si="333"/>
        <v>0</v>
      </c>
      <c r="BB220" s="97">
        <f t="shared" si="334"/>
        <v>0</v>
      </c>
      <c r="BC220" s="499"/>
      <c r="BD220" s="499">
        <v>69.95</v>
      </c>
      <c r="BE220" s="499">
        <v>23.01338387096774</v>
      </c>
      <c r="BF220" s="499">
        <v>19.908298185483876</v>
      </c>
      <c r="BG220" s="499">
        <v>22.497993813195968</v>
      </c>
      <c r="BI220" s="499">
        <f t="shared" ref="BI220:BJ220" si="355">AS223</f>
        <v>384</v>
      </c>
      <c r="BJ220" s="499">
        <f t="shared" si="355"/>
        <v>3.886933</v>
      </c>
      <c r="BK220" s="5">
        <f t="shared" si="307"/>
        <v>0</v>
      </c>
      <c r="BL220" s="499">
        <f t="shared" si="308"/>
        <v>19.349513999999999</v>
      </c>
      <c r="BM220" s="499">
        <f t="shared" si="309"/>
        <v>1001.453532</v>
      </c>
      <c r="BO220" s="499">
        <f t="shared" si="310"/>
        <v>384</v>
      </c>
      <c r="BP220" s="499">
        <f t="shared" si="311"/>
        <v>3.886933</v>
      </c>
      <c r="BQ220" s="5">
        <f t="shared" si="304"/>
        <v>0</v>
      </c>
      <c r="BR220" s="499">
        <f t="shared" si="312"/>
        <v>19.349513999999999</v>
      </c>
      <c r="BS220" s="499">
        <f t="shared" si="313"/>
        <v>1001.453532</v>
      </c>
      <c r="BU220" s="499">
        <f t="shared" si="314"/>
        <v>384</v>
      </c>
      <c r="BV220" s="499">
        <f t="shared" si="315"/>
        <v>3.886933</v>
      </c>
      <c r="BW220" s="5">
        <f t="shared" si="305"/>
        <v>0</v>
      </c>
      <c r="BX220" s="499">
        <f t="shared" si="316"/>
        <v>19.349513999999999</v>
      </c>
      <c r="BY220" s="499">
        <f t="shared" si="317"/>
        <v>1001.453532</v>
      </c>
      <c r="CA220">
        <v>384</v>
      </c>
      <c r="CB220">
        <v>3.886933</v>
      </c>
      <c r="CC220">
        <v>0</v>
      </c>
      <c r="CD220">
        <v>19.349513999999999</v>
      </c>
      <c r="CE220">
        <v>1001.453532</v>
      </c>
      <c r="CG220" s="499">
        <f t="shared" si="318"/>
        <v>0</v>
      </c>
      <c r="CH220" s="499">
        <f t="shared" si="319"/>
        <v>0</v>
      </c>
      <c r="CI220" s="499">
        <f t="shared" si="320"/>
        <v>0</v>
      </c>
      <c r="CJ220" s="499">
        <f t="shared" si="321"/>
        <v>0</v>
      </c>
      <c r="CP220" s="499"/>
      <c r="CQ220" s="65">
        <f t="shared" si="323"/>
        <v>0.97874374205997017</v>
      </c>
      <c r="CR220" s="499">
        <f t="shared" si="324"/>
        <v>0.97874374205997017</v>
      </c>
      <c r="CS220" s="499">
        <f t="shared" si="325"/>
        <v>0.97874374205997017</v>
      </c>
      <c r="CT220" s="38">
        <f t="shared" si="326"/>
        <v>1</v>
      </c>
      <c r="CU220" s="498">
        <f t="shared" si="327"/>
        <v>1</v>
      </c>
    </row>
    <row r="221" spans="43:99">
      <c r="AQ221" s="499"/>
      <c r="AR221" s="228">
        <v>23.358263999999998</v>
      </c>
      <c r="AS221" s="13">
        <v>36</v>
      </c>
      <c r="AT221" s="13">
        <v>3.8673449999999998</v>
      </c>
      <c r="AU221" s="13">
        <f t="shared" si="338"/>
        <v>0</v>
      </c>
      <c r="AV221" s="13">
        <f t="shared" si="329"/>
        <v>23.358263999999998</v>
      </c>
      <c r="AW221" s="13">
        <f t="shared" si="330"/>
        <v>23.358263999999998</v>
      </c>
      <c r="AX221" s="13">
        <f t="shared" si="331"/>
        <v>23.358263999999998</v>
      </c>
      <c r="AY221" s="13">
        <v>1071.340375</v>
      </c>
      <c r="AZ221" s="13">
        <f t="shared" si="332"/>
        <v>0</v>
      </c>
      <c r="BA221" s="13">
        <f t="shared" si="333"/>
        <v>0</v>
      </c>
      <c r="BB221" s="97">
        <f t="shared" si="334"/>
        <v>0</v>
      </c>
      <c r="BC221" s="499"/>
      <c r="BD221" s="499">
        <v>69.75</v>
      </c>
      <c r="BE221" s="499">
        <v>23.153119959677426</v>
      </c>
      <c r="BF221" s="499">
        <v>19.878501008064507</v>
      </c>
      <c r="BG221" s="499">
        <v>22.704865017065018</v>
      </c>
      <c r="BI221" s="499">
        <f t="shared" ref="BI221:BJ221" si="356">AS224</f>
        <v>246</v>
      </c>
      <c r="BJ221" s="499">
        <f t="shared" si="356"/>
        <v>3.913456</v>
      </c>
      <c r="BK221" s="5">
        <f t="shared" si="307"/>
        <v>0</v>
      </c>
      <c r="BL221" s="499">
        <f t="shared" si="308"/>
        <v>17.775928</v>
      </c>
      <c r="BM221" s="499">
        <f t="shared" si="309"/>
        <v>986.229423</v>
      </c>
      <c r="BO221" s="499">
        <f t="shared" si="310"/>
        <v>246</v>
      </c>
      <c r="BP221" s="499">
        <f t="shared" si="311"/>
        <v>3.913456</v>
      </c>
      <c r="BQ221" s="5">
        <f t="shared" si="304"/>
        <v>0</v>
      </c>
      <c r="BR221" s="499">
        <f t="shared" si="312"/>
        <v>17.775928</v>
      </c>
      <c r="BS221" s="499">
        <f t="shared" si="313"/>
        <v>986.229423</v>
      </c>
      <c r="BU221" s="499">
        <f t="shared" si="314"/>
        <v>246</v>
      </c>
      <c r="BV221" s="499">
        <f t="shared" si="315"/>
        <v>3.913456</v>
      </c>
      <c r="BW221" s="5">
        <f t="shared" si="305"/>
        <v>0</v>
      </c>
      <c r="BX221" s="499">
        <f t="shared" si="316"/>
        <v>17.775928</v>
      </c>
      <c r="BY221" s="499">
        <f t="shared" si="317"/>
        <v>986.229423</v>
      </c>
      <c r="CA221">
        <v>246</v>
      </c>
      <c r="CB221">
        <v>3.913456</v>
      </c>
      <c r="CC221">
        <v>0</v>
      </c>
      <c r="CD221">
        <v>17.775928</v>
      </c>
      <c r="CE221">
        <v>986.229423</v>
      </c>
      <c r="CG221" s="499">
        <f t="shared" si="318"/>
        <v>0</v>
      </c>
      <c r="CH221" s="499">
        <f t="shared" si="319"/>
        <v>0</v>
      </c>
      <c r="CI221" s="499">
        <f t="shared" si="320"/>
        <v>0</v>
      </c>
      <c r="CJ221" s="499">
        <f t="shared" si="321"/>
        <v>0</v>
      </c>
      <c r="CP221" s="499"/>
      <c r="CQ221" s="65">
        <f t="shared" si="323"/>
        <v>0.97881289874513921</v>
      </c>
      <c r="CR221" s="499">
        <f t="shared" si="324"/>
        <v>0.97881289874513921</v>
      </c>
      <c r="CS221" s="499">
        <f t="shared" si="325"/>
        <v>0.97881289874513921</v>
      </c>
      <c r="CT221" s="38">
        <f t="shared" si="326"/>
        <v>1</v>
      </c>
      <c r="CU221" s="498">
        <f t="shared" si="327"/>
        <v>1</v>
      </c>
    </row>
    <row r="222" spans="43:99">
      <c r="AQ222" s="499"/>
      <c r="AR222" s="228">
        <v>19.804286999999999</v>
      </c>
      <c r="AS222" s="13">
        <v>358</v>
      </c>
      <c r="AT222" s="13">
        <v>3.8800949999999998</v>
      </c>
      <c r="AU222" s="13">
        <f t="shared" si="338"/>
        <v>0</v>
      </c>
      <c r="AV222" s="13">
        <f t="shared" si="329"/>
        <v>19.804286999999999</v>
      </c>
      <c r="AW222" s="13">
        <f t="shared" si="330"/>
        <v>19.804286999999999</v>
      </c>
      <c r="AX222" s="13">
        <f t="shared" si="331"/>
        <v>19.804286999999999</v>
      </c>
      <c r="AY222" s="13">
        <v>1000.897444</v>
      </c>
      <c r="AZ222" s="13">
        <f t="shared" si="332"/>
        <v>0</v>
      </c>
      <c r="BA222" s="13">
        <f t="shared" si="333"/>
        <v>0</v>
      </c>
      <c r="BB222" s="97">
        <f t="shared" si="334"/>
        <v>0</v>
      </c>
      <c r="BC222" s="499"/>
      <c r="BD222" s="499">
        <v>69.55</v>
      </c>
      <c r="BE222" s="499">
        <v>23.340708467741926</v>
      </c>
      <c r="BF222" s="499">
        <v>19.844864919354844</v>
      </c>
      <c r="BG222" s="499">
        <v>22.923798474258248</v>
      </c>
      <c r="BI222" s="499">
        <f t="shared" ref="BI222:BJ222" si="357">AS225</f>
        <v>289</v>
      </c>
      <c r="BJ222" s="499">
        <f t="shared" si="357"/>
        <v>3.9272420000000001</v>
      </c>
      <c r="BK222" s="5">
        <f t="shared" si="307"/>
        <v>0</v>
      </c>
      <c r="BL222" s="499">
        <f t="shared" si="308"/>
        <v>20.523961</v>
      </c>
      <c r="BM222" s="499">
        <f t="shared" si="309"/>
        <v>999.26417900000001</v>
      </c>
      <c r="BO222" s="499">
        <f t="shared" si="310"/>
        <v>289</v>
      </c>
      <c r="BP222" s="499">
        <f t="shared" si="311"/>
        <v>3.9272420000000001</v>
      </c>
      <c r="BQ222" s="5">
        <f t="shared" si="304"/>
        <v>0</v>
      </c>
      <c r="BR222" s="499">
        <f t="shared" si="312"/>
        <v>20.523961</v>
      </c>
      <c r="BS222" s="499">
        <f t="shared" si="313"/>
        <v>999.26417900000001</v>
      </c>
      <c r="BU222" s="499">
        <f t="shared" si="314"/>
        <v>289</v>
      </c>
      <c r="BV222" s="499">
        <f t="shared" si="315"/>
        <v>3.9272420000000001</v>
      </c>
      <c r="BW222" s="5">
        <f t="shared" si="305"/>
        <v>0</v>
      </c>
      <c r="BX222" s="499">
        <f t="shared" si="316"/>
        <v>20.523961</v>
      </c>
      <c r="BY222" s="499">
        <f t="shared" si="317"/>
        <v>999.26417900000001</v>
      </c>
      <c r="CA222">
        <v>289</v>
      </c>
      <c r="CB222">
        <v>3.9272420000000001</v>
      </c>
      <c r="CC222">
        <v>0</v>
      </c>
      <c r="CD222">
        <v>20.523961</v>
      </c>
      <c r="CE222">
        <v>999.26417900000001</v>
      </c>
      <c r="CG222" s="499">
        <f t="shared" si="318"/>
        <v>0</v>
      </c>
      <c r="CH222" s="499">
        <f t="shared" si="319"/>
        <v>0</v>
      </c>
      <c r="CI222" s="499">
        <f t="shared" si="320"/>
        <v>0</v>
      </c>
      <c r="CJ222" s="499">
        <f t="shared" si="321"/>
        <v>0</v>
      </c>
      <c r="CP222" s="499"/>
      <c r="CQ222" s="65">
        <f t="shared" si="323"/>
        <v>0.97885793359828033</v>
      </c>
      <c r="CR222" s="499">
        <f t="shared" si="324"/>
        <v>0.97885793359828033</v>
      </c>
      <c r="CS222" s="499">
        <f t="shared" si="325"/>
        <v>0.97885793359828033</v>
      </c>
      <c r="CT222" s="38">
        <f t="shared" si="326"/>
        <v>1</v>
      </c>
      <c r="CU222" s="498">
        <f t="shared" si="327"/>
        <v>1</v>
      </c>
    </row>
    <row r="223" spans="43:99">
      <c r="AQ223" s="499"/>
      <c r="AR223" s="228">
        <v>19.349513999999999</v>
      </c>
      <c r="AS223" s="13">
        <v>384</v>
      </c>
      <c r="AT223" s="13">
        <v>3.886933</v>
      </c>
      <c r="AU223" s="13">
        <f t="shared" si="338"/>
        <v>0</v>
      </c>
      <c r="AV223" s="13">
        <f t="shared" si="329"/>
        <v>19.349513999999999</v>
      </c>
      <c r="AW223" s="13">
        <f t="shared" si="330"/>
        <v>19.349513999999999</v>
      </c>
      <c r="AX223" s="13">
        <f t="shared" si="331"/>
        <v>19.349513999999999</v>
      </c>
      <c r="AY223" s="13">
        <v>1001.453532</v>
      </c>
      <c r="AZ223" s="13">
        <f t="shared" si="332"/>
        <v>0</v>
      </c>
      <c r="BA223" s="13">
        <f t="shared" si="333"/>
        <v>0</v>
      </c>
      <c r="BB223" s="97">
        <f t="shared" si="334"/>
        <v>0</v>
      </c>
      <c r="BC223" s="499"/>
      <c r="BD223" s="499">
        <v>69.349999999999994</v>
      </c>
      <c r="BE223" s="499">
        <v>23.502454435483873</v>
      </c>
      <c r="BF223" s="499">
        <v>19.820662096774193</v>
      </c>
      <c r="BG223" s="499">
        <v>23.066611945824175</v>
      </c>
      <c r="BI223" s="499">
        <f t="shared" ref="BI223:BJ223" si="358">AS226</f>
        <v>365</v>
      </c>
      <c r="BJ223" s="499">
        <f t="shared" si="358"/>
        <v>3.9283890000000001</v>
      </c>
      <c r="BK223" s="5">
        <f t="shared" si="307"/>
        <v>1</v>
      </c>
      <c r="BL223" s="499">
        <f t="shared" si="308"/>
        <v>25.715824999999999</v>
      </c>
      <c r="BM223" s="499">
        <f t="shared" si="309"/>
        <v>1300.745361</v>
      </c>
      <c r="BO223" s="499">
        <f t="shared" si="310"/>
        <v>365</v>
      </c>
      <c r="BP223" s="499">
        <f t="shared" si="311"/>
        <v>3.9283890000000001</v>
      </c>
      <c r="BQ223" s="5">
        <f t="shared" si="304"/>
        <v>1</v>
      </c>
      <c r="BR223" s="499">
        <f t="shared" si="312"/>
        <v>25.715824999999999</v>
      </c>
      <c r="BS223" s="499">
        <f t="shared" si="313"/>
        <v>1300.745361</v>
      </c>
      <c r="BU223" s="499">
        <f t="shared" si="314"/>
        <v>365</v>
      </c>
      <c r="BV223" s="499">
        <f t="shared" si="315"/>
        <v>3.9283890000000001</v>
      </c>
      <c r="BW223" s="5">
        <f t="shared" si="305"/>
        <v>1</v>
      </c>
      <c r="BX223" s="499">
        <f t="shared" si="316"/>
        <v>25.715824999999999</v>
      </c>
      <c r="BY223" s="499">
        <f t="shared" si="317"/>
        <v>1300.745361</v>
      </c>
      <c r="CA223">
        <v>365</v>
      </c>
      <c r="CB223">
        <v>3.9283890000000001</v>
      </c>
      <c r="CC223">
        <v>1</v>
      </c>
      <c r="CD223">
        <v>25.715824999999999</v>
      </c>
      <c r="CE223">
        <v>1300.745361</v>
      </c>
      <c r="CG223" s="499">
        <f t="shared" si="318"/>
        <v>1</v>
      </c>
      <c r="CH223" s="499">
        <f t="shared" si="319"/>
        <v>1</v>
      </c>
      <c r="CI223" s="499">
        <f t="shared" si="320"/>
        <v>1</v>
      </c>
      <c r="CJ223" s="499">
        <f t="shared" si="321"/>
        <v>1</v>
      </c>
      <c r="CP223" s="499"/>
      <c r="CQ223" s="65">
        <f t="shared" si="323"/>
        <v>0.97837441977350947</v>
      </c>
      <c r="CR223" s="499">
        <f t="shared" si="324"/>
        <v>0.97837441977350947</v>
      </c>
      <c r="CS223" s="499">
        <f t="shared" si="325"/>
        <v>0.97837441977350947</v>
      </c>
      <c r="CT223" s="38">
        <f t="shared" si="326"/>
        <v>1</v>
      </c>
      <c r="CU223" s="498">
        <f t="shared" si="327"/>
        <v>1</v>
      </c>
    </row>
    <row r="224" spans="43:99">
      <c r="AQ224" s="499"/>
      <c r="AR224" s="228">
        <v>17.775928</v>
      </c>
      <c r="AS224" s="13">
        <v>246</v>
      </c>
      <c r="AT224" s="13">
        <v>3.913456</v>
      </c>
      <c r="AU224" s="13">
        <f t="shared" si="338"/>
        <v>0</v>
      </c>
      <c r="AV224" s="13">
        <f t="shared" si="329"/>
        <v>17.775928</v>
      </c>
      <c r="AW224" s="13">
        <f t="shared" si="330"/>
        <v>17.775928</v>
      </c>
      <c r="AX224" s="13">
        <f t="shared" si="331"/>
        <v>17.775928</v>
      </c>
      <c r="AY224" s="13">
        <v>986.229423</v>
      </c>
      <c r="AZ224" s="13">
        <f t="shared" si="332"/>
        <v>0</v>
      </c>
      <c r="BA224" s="13">
        <f t="shared" si="333"/>
        <v>0</v>
      </c>
      <c r="BB224" s="97">
        <f t="shared" si="334"/>
        <v>0</v>
      </c>
      <c r="BC224" s="499"/>
      <c r="BD224" s="499">
        <v>69.150000000000006</v>
      </c>
      <c r="BE224" s="499">
        <v>23.682316129032259</v>
      </c>
      <c r="BF224" s="499">
        <v>19.786803225806455</v>
      </c>
      <c r="BG224" s="499">
        <v>23.178943867380948</v>
      </c>
      <c r="BI224" s="499">
        <f t="shared" ref="BI224:BJ224" si="359">AS227</f>
        <v>154</v>
      </c>
      <c r="BJ224" s="499">
        <f t="shared" si="359"/>
        <v>3.9568279999999998</v>
      </c>
      <c r="BK224" s="5">
        <f t="shared" si="307"/>
        <v>0</v>
      </c>
      <c r="BL224" s="499">
        <f t="shared" si="308"/>
        <v>23.850923999999999</v>
      </c>
      <c r="BM224" s="499">
        <f t="shared" si="309"/>
        <v>1001.346257</v>
      </c>
      <c r="BO224" s="499">
        <f t="shared" si="310"/>
        <v>154</v>
      </c>
      <c r="BP224" s="499">
        <f t="shared" si="311"/>
        <v>3.9568279999999998</v>
      </c>
      <c r="BQ224" s="5">
        <f t="shared" si="304"/>
        <v>0</v>
      </c>
      <c r="BR224" s="499">
        <f t="shared" si="312"/>
        <v>23.850923999999999</v>
      </c>
      <c r="BS224" s="499">
        <f t="shared" si="313"/>
        <v>1001.346257</v>
      </c>
      <c r="BU224" s="499">
        <f t="shared" si="314"/>
        <v>154</v>
      </c>
      <c r="BV224" s="499">
        <f t="shared" si="315"/>
        <v>3.9568279999999998</v>
      </c>
      <c r="BW224" s="5">
        <f t="shared" si="305"/>
        <v>0</v>
      </c>
      <c r="BX224" s="499">
        <f t="shared" si="316"/>
        <v>23.850923999999999</v>
      </c>
      <c r="BY224" s="499">
        <f t="shared" si="317"/>
        <v>1001.346257</v>
      </c>
      <c r="CA224">
        <v>154</v>
      </c>
      <c r="CB224">
        <v>3.9568279999999998</v>
      </c>
      <c r="CC224">
        <v>0</v>
      </c>
      <c r="CD224">
        <v>23.850923999999999</v>
      </c>
      <c r="CE224">
        <v>1001.346257</v>
      </c>
      <c r="CG224" s="499">
        <f t="shared" si="318"/>
        <v>0</v>
      </c>
      <c r="CH224" s="499">
        <f t="shared" si="319"/>
        <v>0</v>
      </c>
      <c r="CI224" s="499">
        <f t="shared" si="320"/>
        <v>0</v>
      </c>
      <c r="CJ224" s="499">
        <f t="shared" si="321"/>
        <v>0</v>
      </c>
      <c r="CP224" s="499"/>
      <c r="CQ224" s="65">
        <f t="shared" si="323"/>
        <v>6.1219407583993517E-2</v>
      </c>
      <c r="CR224" s="499">
        <f t="shared" si="324"/>
        <v>6.1219407583993517E-2</v>
      </c>
      <c r="CS224" s="499">
        <f t="shared" si="325"/>
        <v>6.1219407583993517E-2</v>
      </c>
      <c r="CT224" s="38">
        <f t="shared" si="326"/>
        <v>1</v>
      </c>
      <c r="CU224" s="498">
        <f t="shared" si="327"/>
        <v>1</v>
      </c>
    </row>
    <row r="225" spans="43:99">
      <c r="AQ225" s="499"/>
      <c r="AR225" s="228">
        <v>20.523961</v>
      </c>
      <c r="AS225" s="13">
        <v>289</v>
      </c>
      <c r="AT225" s="13">
        <v>3.9272420000000001</v>
      </c>
      <c r="AU225" s="13">
        <f t="shared" si="338"/>
        <v>0</v>
      </c>
      <c r="AV225" s="13">
        <f t="shared" si="329"/>
        <v>20.523961</v>
      </c>
      <c r="AW225" s="13">
        <f t="shared" si="330"/>
        <v>20.523961</v>
      </c>
      <c r="AX225" s="13">
        <f t="shared" si="331"/>
        <v>20.523961</v>
      </c>
      <c r="AY225" s="13">
        <v>999.26417900000001</v>
      </c>
      <c r="AZ225" s="13">
        <f t="shared" si="332"/>
        <v>0</v>
      </c>
      <c r="BA225" s="13">
        <f t="shared" si="333"/>
        <v>0</v>
      </c>
      <c r="BB225" s="97">
        <f t="shared" si="334"/>
        <v>0</v>
      </c>
      <c r="BC225" s="499"/>
      <c r="BD225" s="499">
        <v>68.95</v>
      </c>
      <c r="BE225" s="499">
        <v>23.880058266129026</v>
      </c>
      <c r="BF225" s="499">
        <v>19.755755846774186</v>
      </c>
      <c r="BG225" s="499">
        <v>23.274141288502751</v>
      </c>
      <c r="BI225" s="499">
        <f t="shared" ref="BI225:BJ225" si="360">AS228</f>
        <v>106</v>
      </c>
      <c r="BJ225" s="499">
        <f t="shared" si="360"/>
        <v>3.9634140000000002</v>
      </c>
      <c r="BK225" s="5">
        <f t="shared" si="307"/>
        <v>0</v>
      </c>
      <c r="BL225" s="499">
        <f t="shared" si="308"/>
        <v>17.781542000000002</v>
      </c>
      <c r="BM225" s="499">
        <f t="shared" si="309"/>
        <v>834.43532300000004</v>
      </c>
      <c r="BO225" s="499">
        <f t="shared" si="310"/>
        <v>106</v>
      </c>
      <c r="BP225" s="499">
        <f t="shared" si="311"/>
        <v>3.9634140000000002</v>
      </c>
      <c r="BQ225" s="5">
        <f t="shared" si="304"/>
        <v>0</v>
      </c>
      <c r="BR225" s="499">
        <f t="shared" si="312"/>
        <v>17.781542000000002</v>
      </c>
      <c r="BS225" s="499">
        <f t="shared" si="313"/>
        <v>834.43532300000004</v>
      </c>
      <c r="BU225" s="499">
        <f t="shared" si="314"/>
        <v>106</v>
      </c>
      <c r="BV225" s="499">
        <f t="shared" si="315"/>
        <v>3.9634140000000002</v>
      </c>
      <c r="BW225" s="5">
        <f t="shared" si="305"/>
        <v>0</v>
      </c>
      <c r="BX225" s="499">
        <f t="shared" si="316"/>
        <v>17.781542000000002</v>
      </c>
      <c r="BY225" s="499">
        <f t="shared" si="317"/>
        <v>834.43532300000004</v>
      </c>
      <c r="CA225">
        <v>106</v>
      </c>
      <c r="CB225">
        <v>3.9634140000000002</v>
      </c>
      <c r="CC225">
        <v>0</v>
      </c>
      <c r="CD225">
        <v>17.781542000000002</v>
      </c>
      <c r="CE225">
        <v>834.43532300000004</v>
      </c>
      <c r="CG225" s="499">
        <f t="shared" si="318"/>
        <v>0</v>
      </c>
      <c r="CH225" s="499">
        <f t="shared" si="319"/>
        <v>0</v>
      </c>
      <c r="CI225" s="499">
        <f t="shared" si="320"/>
        <v>0</v>
      </c>
      <c r="CJ225" s="499">
        <f t="shared" si="321"/>
        <v>0</v>
      </c>
      <c r="CP225" s="499"/>
      <c r="CQ225" s="65">
        <f t="shared" si="323"/>
        <v>0.71521990646044298</v>
      </c>
      <c r="CR225" s="499">
        <f t="shared" si="324"/>
        <v>0.71521990646044298</v>
      </c>
      <c r="CS225" s="499">
        <f t="shared" si="325"/>
        <v>0.71521990646044298</v>
      </c>
      <c r="CT225" s="38">
        <f t="shared" si="326"/>
        <v>1</v>
      </c>
      <c r="CU225" s="498">
        <f t="shared" si="327"/>
        <v>1</v>
      </c>
    </row>
    <row r="226" spans="43:99">
      <c r="AQ226" s="499"/>
      <c r="AR226" s="228">
        <v>25.715824999999999</v>
      </c>
      <c r="AS226" s="13">
        <v>365</v>
      </c>
      <c r="AT226" s="13">
        <v>3.9283890000000001</v>
      </c>
      <c r="AU226" s="13">
        <f t="shared" si="338"/>
        <v>1</v>
      </c>
      <c r="AV226" s="13">
        <f t="shared" si="329"/>
        <v>25.715824999999999</v>
      </c>
      <c r="AW226" s="13">
        <f t="shared" si="330"/>
        <v>25.715824999999999</v>
      </c>
      <c r="AX226" s="13">
        <f t="shared" si="331"/>
        <v>25.715824999999999</v>
      </c>
      <c r="AY226" s="13">
        <v>1300.745361</v>
      </c>
      <c r="AZ226" s="13">
        <f t="shared" si="332"/>
        <v>0</v>
      </c>
      <c r="BA226" s="13">
        <f t="shared" si="333"/>
        <v>0</v>
      </c>
      <c r="BB226" s="97">
        <f t="shared" si="334"/>
        <v>0</v>
      </c>
      <c r="BC226" s="499"/>
      <c r="BD226" s="499">
        <v>68.75</v>
      </c>
      <c r="BE226" s="499">
        <v>24.048453629032259</v>
      </c>
      <c r="BF226" s="499">
        <v>19.7254875</v>
      </c>
      <c r="BG226" s="499">
        <v>23.333486364949639</v>
      </c>
      <c r="BI226" s="499">
        <f t="shared" ref="BI226:BJ226" si="361">AS229</f>
        <v>125</v>
      </c>
      <c r="BJ226" s="499">
        <f t="shared" si="361"/>
        <v>3.9775109999999998</v>
      </c>
      <c r="BK226" s="5">
        <f t="shared" si="307"/>
        <v>0</v>
      </c>
      <c r="BL226" s="499">
        <f t="shared" si="308"/>
        <v>16.006855999999999</v>
      </c>
      <c r="BM226" s="499">
        <f t="shared" si="309"/>
        <v>999.98217699999998</v>
      </c>
      <c r="BO226" s="499">
        <f t="shared" si="310"/>
        <v>125</v>
      </c>
      <c r="BP226" s="499">
        <f t="shared" si="311"/>
        <v>3.9775109999999998</v>
      </c>
      <c r="BQ226" s="5">
        <f t="shared" si="304"/>
        <v>0</v>
      </c>
      <c r="BR226" s="499">
        <f t="shared" si="312"/>
        <v>16.006855999999999</v>
      </c>
      <c r="BS226" s="499">
        <f t="shared" si="313"/>
        <v>999.98217699999998</v>
      </c>
      <c r="BU226" s="499">
        <f t="shared" si="314"/>
        <v>125</v>
      </c>
      <c r="BV226" s="499">
        <f t="shared" si="315"/>
        <v>3.9775109999999998</v>
      </c>
      <c r="BW226" s="5">
        <f t="shared" si="305"/>
        <v>0</v>
      </c>
      <c r="BX226" s="499">
        <f t="shared" si="316"/>
        <v>16.006855999999999</v>
      </c>
      <c r="BY226" s="499">
        <f t="shared" si="317"/>
        <v>999.98217699999998</v>
      </c>
      <c r="CA226">
        <v>125</v>
      </c>
      <c r="CB226">
        <v>3.9775109999999998</v>
      </c>
      <c r="CC226">
        <v>0</v>
      </c>
      <c r="CD226">
        <v>16.006855999999999</v>
      </c>
      <c r="CE226">
        <v>999.98217699999998</v>
      </c>
      <c r="CG226" s="499">
        <f t="shared" si="318"/>
        <v>0</v>
      </c>
      <c r="CH226" s="499">
        <f t="shared" si="319"/>
        <v>0</v>
      </c>
      <c r="CI226" s="499">
        <f t="shared" si="320"/>
        <v>0</v>
      </c>
      <c r="CJ226" s="499">
        <f t="shared" si="321"/>
        <v>0</v>
      </c>
      <c r="CP226" s="499"/>
      <c r="CQ226" s="65">
        <f t="shared" si="323"/>
        <v>0.97885791041986703</v>
      </c>
      <c r="CR226" s="499">
        <f t="shared" si="324"/>
        <v>0.97885791041986703</v>
      </c>
      <c r="CS226" s="499">
        <f t="shared" si="325"/>
        <v>0.97885791041986703</v>
      </c>
      <c r="CT226" s="38">
        <f t="shared" si="326"/>
        <v>1</v>
      </c>
      <c r="CU226" s="498">
        <f t="shared" si="327"/>
        <v>1</v>
      </c>
    </row>
    <row r="227" spans="43:99">
      <c r="AQ227" s="499"/>
      <c r="AR227" s="228">
        <v>23.850923999999999</v>
      </c>
      <c r="AS227" s="13">
        <v>154</v>
      </c>
      <c r="AT227" s="13">
        <v>3.9568279999999998</v>
      </c>
      <c r="AU227" s="13">
        <f t="shared" si="338"/>
        <v>0</v>
      </c>
      <c r="AV227" s="13">
        <f t="shared" si="329"/>
        <v>23.850923999999999</v>
      </c>
      <c r="AW227" s="13">
        <f t="shared" si="330"/>
        <v>23.850923999999999</v>
      </c>
      <c r="AX227" s="13">
        <f t="shared" si="331"/>
        <v>23.850923999999999</v>
      </c>
      <c r="AY227" s="13">
        <v>1001.346257</v>
      </c>
      <c r="AZ227" s="13">
        <f t="shared" si="332"/>
        <v>0</v>
      </c>
      <c r="BA227" s="13">
        <f t="shared" si="333"/>
        <v>0</v>
      </c>
      <c r="BB227" s="97">
        <f t="shared" si="334"/>
        <v>0</v>
      </c>
      <c r="BC227" s="499"/>
      <c r="BD227" s="499">
        <v>68.55</v>
      </c>
      <c r="BE227" s="499">
        <v>24.199000403225806</v>
      </c>
      <c r="BF227" s="499">
        <v>19.697753225806448</v>
      </c>
      <c r="BG227" s="499">
        <v>23.402918912760992</v>
      </c>
      <c r="BI227" s="499">
        <f t="shared" ref="BI227:BJ227" si="362">AS230</f>
        <v>259</v>
      </c>
      <c r="BJ227" s="499">
        <f t="shared" si="362"/>
        <v>3.999234</v>
      </c>
      <c r="BK227" s="5">
        <f t="shared" si="307"/>
        <v>0</v>
      </c>
      <c r="BL227" s="499">
        <f t="shared" si="308"/>
        <v>16.006855999999999</v>
      </c>
      <c r="BM227" s="499">
        <f t="shared" si="309"/>
        <v>1000.086896</v>
      </c>
      <c r="BO227" s="499">
        <f t="shared" si="310"/>
        <v>259</v>
      </c>
      <c r="BP227" s="499">
        <f t="shared" si="311"/>
        <v>3.999234</v>
      </c>
      <c r="BQ227" s="5">
        <f t="shared" si="304"/>
        <v>0</v>
      </c>
      <c r="BR227" s="499">
        <f t="shared" si="312"/>
        <v>16.006855999999999</v>
      </c>
      <c r="BS227" s="499">
        <f t="shared" si="313"/>
        <v>1000.086896</v>
      </c>
      <c r="BU227" s="499">
        <f t="shared" si="314"/>
        <v>259</v>
      </c>
      <c r="BV227" s="499">
        <f t="shared" si="315"/>
        <v>3.999234</v>
      </c>
      <c r="BW227" s="5">
        <f t="shared" si="305"/>
        <v>0</v>
      </c>
      <c r="BX227" s="499">
        <f t="shared" si="316"/>
        <v>16.006855999999999</v>
      </c>
      <c r="BY227" s="499">
        <f t="shared" si="317"/>
        <v>1000.086896</v>
      </c>
      <c r="CA227">
        <v>259</v>
      </c>
      <c r="CB227">
        <v>3.999234</v>
      </c>
      <c r="CC227">
        <v>0</v>
      </c>
      <c r="CD227">
        <v>16.006855999999999</v>
      </c>
      <c r="CE227">
        <v>1000.086896</v>
      </c>
      <c r="CG227" s="499">
        <f t="shared" si="318"/>
        <v>0</v>
      </c>
      <c r="CH227" s="499">
        <f t="shared" si="319"/>
        <v>0</v>
      </c>
      <c r="CI227" s="499">
        <f t="shared" si="320"/>
        <v>0</v>
      </c>
      <c r="CJ227" s="499">
        <f t="shared" si="321"/>
        <v>0</v>
      </c>
      <c r="CP227" s="499"/>
      <c r="CQ227" s="65">
        <f t="shared" si="323"/>
        <v>0.97885993852560416</v>
      </c>
      <c r="CR227" s="499">
        <f t="shared" si="324"/>
        <v>0.97885993852560416</v>
      </c>
      <c r="CS227" s="499">
        <f t="shared" si="325"/>
        <v>0.97885993852560416</v>
      </c>
      <c r="CT227" s="38">
        <f t="shared" si="326"/>
        <v>1</v>
      </c>
      <c r="CU227" s="498">
        <f t="shared" si="327"/>
        <v>1</v>
      </c>
    </row>
    <row r="228" spans="43:99">
      <c r="AQ228" s="499"/>
      <c r="AR228" s="228">
        <v>17.781542000000002</v>
      </c>
      <c r="AS228" s="13">
        <v>106</v>
      </c>
      <c r="AT228" s="13">
        <v>3.9634140000000002</v>
      </c>
      <c r="AU228" s="13">
        <f t="shared" si="338"/>
        <v>0</v>
      </c>
      <c r="AV228" s="13">
        <f t="shared" si="329"/>
        <v>17.781542000000002</v>
      </c>
      <c r="AW228" s="13">
        <f t="shared" si="330"/>
        <v>17.781542000000002</v>
      </c>
      <c r="AX228" s="13">
        <f t="shared" si="331"/>
        <v>17.781542000000002</v>
      </c>
      <c r="AY228" s="13">
        <v>834.43532300000004</v>
      </c>
      <c r="AZ228" s="13">
        <f t="shared" si="332"/>
        <v>0</v>
      </c>
      <c r="BA228" s="13">
        <f t="shared" si="333"/>
        <v>0</v>
      </c>
      <c r="BB228" s="97">
        <f t="shared" si="334"/>
        <v>0</v>
      </c>
      <c r="BC228" s="499"/>
      <c r="BD228" s="499">
        <v>68.349999999999994</v>
      </c>
      <c r="BE228" s="499">
        <v>24.3589247983871</v>
      </c>
      <c r="BF228" s="499">
        <v>19.686011895161297</v>
      </c>
      <c r="BG228" s="499">
        <v>23.494968151286631</v>
      </c>
      <c r="BI228" s="499">
        <f t="shared" ref="BI228:BJ228" si="363">AS231</f>
        <v>381</v>
      </c>
      <c r="BJ228" s="499">
        <f t="shared" si="363"/>
        <v>4</v>
      </c>
      <c r="BK228" s="5">
        <f t="shared" si="307"/>
        <v>0</v>
      </c>
      <c r="BL228" s="499">
        <f t="shared" si="308"/>
        <v>23.452679</v>
      </c>
      <c r="BM228" s="499">
        <f t="shared" si="309"/>
        <v>179.35634899999999</v>
      </c>
      <c r="BO228" s="499">
        <f t="shared" si="310"/>
        <v>381</v>
      </c>
      <c r="BP228" s="499">
        <f t="shared" si="311"/>
        <v>4</v>
      </c>
      <c r="BQ228" s="5">
        <f t="shared" si="304"/>
        <v>0</v>
      </c>
      <c r="BR228" s="499">
        <f t="shared" si="312"/>
        <v>23.452679</v>
      </c>
      <c r="BS228" s="499">
        <f t="shared" si="313"/>
        <v>179.35634899999999</v>
      </c>
      <c r="BU228" s="499">
        <f t="shared" si="314"/>
        <v>381</v>
      </c>
      <c r="BV228" s="499">
        <f t="shared" si="315"/>
        <v>4</v>
      </c>
      <c r="BW228" s="5">
        <f t="shared" si="305"/>
        <v>0</v>
      </c>
      <c r="BX228" s="499">
        <f t="shared" si="316"/>
        <v>23.452679</v>
      </c>
      <c r="BY228" s="499">
        <f t="shared" si="317"/>
        <v>179.35634899999999</v>
      </c>
      <c r="CA228">
        <v>381</v>
      </c>
      <c r="CB228">
        <v>4</v>
      </c>
      <c r="CC228">
        <v>0</v>
      </c>
      <c r="CD228">
        <v>23.452679</v>
      </c>
      <c r="CE228">
        <v>179.35634899999999</v>
      </c>
      <c r="CG228" s="499">
        <f t="shared" si="318"/>
        <v>0</v>
      </c>
      <c r="CH228" s="499">
        <f t="shared" si="319"/>
        <v>0</v>
      </c>
      <c r="CI228" s="499">
        <f t="shared" si="320"/>
        <v>0</v>
      </c>
      <c r="CJ228" s="499">
        <f t="shared" si="321"/>
        <v>0</v>
      </c>
      <c r="CP228" s="499"/>
      <c r="CQ228" s="65">
        <f t="shared" si="323"/>
        <v>0.97885993852560416</v>
      </c>
      <c r="CR228" s="499">
        <f t="shared" si="324"/>
        <v>0.97885993852560416</v>
      </c>
      <c r="CS228" s="499">
        <f t="shared" si="325"/>
        <v>0.97885993852560416</v>
      </c>
      <c r="CT228" s="38">
        <f t="shared" si="326"/>
        <v>1</v>
      </c>
      <c r="CU228" s="498">
        <f t="shared" si="327"/>
        <v>1</v>
      </c>
    </row>
    <row r="229" spans="43:99">
      <c r="AQ229" s="499"/>
      <c r="AR229" s="228">
        <v>16.006855999999999</v>
      </c>
      <c r="AS229" s="13">
        <v>125</v>
      </c>
      <c r="AT229" s="13">
        <v>3.9775109999999998</v>
      </c>
      <c r="AU229" s="13">
        <f t="shared" si="338"/>
        <v>0</v>
      </c>
      <c r="AV229" s="13">
        <f t="shared" si="329"/>
        <v>16.006855999999999</v>
      </c>
      <c r="AW229" s="13">
        <f t="shared" si="330"/>
        <v>16.006855999999999</v>
      </c>
      <c r="AX229" s="13">
        <f t="shared" si="331"/>
        <v>16.006855999999999</v>
      </c>
      <c r="AY229" s="13">
        <v>999.98217699999998</v>
      </c>
      <c r="AZ229" s="13">
        <f t="shared" si="332"/>
        <v>0</v>
      </c>
      <c r="BA229" s="13">
        <f t="shared" si="333"/>
        <v>0</v>
      </c>
      <c r="BB229" s="97">
        <f t="shared" si="334"/>
        <v>0</v>
      </c>
      <c r="BC229" s="499"/>
      <c r="BD229" s="499">
        <v>68.150000000000006</v>
      </c>
      <c r="BE229" s="499">
        <v>24.489951612903244</v>
      </c>
      <c r="BF229" s="499">
        <v>19.698860887096778</v>
      </c>
      <c r="BG229" s="499">
        <v>23.577958523063192</v>
      </c>
      <c r="BI229" s="499">
        <f t="shared" ref="BI229:BJ229" si="364">AS232</f>
        <v>44</v>
      </c>
      <c r="BJ229" s="499">
        <f t="shared" si="364"/>
        <v>4</v>
      </c>
      <c r="BK229" s="5">
        <f t="shared" si="307"/>
        <v>1</v>
      </c>
      <c r="BL229" s="499">
        <f t="shared" si="308"/>
        <v>30.767455999999999</v>
      </c>
      <c r="BM229" s="499">
        <f t="shared" si="309"/>
        <v>1062.989347</v>
      </c>
      <c r="BO229" s="499">
        <f t="shared" si="310"/>
        <v>44</v>
      </c>
      <c r="BP229" s="499">
        <f t="shared" si="311"/>
        <v>4</v>
      </c>
      <c r="BQ229" s="5">
        <f t="shared" si="304"/>
        <v>1</v>
      </c>
      <c r="BR229" s="499">
        <f t="shared" si="312"/>
        <v>30.767455999999999</v>
      </c>
      <c r="BS229" s="499">
        <f t="shared" si="313"/>
        <v>1062.989347</v>
      </c>
      <c r="BU229" s="499">
        <f t="shared" si="314"/>
        <v>44</v>
      </c>
      <c r="BV229" s="499">
        <f t="shared" si="315"/>
        <v>4</v>
      </c>
      <c r="BW229" s="5">
        <f t="shared" si="305"/>
        <v>1</v>
      </c>
      <c r="BX229" s="499">
        <f t="shared" si="316"/>
        <v>30.767455999999999</v>
      </c>
      <c r="BY229" s="499">
        <f t="shared" si="317"/>
        <v>1062.989347</v>
      </c>
      <c r="CA229">
        <v>44</v>
      </c>
      <c r="CB229">
        <v>4</v>
      </c>
      <c r="CC229">
        <v>1</v>
      </c>
      <c r="CD229">
        <v>30.767455999999999</v>
      </c>
      <c r="CE229">
        <v>1062.989347</v>
      </c>
      <c r="CG229" s="499">
        <f t="shared" si="318"/>
        <v>1</v>
      </c>
      <c r="CH229" s="499">
        <f t="shared" si="319"/>
        <v>1</v>
      </c>
      <c r="CI229" s="499">
        <f t="shared" si="320"/>
        <v>1</v>
      </c>
      <c r="CJ229" s="499">
        <f t="shared" si="321"/>
        <v>1</v>
      </c>
      <c r="CP229" s="499"/>
      <c r="CQ229" s="65">
        <f t="shared" si="323"/>
        <v>0.83872453911563805</v>
      </c>
      <c r="CR229" s="499">
        <f t="shared" si="324"/>
        <v>0.83872453911563805</v>
      </c>
      <c r="CS229" s="499">
        <f t="shared" si="325"/>
        <v>0.83872453911563805</v>
      </c>
      <c r="CT229" s="38">
        <f t="shared" si="326"/>
        <v>1</v>
      </c>
      <c r="CU229" s="498">
        <f t="shared" si="327"/>
        <v>1</v>
      </c>
    </row>
    <row r="230" spans="43:99">
      <c r="AQ230" s="499"/>
      <c r="AR230" s="228">
        <v>16.006855999999999</v>
      </c>
      <c r="AS230" s="13">
        <v>259</v>
      </c>
      <c r="AT230" s="13">
        <v>3.999234</v>
      </c>
      <c r="AU230" s="13">
        <f t="shared" si="338"/>
        <v>0</v>
      </c>
      <c r="AV230" s="13">
        <f t="shared" si="329"/>
        <v>16.006855999999999</v>
      </c>
      <c r="AW230" s="13">
        <f t="shared" si="330"/>
        <v>16.006855999999999</v>
      </c>
      <c r="AX230" s="13">
        <f t="shared" si="331"/>
        <v>16.006855999999999</v>
      </c>
      <c r="AY230" s="13">
        <v>1000.086896</v>
      </c>
      <c r="AZ230" s="13">
        <f t="shared" si="332"/>
        <v>0</v>
      </c>
      <c r="BA230" s="13">
        <f t="shared" si="333"/>
        <v>0</v>
      </c>
      <c r="BB230" s="97">
        <f t="shared" si="334"/>
        <v>0</v>
      </c>
      <c r="BC230" s="499"/>
      <c r="BD230" s="499">
        <v>67.95</v>
      </c>
      <c r="BE230" s="499">
        <v>24.607609274193546</v>
      </c>
      <c r="BF230" s="499">
        <v>19.729366532258059</v>
      </c>
      <c r="BG230" s="499">
        <v>23.638557371304945</v>
      </c>
      <c r="BI230" s="499">
        <f t="shared" ref="BI230:BJ230" si="365">AS233</f>
        <v>135</v>
      </c>
      <c r="BJ230" s="499">
        <f t="shared" si="365"/>
        <v>4.0023400000000002</v>
      </c>
      <c r="BK230" s="5">
        <f t="shared" si="307"/>
        <v>0</v>
      </c>
      <c r="BL230" s="499">
        <f t="shared" si="308"/>
        <v>22.635006000000001</v>
      </c>
      <c r="BM230" s="499">
        <f t="shared" si="309"/>
        <v>1217.1819419999999</v>
      </c>
      <c r="BO230" s="499">
        <f t="shared" si="310"/>
        <v>135</v>
      </c>
      <c r="BP230" s="499">
        <f t="shared" si="311"/>
        <v>4.0023400000000002</v>
      </c>
      <c r="BQ230" s="5">
        <f t="shared" si="304"/>
        <v>0</v>
      </c>
      <c r="BR230" s="499">
        <f t="shared" si="312"/>
        <v>22.635006000000001</v>
      </c>
      <c r="BS230" s="499">
        <f t="shared" si="313"/>
        <v>1217.1819419999999</v>
      </c>
      <c r="BU230" s="499">
        <f t="shared" si="314"/>
        <v>135</v>
      </c>
      <c r="BV230" s="499">
        <f t="shared" si="315"/>
        <v>4.0023400000000002</v>
      </c>
      <c r="BW230" s="5">
        <f t="shared" si="305"/>
        <v>0</v>
      </c>
      <c r="BX230" s="499">
        <f t="shared" si="316"/>
        <v>22.635006000000001</v>
      </c>
      <c r="BY230" s="499">
        <f t="shared" si="317"/>
        <v>1217.1819419999999</v>
      </c>
      <c r="CA230">
        <v>135</v>
      </c>
      <c r="CB230">
        <v>4.0023400000000002</v>
      </c>
      <c r="CC230">
        <v>0</v>
      </c>
      <c r="CD230">
        <v>22.635006000000001</v>
      </c>
      <c r="CE230">
        <v>1217.1819419999999</v>
      </c>
      <c r="CG230" s="499">
        <f t="shared" si="318"/>
        <v>0</v>
      </c>
      <c r="CH230" s="499">
        <f t="shared" si="319"/>
        <v>0</v>
      </c>
      <c r="CI230" s="499">
        <f t="shared" si="320"/>
        <v>0</v>
      </c>
      <c r="CJ230" s="499">
        <f t="shared" si="321"/>
        <v>0</v>
      </c>
      <c r="CP230" s="499"/>
      <c r="CQ230" s="65">
        <f t="shared" si="323"/>
        <v>2.8570275334759234E-6</v>
      </c>
      <c r="CR230" s="499">
        <f t="shared" si="324"/>
        <v>2.8570275334759234E-6</v>
      </c>
      <c r="CS230" s="499">
        <f t="shared" si="325"/>
        <v>2.8570275334759234E-6</v>
      </c>
      <c r="CT230" s="38">
        <f t="shared" si="326"/>
        <v>1</v>
      </c>
      <c r="CU230" s="498">
        <f t="shared" si="327"/>
        <v>1</v>
      </c>
    </row>
    <row r="231" spans="43:99">
      <c r="AQ231" s="499"/>
      <c r="AR231" s="228">
        <v>23.452679</v>
      </c>
      <c r="AS231" s="13">
        <v>381</v>
      </c>
      <c r="AT231" s="13">
        <v>4</v>
      </c>
      <c r="AU231" s="13">
        <f t="shared" si="338"/>
        <v>0</v>
      </c>
      <c r="AV231" s="13">
        <f t="shared" si="329"/>
        <v>23.452679</v>
      </c>
      <c r="AW231" s="13">
        <f t="shared" si="330"/>
        <v>23.452679</v>
      </c>
      <c r="AX231" s="13">
        <f t="shared" si="331"/>
        <v>23.452679</v>
      </c>
      <c r="AY231" s="13">
        <v>179.35634899999999</v>
      </c>
      <c r="AZ231" s="13">
        <f t="shared" si="332"/>
        <v>0</v>
      </c>
      <c r="BA231" s="13">
        <f t="shared" si="333"/>
        <v>0</v>
      </c>
      <c r="BB231" s="97">
        <f t="shared" si="334"/>
        <v>0</v>
      </c>
      <c r="BC231" s="499"/>
      <c r="BD231" s="499">
        <v>67.75</v>
      </c>
      <c r="BE231" s="499">
        <v>24.711349596774198</v>
      </c>
      <c r="BF231" s="499">
        <v>19.794680443548376</v>
      </c>
      <c r="BG231" s="499">
        <v>23.686439985329677</v>
      </c>
      <c r="BI231" s="499">
        <f t="shared" ref="BI231:BJ231" si="366">AS234</f>
        <v>357</v>
      </c>
      <c r="BJ231" s="499">
        <f t="shared" si="366"/>
        <v>4.0078300000000002</v>
      </c>
      <c r="BK231" s="5">
        <f t="shared" si="307"/>
        <v>0</v>
      </c>
      <c r="BL231" s="499">
        <f t="shared" si="308"/>
        <v>23.151539</v>
      </c>
      <c r="BM231" s="499">
        <f t="shared" si="309"/>
        <v>999.79793800000004</v>
      </c>
      <c r="BO231" s="499">
        <f t="shared" si="310"/>
        <v>357</v>
      </c>
      <c r="BP231" s="499">
        <f t="shared" si="311"/>
        <v>4.0078300000000002</v>
      </c>
      <c r="BQ231" s="5">
        <f t="shared" si="304"/>
        <v>0</v>
      </c>
      <c r="BR231" s="499">
        <f t="shared" si="312"/>
        <v>23.151539</v>
      </c>
      <c r="BS231" s="499">
        <f t="shared" si="313"/>
        <v>999.79793800000004</v>
      </c>
      <c r="BU231" s="499">
        <f t="shared" si="314"/>
        <v>357</v>
      </c>
      <c r="BV231" s="499">
        <f t="shared" si="315"/>
        <v>4.0078300000000002</v>
      </c>
      <c r="BW231" s="5">
        <f t="shared" si="305"/>
        <v>0</v>
      </c>
      <c r="BX231" s="499">
        <f t="shared" si="316"/>
        <v>23.151539</v>
      </c>
      <c r="BY231" s="499">
        <f t="shared" si="317"/>
        <v>999.79793800000004</v>
      </c>
      <c r="CA231">
        <v>357</v>
      </c>
      <c r="CB231">
        <v>4.0078300000000002</v>
      </c>
      <c r="CC231">
        <v>0</v>
      </c>
      <c r="CD231">
        <v>23.151539</v>
      </c>
      <c r="CE231">
        <v>999.79793800000004</v>
      </c>
      <c r="CG231" s="499">
        <f t="shared" si="318"/>
        <v>0</v>
      </c>
      <c r="CH231" s="499">
        <f t="shared" si="319"/>
        <v>0</v>
      </c>
      <c r="CI231" s="499">
        <f t="shared" si="320"/>
        <v>0</v>
      </c>
      <c r="CJ231" s="499">
        <f t="shared" si="321"/>
        <v>0</v>
      </c>
      <c r="CP231" s="499"/>
      <c r="CQ231" s="65">
        <f t="shared" si="323"/>
        <v>0.94766962178326863</v>
      </c>
      <c r="CR231" s="499">
        <f t="shared" si="324"/>
        <v>0.94766962178326863</v>
      </c>
      <c r="CS231" s="499">
        <f t="shared" si="325"/>
        <v>0.94766962178326863</v>
      </c>
      <c r="CT231" s="38">
        <f t="shared" si="326"/>
        <v>1</v>
      </c>
      <c r="CU231" s="498">
        <f t="shared" si="327"/>
        <v>1</v>
      </c>
    </row>
    <row r="232" spans="43:99">
      <c r="AQ232" s="499"/>
      <c r="AR232" s="228">
        <v>30.767455999999999</v>
      </c>
      <c r="AS232" s="13">
        <v>44</v>
      </c>
      <c r="AT232" s="13">
        <v>4</v>
      </c>
      <c r="AU232" s="13">
        <f t="shared" si="338"/>
        <v>1</v>
      </c>
      <c r="AV232" s="13">
        <f t="shared" si="329"/>
        <v>30.767455999999999</v>
      </c>
      <c r="AW232" s="13">
        <f t="shared" si="330"/>
        <v>30.767455999999999</v>
      </c>
      <c r="AX232" s="13">
        <f t="shared" si="331"/>
        <v>30.767455999999999</v>
      </c>
      <c r="AY232" s="13">
        <v>1062.989347</v>
      </c>
      <c r="AZ232" s="13">
        <f t="shared" si="332"/>
        <v>0</v>
      </c>
      <c r="BA232" s="13">
        <f t="shared" si="333"/>
        <v>0</v>
      </c>
      <c r="BB232" s="97">
        <f t="shared" si="334"/>
        <v>0</v>
      </c>
      <c r="BC232" s="499"/>
      <c r="BD232" s="499">
        <v>67.55</v>
      </c>
      <c r="BE232" s="499">
        <v>24.68851633064515</v>
      </c>
      <c r="BF232" s="499">
        <v>19.887410483870966</v>
      </c>
      <c r="BG232" s="499">
        <v>23.717223601130954</v>
      </c>
      <c r="BI232" s="499">
        <f t="shared" ref="BI232:BJ232" si="367">AS235</f>
        <v>244</v>
      </c>
      <c r="BJ232" s="499">
        <f t="shared" si="367"/>
        <v>4.0182229999999999</v>
      </c>
      <c r="BK232" s="5">
        <f t="shared" si="307"/>
        <v>0</v>
      </c>
      <c r="BL232" s="499">
        <f t="shared" si="308"/>
        <v>19.349513999999999</v>
      </c>
      <c r="BM232" s="499">
        <f t="shared" si="309"/>
        <v>1000.962912</v>
      </c>
      <c r="BO232" s="499">
        <f t="shared" si="310"/>
        <v>244</v>
      </c>
      <c r="BP232" s="499">
        <f t="shared" si="311"/>
        <v>4.0182229999999999</v>
      </c>
      <c r="BQ232" s="5">
        <f t="shared" si="304"/>
        <v>0</v>
      </c>
      <c r="BR232" s="499">
        <f t="shared" si="312"/>
        <v>19.349513999999999</v>
      </c>
      <c r="BS232" s="499">
        <f t="shared" si="313"/>
        <v>1000.962912</v>
      </c>
      <c r="BU232" s="499">
        <f t="shared" si="314"/>
        <v>244</v>
      </c>
      <c r="BV232" s="499">
        <f t="shared" si="315"/>
        <v>4.0182229999999999</v>
      </c>
      <c r="BW232" s="5">
        <f t="shared" si="305"/>
        <v>0</v>
      </c>
      <c r="BX232" s="499">
        <f t="shared" si="316"/>
        <v>19.349513999999999</v>
      </c>
      <c r="BY232" s="499">
        <f t="shared" si="317"/>
        <v>1000.962912</v>
      </c>
      <c r="CA232">
        <v>244</v>
      </c>
      <c r="CB232">
        <v>4.0182229999999999</v>
      </c>
      <c r="CC232">
        <v>0</v>
      </c>
      <c r="CD232">
        <v>19.349513999999999</v>
      </c>
      <c r="CE232">
        <v>1000.962912</v>
      </c>
      <c r="CG232" s="499">
        <f t="shared" si="318"/>
        <v>0</v>
      </c>
      <c r="CH232" s="499">
        <f t="shared" si="319"/>
        <v>0</v>
      </c>
      <c r="CI232" s="499">
        <f t="shared" si="320"/>
        <v>0</v>
      </c>
      <c r="CJ232" s="499">
        <f t="shared" si="321"/>
        <v>0</v>
      </c>
      <c r="CP232" s="499"/>
      <c r="CQ232" s="65">
        <f t="shared" si="323"/>
        <v>0.89651549236481964</v>
      </c>
      <c r="CR232" s="499">
        <f t="shared" si="324"/>
        <v>0.89651549236481964</v>
      </c>
      <c r="CS232" s="499">
        <f t="shared" si="325"/>
        <v>0.89651549236481964</v>
      </c>
      <c r="CT232" s="38">
        <f t="shared" si="326"/>
        <v>1</v>
      </c>
      <c r="CU232" s="498">
        <f t="shared" si="327"/>
        <v>1</v>
      </c>
    </row>
    <row r="233" spans="43:99">
      <c r="AQ233" s="499"/>
      <c r="AR233" s="228">
        <v>22.635006000000001</v>
      </c>
      <c r="AS233" s="13">
        <v>135</v>
      </c>
      <c r="AT233" s="13">
        <v>4.0023400000000002</v>
      </c>
      <c r="AU233" s="13">
        <f t="shared" si="338"/>
        <v>0</v>
      </c>
      <c r="AV233" s="13">
        <f t="shared" si="329"/>
        <v>22.635006000000001</v>
      </c>
      <c r="AW233" s="13">
        <f t="shared" si="330"/>
        <v>22.635006000000001</v>
      </c>
      <c r="AX233" s="13">
        <f t="shared" si="331"/>
        <v>22.635006000000001</v>
      </c>
      <c r="AY233" s="13">
        <v>1217.1819419999999</v>
      </c>
      <c r="AZ233" s="13">
        <f t="shared" si="332"/>
        <v>0</v>
      </c>
      <c r="BA233" s="13">
        <f t="shared" si="333"/>
        <v>0</v>
      </c>
      <c r="BB233" s="97">
        <f t="shared" si="334"/>
        <v>0</v>
      </c>
      <c r="BC233" s="499"/>
      <c r="BD233" s="499">
        <v>67.349999999999994</v>
      </c>
      <c r="BE233" s="499">
        <v>24.767434072580656</v>
      </c>
      <c r="BF233" s="499">
        <v>19.960298991935488</v>
      </c>
      <c r="BG233" s="499">
        <v>23.821660507074181</v>
      </c>
      <c r="BI233" s="499">
        <f t="shared" ref="BI233:BJ233" si="368">AS236</f>
        <v>207</v>
      </c>
      <c r="BJ233" s="499">
        <f t="shared" si="368"/>
        <v>4.0340299999999996</v>
      </c>
      <c r="BK233" s="5">
        <f t="shared" si="307"/>
        <v>1</v>
      </c>
      <c r="BL233" s="499">
        <f t="shared" si="308"/>
        <v>32.867144000000003</v>
      </c>
      <c r="BM233" s="499">
        <f t="shared" si="309"/>
        <v>1001.242624</v>
      </c>
      <c r="BO233" s="499">
        <f t="shared" si="310"/>
        <v>207</v>
      </c>
      <c r="BP233" s="499">
        <f t="shared" si="311"/>
        <v>4.0340299999999996</v>
      </c>
      <c r="BQ233" s="5">
        <f t="shared" si="304"/>
        <v>1</v>
      </c>
      <c r="BR233" s="499">
        <f t="shared" si="312"/>
        <v>32.867144000000003</v>
      </c>
      <c r="BS233" s="499">
        <f t="shared" si="313"/>
        <v>1001.242624</v>
      </c>
      <c r="BU233" s="499">
        <f t="shared" si="314"/>
        <v>207</v>
      </c>
      <c r="BV233" s="499">
        <f t="shared" si="315"/>
        <v>4.0340299999999996</v>
      </c>
      <c r="BW233" s="5">
        <f t="shared" si="305"/>
        <v>1</v>
      </c>
      <c r="BX233" s="499">
        <f t="shared" si="316"/>
        <v>32.867144000000003</v>
      </c>
      <c r="BY233" s="499">
        <f t="shared" si="317"/>
        <v>1001.242624</v>
      </c>
      <c r="CA233">
        <v>207</v>
      </c>
      <c r="CB233">
        <v>4.0340299999999996</v>
      </c>
      <c r="CC233">
        <v>1</v>
      </c>
      <c r="CD233">
        <v>32.867144000000003</v>
      </c>
      <c r="CE233">
        <v>1001.242624</v>
      </c>
      <c r="CG233" s="499">
        <f t="shared" si="318"/>
        <v>1</v>
      </c>
      <c r="CH233" s="499">
        <f t="shared" si="319"/>
        <v>1</v>
      </c>
      <c r="CI233" s="499">
        <f t="shared" si="320"/>
        <v>1</v>
      </c>
      <c r="CJ233" s="499">
        <f t="shared" si="321"/>
        <v>1</v>
      </c>
      <c r="CP233" s="499"/>
      <c r="CQ233" s="65">
        <f t="shared" si="323"/>
        <v>0.97881289874513921</v>
      </c>
      <c r="CR233" s="499">
        <f t="shared" si="324"/>
        <v>0.97881289874513921</v>
      </c>
      <c r="CS233" s="499">
        <f t="shared" si="325"/>
        <v>0.97881289874513921</v>
      </c>
      <c r="CT233" s="38">
        <f t="shared" si="326"/>
        <v>1</v>
      </c>
      <c r="CU233" s="498">
        <f t="shared" si="327"/>
        <v>1</v>
      </c>
    </row>
    <row r="234" spans="43:99">
      <c r="AQ234" s="499"/>
      <c r="AR234" s="228">
        <v>23.151539</v>
      </c>
      <c r="AS234" s="13">
        <v>357</v>
      </c>
      <c r="AT234" s="13">
        <v>4.0078300000000002</v>
      </c>
      <c r="AU234" s="13">
        <f t="shared" si="338"/>
        <v>0</v>
      </c>
      <c r="AV234" s="13">
        <f t="shared" si="329"/>
        <v>23.151539</v>
      </c>
      <c r="AW234" s="13">
        <f t="shared" si="330"/>
        <v>23.151539</v>
      </c>
      <c r="AX234" s="13">
        <f t="shared" si="331"/>
        <v>23.151539</v>
      </c>
      <c r="AY234" s="13">
        <v>999.79793800000004</v>
      </c>
      <c r="AZ234" s="13">
        <f t="shared" si="332"/>
        <v>0</v>
      </c>
      <c r="BA234" s="13">
        <f t="shared" si="333"/>
        <v>0</v>
      </c>
      <c r="BB234" s="97">
        <f t="shared" si="334"/>
        <v>0</v>
      </c>
      <c r="BC234" s="499"/>
      <c r="BD234" s="499">
        <v>67.150000000000006</v>
      </c>
      <c r="BE234" s="499">
        <v>24.888061491935485</v>
      </c>
      <c r="BF234" s="499">
        <v>20.039324193548389</v>
      </c>
      <c r="BG234" s="499">
        <v>23.918413583017397</v>
      </c>
      <c r="BI234" s="499">
        <f t="shared" ref="BI234:BJ234" si="369">AS237</f>
        <v>102</v>
      </c>
      <c r="BJ234" s="499">
        <f t="shared" si="369"/>
        <v>4.0342450000000003</v>
      </c>
      <c r="BK234" s="5">
        <f t="shared" si="307"/>
        <v>0</v>
      </c>
      <c r="BL234" s="499">
        <f t="shared" si="308"/>
        <v>20.473941</v>
      </c>
      <c r="BM234" s="499">
        <f t="shared" si="309"/>
        <v>1001.619266</v>
      </c>
      <c r="BO234" s="499">
        <f t="shared" si="310"/>
        <v>102</v>
      </c>
      <c r="BP234" s="499">
        <f t="shared" si="311"/>
        <v>4.0342450000000003</v>
      </c>
      <c r="BQ234" s="5">
        <f t="shared" si="304"/>
        <v>0</v>
      </c>
      <c r="BR234" s="499">
        <f t="shared" si="312"/>
        <v>20.473941</v>
      </c>
      <c r="BS234" s="499">
        <f t="shared" si="313"/>
        <v>1001.619266</v>
      </c>
      <c r="BU234" s="499">
        <f t="shared" si="314"/>
        <v>102</v>
      </c>
      <c r="BV234" s="499">
        <f t="shared" si="315"/>
        <v>4.0342450000000003</v>
      </c>
      <c r="BW234" s="5">
        <f t="shared" si="305"/>
        <v>0</v>
      </c>
      <c r="BX234" s="499">
        <f t="shared" si="316"/>
        <v>20.473941</v>
      </c>
      <c r="BY234" s="499">
        <f t="shared" si="317"/>
        <v>1001.619266</v>
      </c>
      <c r="CA234">
        <v>102</v>
      </c>
      <c r="CB234">
        <v>4.0342450000000003</v>
      </c>
      <c r="CC234">
        <v>0</v>
      </c>
      <c r="CD234">
        <v>20.473941</v>
      </c>
      <c r="CE234">
        <v>1001.619266</v>
      </c>
      <c r="CG234" s="499">
        <f t="shared" si="318"/>
        <v>0</v>
      </c>
      <c r="CH234" s="499">
        <f t="shared" si="319"/>
        <v>0</v>
      </c>
      <c r="CI234" s="499">
        <f t="shared" si="320"/>
        <v>0</v>
      </c>
      <c r="CJ234" s="499">
        <f t="shared" si="321"/>
        <v>0</v>
      </c>
      <c r="CP234" s="499"/>
      <c r="CQ234" s="65">
        <f t="shared" si="323"/>
        <v>4.4066421238851973E-8</v>
      </c>
      <c r="CR234" s="499">
        <f t="shared" si="324"/>
        <v>4.4066421238851973E-8</v>
      </c>
      <c r="CS234" s="499">
        <f t="shared" si="325"/>
        <v>4.4066421238851973E-8</v>
      </c>
      <c r="CT234" s="38">
        <f t="shared" si="326"/>
        <v>1</v>
      </c>
      <c r="CU234" s="498">
        <f t="shared" si="327"/>
        <v>1</v>
      </c>
    </row>
    <row r="235" spans="43:99">
      <c r="AQ235" s="499"/>
      <c r="AR235" s="228">
        <v>19.349513999999999</v>
      </c>
      <c r="AS235" s="13">
        <v>244</v>
      </c>
      <c r="AT235" s="13">
        <v>4.0182229999999999</v>
      </c>
      <c r="AU235" s="13">
        <f t="shared" si="338"/>
        <v>0</v>
      </c>
      <c r="AV235" s="13">
        <f t="shared" si="329"/>
        <v>19.349513999999999</v>
      </c>
      <c r="AW235" s="13">
        <f t="shared" si="330"/>
        <v>19.349513999999999</v>
      </c>
      <c r="AX235" s="13">
        <f t="shared" si="331"/>
        <v>19.349513999999999</v>
      </c>
      <c r="AY235" s="13">
        <v>1000.962912</v>
      </c>
      <c r="AZ235" s="13">
        <f t="shared" si="332"/>
        <v>0</v>
      </c>
      <c r="BA235" s="13">
        <f t="shared" si="333"/>
        <v>0</v>
      </c>
      <c r="BB235" s="97">
        <f t="shared" si="334"/>
        <v>0</v>
      </c>
      <c r="BC235" s="499"/>
      <c r="BD235" s="499">
        <v>66.95</v>
      </c>
      <c r="BE235" s="499">
        <v>25.034386693548395</v>
      </c>
      <c r="BF235" s="499">
        <v>20.148940322580646</v>
      </c>
      <c r="BG235" s="499">
        <v>24.034217319299451</v>
      </c>
      <c r="BI235" s="499">
        <f t="shared" ref="BI235:BJ235" si="370">AS238</f>
        <v>23</v>
      </c>
      <c r="BJ235" s="499">
        <f t="shared" si="370"/>
        <v>4.04</v>
      </c>
      <c r="BK235" s="5">
        <f t="shared" si="307"/>
        <v>1</v>
      </c>
      <c r="BL235" s="499">
        <f t="shared" si="308"/>
        <v>29.392731999999999</v>
      </c>
      <c r="BM235" s="499">
        <f t="shared" si="309"/>
        <v>998.54181500000004</v>
      </c>
      <c r="BO235" s="499">
        <f t="shared" si="310"/>
        <v>23</v>
      </c>
      <c r="BP235" s="499">
        <f t="shared" si="311"/>
        <v>4.04</v>
      </c>
      <c r="BQ235" s="5">
        <f t="shared" si="304"/>
        <v>1</v>
      </c>
      <c r="BR235" s="499">
        <f t="shared" si="312"/>
        <v>29.392731999999999</v>
      </c>
      <c r="BS235" s="499">
        <f t="shared" si="313"/>
        <v>998.54181500000004</v>
      </c>
      <c r="BU235" s="499">
        <f t="shared" si="314"/>
        <v>23</v>
      </c>
      <c r="BV235" s="499">
        <f t="shared" si="315"/>
        <v>4.04</v>
      </c>
      <c r="BW235" s="5">
        <f t="shared" si="305"/>
        <v>1</v>
      </c>
      <c r="BX235" s="499">
        <f t="shared" si="316"/>
        <v>29.392731999999999</v>
      </c>
      <c r="BY235" s="499">
        <f t="shared" si="317"/>
        <v>998.54181500000004</v>
      </c>
      <c r="CA235">
        <v>23</v>
      </c>
      <c r="CB235">
        <v>4.04</v>
      </c>
      <c r="CC235">
        <v>1</v>
      </c>
      <c r="CD235">
        <v>29.392731999999999</v>
      </c>
      <c r="CE235">
        <v>998.54181500000004</v>
      </c>
      <c r="CG235" s="499">
        <f t="shared" si="318"/>
        <v>1</v>
      </c>
      <c r="CH235" s="499">
        <f t="shared" si="319"/>
        <v>1</v>
      </c>
      <c r="CI235" s="499">
        <f t="shared" si="320"/>
        <v>1</v>
      </c>
      <c r="CJ235" s="499">
        <f t="shared" si="321"/>
        <v>1</v>
      </c>
      <c r="CP235" s="499"/>
      <c r="CQ235" s="65">
        <f t="shared" si="323"/>
        <v>0.97842033750068469</v>
      </c>
      <c r="CR235" s="499">
        <f t="shared" si="324"/>
        <v>0.97842033750068469</v>
      </c>
      <c r="CS235" s="499">
        <f t="shared" si="325"/>
        <v>0.97842033750068469</v>
      </c>
      <c r="CT235" s="38">
        <f t="shared" si="326"/>
        <v>1</v>
      </c>
      <c r="CU235" s="498">
        <f t="shared" si="327"/>
        <v>1</v>
      </c>
    </row>
    <row r="236" spans="43:99">
      <c r="AQ236" s="499"/>
      <c r="AR236" s="228">
        <v>32.867144000000003</v>
      </c>
      <c r="AS236" s="13">
        <v>207</v>
      </c>
      <c r="AT236" s="13">
        <v>4.0340299999999996</v>
      </c>
      <c r="AU236" s="13">
        <f t="shared" si="338"/>
        <v>1</v>
      </c>
      <c r="AV236" s="13">
        <f t="shared" si="329"/>
        <v>32.867144000000003</v>
      </c>
      <c r="AW236" s="13">
        <f t="shared" si="330"/>
        <v>32.867144000000003</v>
      </c>
      <c r="AX236" s="13">
        <f t="shared" si="331"/>
        <v>32.867144000000003</v>
      </c>
      <c r="AY236" s="13">
        <v>1001.242624</v>
      </c>
      <c r="AZ236" s="13">
        <f t="shared" si="332"/>
        <v>0</v>
      </c>
      <c r="BA236" s="13">
        <f t="shared" si="333"/>
        <v>0</v>
      </c>
      <c r="BB236" s="97">
        <f t="shared" si="334"/>
        <v>0</v>
      </c>
      <c r="BC236" s="499"/>
      <c r="BD236" s="499">
        <v>66.75</v>
      </c>
      <c r="BE236" s="499">
        <v>25.136572379032266</v>
      </c>
      <c r="BF236" s="499">
        <v>20.225660685483863</v>
      </c>
      <c r="BG236" s="499">
        <v>24.119398684702389</v>
      </c>
      <c r="BI236" s="499">
        <f t="shared" ref="BI236:BJ236" si="371">AS239</f>
        <v>152</v>
      </c>
      <c r="BJ236" s="499">
        <f t="shared" si="371"/>
        <v>4.0882269999999998</v>
      </c>
      <c r="BK236" s="5">
        <f t="shared" si="307"/>
        <v>0</v>
      </c>
      <c r="BL236" s="499">
        <f t="shared" si="308"/>
        <v>21.194637</v>
      </c>
      <c r="BM236" s="499">
        <f t="shared" si="309"/>
        <v>930.189888</v>
      </c>
      <c r="BO236" s="499">
        <f t="shared" si="310"/>
        <v>152</v>
      </c>
      <c r="BP236" s="499">
        <f t="shared" si="311"/>
        <v>4.0882269999999998</v>
      </c>
      <c r="BQ236" s="5">
        <f t="shared" si="304"/>
        <v>0</v>
      </c>
      <c r="BR236" s="499">
        <f t="shared" si="312"/>
        <v>21.194637</v>
      </c>
      <c r="BS236" s="499">
        <f t="shared" si="313"/>
        <v>930.189888</v>
      </c>
      <c r="BU236" s="499">
        <f t="shared" si="314"/>
        <v>152</v>
      </c>
      <c r="BV236" s="499">
        <f t="shared" si="315"/>
        <v>4.0882269999999998</v>
      </c>
      <c r="BW236" s="5">
        <f t="shared" si="305"/>
        <v>0</v>
      </c>
      <c r="BX236" s="499">
        <f t="shared" si="316"/>
        <v>21.194637</v>
      </c>
      <c r="BY236" s="499">
        <f t="shared" si="317"/>
        <v>930.189888</v>
      </c>
      <c r="CA236">
        <v>152</v>
      </c>
      <c r="CB236">
        <v>4.0882269999999998</v>
      </c>
      <c r="CC236">
        <v>0</v>
      </c>
      <c r="CD236">
        <v>21.194637</v>
      </c>
      <c r="CE236">
        <v>930.189888</v>
      </c>
      <c r="CG236" s="499">
        <f t="shared" si="318"/>
        <v>0</v>
      </c>
      <c r="CH236" s="499">
        <f t="shared" si="319"/>
        <v>0</v>
      </c>
      <c r="CI236" s="499">
        <f t="shared" si="320"/>
        <v>0</v>
      </c>
      <c r="CJ236" s="499">
        <f t="shared" si="321"/>
        <v>0</v>
      </c>
      <c r="CP236" s="499"/>
      <c r="CQ236" s="65">
        <f t="shared" si="323"/>
        <v>4.3866919229553928E-5</v>
      </c>
      <c r="CR236" s="499">
        <f t="shared" si="324"/>
        <v>4.3866919229553928E-5</v>
      </c>
      <c r="CS236" s="499">
        <f t="shared" si="325"/>
        <v>4.3866919229553928E-5</v>
      </c>
      <c r="CT236" s="38">
        <f t="shared" si="326"/>
        <v>1</v>
      </c>
      <c r="CU236" s="498">
        <f t="shared" si="327"/>
        <v>1</v>
      </c>
    </row>
    <row r="237" spans="43:99">
      <c r="AQ237" s="499"/>
      <c r="AR237" s="228">
        <v>20.473941</v>
      </c>
      <c r="AS237" s="13">
        <v>102</v>
      </c>
      <c r="AT237" s="13">
        <v>4.0342450000000003</v>
      </c>
      <c r="AU237" s="13">
        <f t="shared" si="338"/>
        <v>0</v>
      </c>
      <c r="AV237" s="13">
        <f t="shared" si="329"/>
        <v>20.473941</v>
      </c>
      <c r="AW237" s="13">
        <f t="shared" si="330"/>
        <v>20.473941</v>
      </c>
      <c r="AX237" s="13">
        <f t="shared" si="331"/>
        <v>20.473941</v>
      </c>
      <c r="AY237" s="13">
        <v>1001.619266</v>
      </c>
      <c r="AZ237" s="13">
        <f t="shared" si="332"/>
        <v>0</v>
      </c>
      <c r="BA237" s="13">
        <f t="shared" si="333"/>
        <v>0</v>
      </c>
      <c r="BB237" s="97">
        <f t="shared" si="334"/>
        <v>0</v>
      </c>
      <c r="BC237" s="499"/>
      <c r="BD237" s="499">
        <v>66.55</v>
      </c>
      <c r="BE237" s="499">
        <v>25.217561290322571</v>
      </c>
      <c r="BF237" s="499">
        <v>20.276878225806453</v>
      </c>
      <c r="BG237" s="499">
        <v>24.200438125425826</v>
      </c>
      <c r="BI237" s="499">
        <f t="shared" ref="BI237:BJ237" si="372">AS240</f>
        <v>169</v>
      </c>
      <c r="BJ237" s="499">
        <f t="shared" si="372"/>
        <v>4.0888479999999996</v>
      </c>
      <c r="BK237" s="5">
        <f t="shared" si="307"/>
        <v>0</v>
      </c>
      <c r="BL237" s="499">
        <f t="shared" si="308"/>
        <v>17.905570999999998</v>
      </c>
      <c r="BM237" s="499">
        <f t="shared" si="309"/>
        <v>999.38897499999996</v>
      </c>
      <c r="BO237" s="499">
        <f t="shared" si="310"/>
        <v>169</v>
      </c>
      <c r="BP237" s="499">
        <f t="shared" si="311"/>
        <v>4.0888479999999996</v>
      </c>
      <c r="BQ237" s="5">
        <f t="shared" si="304"/>
        <v>0</v>
      </c>
      <c r="BR237" s="499">
        <f t="shared" si="312"/>
        <v>17.905570999999998</v>
      </c>
      <c r="BS237" s="499">
        <f t="shared" si="313"/>
        <v>999.38897499999996</v>
      </c>
      <c r="BU237" s="499">
        <f t="shared" si="314"/>
        <v>169</v>
      </c>
      <c r="BV237" s="499">
        <f t="shared" si="315"/>
        <v>4.0888479999999996</v>
      </c>
      <c r="BW237" s="5">
        <f t="shared" si="305"/>
        <v>0</v>
      </c>
      <c r="BX237" s="499">
        <f t="shared" si="316"/>
        <v>17.905570999999998</v>
      </c>
      <c r="BY237" s="499">
        <f t="shared" si="317"/>
        <v>999.38897499999996</v>
      </c>
      <c r="CA237">
        <v>169</v>
      </c>
      <c r="CB237">
        <v>4.0888479999999996</v>
      </c>
      <c r="CC237">
        <v>0</v>
      </c>
      <c r="CD237">
        <v>17.905570999999998</v>
      </c>
      <c r="CE237">
        <v>999.38897499999996</v>
      </c>
      <c r="CG237" s="499">
        <f t="shared" si="318"/>
        <v>0</v>
      </c>
      <c r="CH237" s="499">
        <f t="shared" si="319"/>
        <v>0</v>
      </c>
      <c r="CI237" s="499">
        <f t="shared" si="320"/>
        <v>0</v>
      </c>
      <c r="CJ237" s="499">
        <f t="shared" si="321"/>
        <v>0</v>
      </c>
      <c r="CP237" s="499"/>
      <c r="CQ237" s="65">
        <f t="shared" si="323"/>
        <v>0.97702184392856106</v>
      </c>
      <c r="CR237" s="499">
        <f t="shared" si="324"/>
        <v>0.97702184392856106</v>
      </c>
      <c r="CS237" s="499">
        <f t="shared" si="325"/>
        <v>0.97702184392856106</v>
      </c>
      <c r="CT237" s="38">
        <f t="shared" si="326"/>
        <v>1</v>
      </c>
      <c r="CU237" s="498">
        <f t="shared" si="327"/>
        <v>1</v>
      </c>
    </row>
    <row r="238" spans="43:99">
      <c r="AQ238" s="499"/>
      <c r="AR238" s="228">
        <v>29.392731999999999</v>
      </c>
      <c r="AS238" s="13">
        <v>23</v>
      </c>
      <c r="AT238" s="13">
        <v>4.04</v>
      </c>
      <c r="AU238" s="13">
        <f t="shared" si="338"/>
        <v>1</v>
      </c>
      <c r="AV238" s="13">
        <f t="shared" si="329"/>
        <v>29.392731999999999</v>
      </c>
      <c r="AW238" s="13">
        <f t="shared" si="330"/>
        <v>29.392731999999999</v>
      </c>
      <c r="AX238" s="13">
        <f t="shared" si="331"/>
        <v>29.392731999999999</v>
      </c>
      <c r="AY238" s="13">
        <v>998.54181500000004</v>
      </c>
      <c r="AZ238" s="13">
        <f t="shared" si="332"/>
        <v>0</v>
      </c>
      <c r="BA238" s="13">
        <f t="shared" si="333"/>
        <v>0</v>
      </c>
      <c r="BB238" s="97">
        <f t="shared" si="334"/>
        <v>0</v>
      </c>
      <c r="BC238" s="499"/>
      <c r="BD238" s="499">
        <v>66.349999999999994</v>
      </c>
      <c r="BE238" s="499">
        <v>25.290308870967756</v>
      </c>
      <c r="BF238" s="499">
        <v>20.318262903225808</v>
      </c>
      <c r="BG238" s="499">
        <v>24.291784127738101</v>
      </c>
      <c r="BI238" s="499">
        <f t="shared" ref="BI238:BJ238" si="373">AS241</f>
        <v>449</v>
      </c>
      <c r="BJ238" s="499">
        <f t="shared" si="373"/>
        <v>4.0910029999999997</v>
      </c>
      <c r="BK238" s="5">
        <f t="shared" si="307"/>
        <v>0</v>
      </c>
      <c r="BL238" s="499">
        <f t="shared" si="308"/>
        <v>17.905570999999998</v>
      </c>
      <c r="BM238" s="499">
        <f t="shared" si="309"/>
        <v>999.54391699999996</v>
      </c>
      <c r="BO238" s="499">
        <f t="shared" si="310"/>
        <v>449</v>
      </c>
      <c r="BP238" s="499">
        <f t="shared" si="311"/>
        <v>4.0910029999999997</v>
      </c>
      <c r="BQ238" s="5">
        <f t="shared" si="304"/>
        <v>0</v>
      </c>
      <c r="BR238" s="499">
        <f t="shared" si="312"/>
        <v>17.905570999999998</v>
      </c>
      <c r="BS238" s="499">
        <f t="shared" si="313"/>
        <v>999.54391699999996</v>
      </c>
      <c r="BU238" s="499">
        <f t="shared" si="314"/>
        <v>449</v>
      </c>
      <c r="BV238" s="499">
        <f t="shared" si="315"/>
        <v>4.0910029999999997</v>
      </c>
      <c r="BW238" s="5">
        <f t="shared" si="305"/>
        <v>0</v>
      </c>
      <c r="BX238" s="499">
        <f t="shared" si="316"/>
        <v>17.905570999999998</v>
      </c>
      <c r="BY238" s="499">
        <f t="shared" si="317"/>
        <v>999.54391699999996</v>
      </c>
      <c r="CA238">
        <v>449</v>
      </c>
      <c r="CB238">
        <v>4.0910029999999997</v>
      </c>
      <c r="CC238">
        <v>0</v>
      </c>
      <c r="CD238">
        <v>17.905570999999998</v>
      </c>
      <c r="CE238">
        <v>999.54391699999996</v>
      </c>
      <c r="CG238" s="499">
        <f t="shared" si="318"/>
        <v>0</v>
      </c>
      <c r="CH238" s="499">
        <f t="shared" si="319"/>
        <v>0</v>
      </c>
      <c r="CI238" s="499">
        <f t="shared" si="320"/>
        <v>0</v>
      </c>
      <c r="CJ238" s="499">
        <f t="shared" si="321"/>
        <v>0</v>
      </c>
      <c r="CP238" s="499"/>
      <c r="CQ238" s="65">
        <f t="shared" si="323"/>
        <v>0.97885732648494217</v>
      </c>
      <c r="CR238" s="499">
        <f t="shared" si="324"/>
        <v>0.97885732648494217</v>
      </c>
      <c r="CS238" s="499">
        <f t="shared" si="325"/>
        <v>0.97885732648494217</v>
      </c>
      <c r="CT238" s="38">
        <f t="shared" si="326"/>
        <v>1</v>
      </c>
      <c r="CU238" s="498">
        <f t="shared" si="327"/>
        <v>1</v>
      </c>
    </row>
    <row r="239" spans="43:99">
      <c r="AQ239" s="499"/>
      <c r="AR239" s="228">
        <v>21.194637</v>
      </c>
      <c r="AS239" s="13">
        <v>152</v>
      </c>
      <c r="AT239" s="13">
        <v>4.0882269999999998</v>
      </c>
      <c r="AU239" s="13">
        <f t="shared" si="338"/>
        <v>0</v>
      </c>
      <c r="AV239" s="13">
        <f t="shared" si="329"/>
        <v>21.194637</v>
      </c>
      <c r="AW239" s="13">
        <f t="shared" si="330"/>
        <v>21.194637</v>
      </c>
      <c r="AX239" s="13">
        <f t="shared" si="331"/>
        <v>21.194637</v>
      </c>
      <c r="AY239" s="13">
        <v>930.189888</v>
      </c>
      <c r="AZ239" s="13">
        <f t="shared" si="332"/>
        <v>0</v>
      </c>
      <c r="BA239" s="13">
        <f t="shared" si="333"/>
        <v>0</v>
      </c>
      <c r="BB239" s="97">
        <f t="shared" si="334"/>
        <v>0</v>
      </c>
      <c r="BC239" s="499"/>
      <c r="BD239" s="499">
        <v>66.150000000000006</v>
      </c>
      <c r="BE239" s="499">
        <v>25.318470967741934</v>
      </c>
      <c r="BF239" s="499">
        <v>20.27593044354839</v>
      </c>
      <c r="BG239" s="499">
        <v>24.377485049958803</v>
      </c>
      <c r="BI239" s="499">
        <f t="shared" ref="BI239:BJ239" si="374">AS242</f>
        <v>284</v>
      </c>
      <c r="BJ239" s="499">
        <f t="shared" si="374"/>
        <v>4.0931569999999997</v>
      </c>
      <c r="BK239" s="5">
        <f t="shared" si="307"/>
        <v>0</v>
      </c>
      <c r="BL239" s="499">
        <f t="shared" si="308"/>
        <v>19.386263</v>
      </c>
      <c r="BM239" s="499">
        <f t="shared" si="309"/>
        <v>1492.7075400000001</v>
      </c>
      <c r="BO239" s="499">
        <f t="shared" si="310"/>
        <v>284</v>
      </c>
      <c r="BP239" s="499">
        <f t="shared" si="311"/>
        <v>4.0931569999999997</v>
      </c>
      <c r="BQ239" s="5">
        <f t="shared" si="304"/>
        <v>0</v>
      </c>
      <c r="BR239" s="499">
        <f t="shared" si="312"/>
        <v>19.386263</v>
      </c>
      <c r="BS239" s="499">
        <f t="shared" si="313"/>
        <v>1492.7075400000001</v>
      </c>
      <c r="BU239" s="499">
        <f t="shared" si="314"/>
        <v>284</v>
      </c>
      <c r="BV239" s="499">
        <f t="shared" si="315"/>
        <v>4.0931569999999997</v>
      </c>
      <c r="BW239" s="5">
        <f t="shared" si="305"/>
        <v>0</v>
      </c>
      <c r="BX239" s="499">
        <f t="shared" si="316"/>
        <v>19.386263</v>
      </c>
      <c r="BY239" s="499">
        <f t="shared" si="317"/>
        <v>1492.7075400000001</v>
      </c>
      <c r="CA239">
        <v>284</v>
      </c>
      <c r="CB239">
        <v>4.0931569999999997</v>
      </c>
      <c r="CC239">
        <v>0</v>
      </c>
      <c r="CD239">
        <v>19.386263</v>
      </c>
      <c r="CE239">
        <v>1492.7075400000001</v>
      </c>
      <c r="CG239" s="499">
        <f t="shared" si="318"/>
        <v>0</v>
      </c>
      <c r="CH239" s="499">
        <f t="shared" si="319"/>
        <v>0</v>
      </c>
      <c r="CI239" s="499">
        <f t="shared" si="320"/>
        <v>0</v>
      </c>
      <c r="CJ239" s="499">
        <f t="shared" si="321"/>
        <v>0</v>
      </c>
      <c r="CP239" s="499"/>
      <c r="CQ239" s="65">
        <f t="shared" si="323"/>
        <v>0.97885732648494217</v>
      </c>
      <c r="CR239" s="499">
        <f t="shared" si="324"/>
        <v>0.97885732648494217</v>
      </c>
      <c r="CS239" s="499">
        <f t="shared" si="325"/>
        <v>0.97885732648494217</v>
      </c>
      <c r="CT239" s="38">
        <f t="shared" si="326"/>
        <v>1</v>
      </c>
      <c r="CU239" s="498">
        <f t="shared" si="327"/>
        <v>1</v>
      </c>
    </row>
    <row r="240" spans="43:99">
      <c r="AQ240" s="499"/>
      <c r="AR240" s="228">
        <v>17.905570999999998</v>
      </c>
      <c r="AS240" s="13">
        <v>169</v>
      </c>
      <c r="AT240" s="13">
        <v>4.0888479999999996</v>
      </c>
      <c r="AU240" s="13">
        <f t="shared" si="338"/>
        <v>0</v>
      </c>
      <c r="AV240" s="13">
        <f t="shared" si="329"/>
        <v>17.905570999999998</v>
      </c>
      <c r="AW240" s="13">
        <f t="shared" si="330"/>
        <v>17.905570999999998</v>
      </c>
      <c r="AX240" s="13">
        <f t="shared" si="331"/>
        <v>17.905570999999998</v>
      </c>
      <c r="AY240" s="13">
        <v>999.38897499999996</v>
      </c>
      <c r="AZ240" s="13">
        <f t="shared" si="332"/>
        <v>0</v>
      </c>
      <c r="BA240" s="13">
        <f t="shared" si="333"/>
        <v>0</v>
      </c>
      <c r="BB240" s="97">
        <f t="shared" si="334"/>
        <v>0</v>
      </c>
      <c r="BC240" s="499"/>
      <c r="BD240" s="499">
        <v>65.95</v>
      </c>
      <c r="BE240" s="499">
        <v>25.39548185483871</v>
      </c>
      <c r="BF240" s="499">
        <v>20.337572782258071</v>
      </c>
      <c r="BG240" s="499">
        <v>24.440889943653854</v>
      </c>
      <c r="BI240" s="499">
        <f t="shared" ref="BI240:BJ240" si="375">AS243</f>
        <v>68</v>
      </c>
      <c r="BJ240" s="499">
        <f t="shared" si="375"/>
        <v>4.09971</v>
      </c>
      <c r="BK240" s="5">
        <f t="shared" si="307"/>
        <v>0</v>
      </c>
      <c r="BL240" s="499">
        <f t="shared" si="308"/>
        <v>17.620457999999999</v>
      </c>
      <c r="BM240" s="499">
        <f t="shared" si="309"/>
        <v>923.20297400000004</v>
      </c>
      <c r="BO240" s="499">
        <f t="shared" si="310"/>
        <v>68</v>
      </c>
      <c r="BP240" s="499">
        <f t="shared" si="311"/>
        <v>4.09971</v>
      </c>
      <c r="BQ240" s="5">
        <f t="shared" si="304"/>
        <v>0</v>
      </c>
      <c r="BR240" s="499">
        <f t="shared" si="312"/>
        <v>17.620457999999999</v>
      </c>
      <c r="BS240" s="499">
        <f t="shared" si="313"/>
        <v>923.20297400000004</v>
      </c>
      <c r="BU240" s="499">
        <f t="shared" si="314"/>
        <v>68</v>
      </c>
      <c r="BV240" s="499">
        <f t="shared" si="315"/>
        <v>4.09971</v>
      </c>
      <c r="BW240" s="5">
        <f t="shared" si="305"/>
        <v>0</v>
      </c>
      <c r="BX240" s="499">
        <f t="shared" si="316"/>
        <v>17.620457999999999</v>
      </c>
      <c r="BY240" s="499">
        <f t="shared" si="317"/>
        <v>923.20297400000004</v>
      </c>
      <c r="CA240">
        <v>68</v>
      </c>
      <c r="CB240">
        <v>4.09971</v>
      </c>
      <c r="CC240">
        <v>0</v>
      </c>
      <c r="CD240">
        <v>17.620457999999999</v>
      </c>
      <c r="CE240">
        <v>923.20297400000004</v>
      </c>
      <c r="CG240" s="499">
        <f t="shared" si="318"/>
        <v>0</v>
      </c>
      <c r="CH240" s="499">
        <f t="shared" si="319"/>
        <v>0</v>
      </c>
      <c r="CI240" s="499">
        <f t="shared" si="320"/>
        <v>0</v>
      </c>
      <c r="CJ240" s="499">
        <f t="shared" si="321"/>
        <v>0</v>
      </c>
      <c r="CP240" s="499"/>
      <c r="CQ240" s="65">
        <f t="shared" si="323"/>
        <v>0.97880933111105051</v>
      </c>
      <c r="CR240" s="499">
        <f t="shared" si="324"/>
        <v>0.97880933111105051</v>
      </c>
      <c r="CS240" s="499">
        <f t="shared" si="325"/>
        <v>0.97880933111105051</v>
      </c>
      <c r="CT240" s="38">
        <f t="shared" si="326"/>
        <v>1</v>
      </c>
      <c r="CU240" s="498">
        <f t="shared" si="327"/>
        <v>1</v>
      </c>
    </row>
    <row r="241" spans="43:99">
      <c r="AQ241" s="499"/>
      <c r="AR241" s="228">
        <v>17.905570999999998</v>
      </c>
      <c r="AS241" s="13">
        <v>449</v>
      </c>
      <c r="AT241" s="13">
        <v>4.0910029999999997</v>
      </c>
      <c r="AU241" s="13">
        <f t="shared" si="338"/>
        <v>0</v>
      </c>
      <c r="AV241" s="13">
        <f t="shared" si="329"/>
        <v>17.905570999999998</v>
      </c>
      <c r="AW241" s="13">
        <f t="shared" si="330"/>
        <v>17.905570999999998</v>
      </c>
      <c r="AX241" s="13">
        <f t="shared" si="331"/>
        <v>17.905570999999998</v>
      </c>
      <c r="AY241" s="13">
        <v>999.54391699999996</v>
      </c>
      <c r="AZ241" s="13">
        <f t="shared" si="332"/>
        <v>0</v>
      </c>
      <c r="BA241" s="13">
        <f t="shared" si="333"/>
        <v>0</v>
      </c>
      <c r="BB241" s="97">
        <f t="shared" si="334"/>
        <v>0</v>
      </c>
      <c r="BC241" s="499"/>
      <c r="BD241" s="499">
        <v>65.75</v>
      </c>
      <c r="BE241" s="499">
        <v>25.409885685483868</v>
      </c>
      <c r="BF241" s="499">
        <v>20.42026834677419</v>
      </c>
      <c r="BG241" s="499">
        <v>24.468895157293964</v>
      </c>
      <c r="BI241" s="499">
        <f t="shared" ref="BI241:BJ241" si="376">AS244</f>
        <v>442</v>
      </c>
      <c r="BJ241" s="499">
        <f t="shared" si="376"/>
        <v>4.0999999999999996</v>
      </c>
      <c r="BK241" s="5">
        <f t="shared" si="307"/>
        <v>0</v>
      </c>
      <c r="BL241" s="499">
        <f t="shared" si="308"/>
        <v>19.147392</v>
      </c>
      <c r="BM241" s="499">
        <f t="shared" si="309"/>
        <v>1001.087681</v>
      </c>
      <c r="BO241" s="499">
        <f t="shared" si="310"/>
        <v>442</v>
      </c>
      <c r="BP241" s="499">
        <f t="shared" si="311"/>
        <v>4.0999999999999996</v>
      </c>
      <c r="BQ241" s="5">
        <f t="shared" si="304"/>
        <v>0</v>
      </c>
      <c r="BR241" s="499">
        <f t="shared" si="312"/>
        <v>19.147392</v>
      </c>
      <c r="BS241" s="499">
        <f t="shared" si="313"/>
        <v>1001.087681</v>
      </c>
      <c r="BU241" s="499">
        <f t="shared" si="314"/>
        <v>442</v>
      </c>
      <c r="BV241" s="499">
        <f t="shared" si="315"/>
        <v>4.0999999999999996</v>
      </c>
      <c r="BW241" s="5">
        <f t="shared" si="305"/>
        <v>0</v>
      </c>
      <c r="BX241" s="499">
        <f t="shared" si="316"/>
        <v>19.147392</v>
      </c>
      <c r="BY241" s="499">
        <f t="shared" si="317"/>
        <v>1001.087681</v>
      </c>
      <c r="CA241">
        <v>442</v>
      </c>
      <c r="CB241">
        <v>4.0999999999999996</v>
      </c>
      <c r="CC241">
        <v>0</v>
      </c>
      <c r="CD241">
        <v>19.147392</v>
      </c>
      <c r="CE241">
        <v>1001.087681</v>
      </c>
      <c r="CG241" s="499">
        <f t="shared" si="318"/>
        <v>0</v>
      </c>
      <c r="CH241" s="499">
        <f t="shared" si="319"/>
        <v>0</v>
      </c>
      <c r="CI241" s="499">
        <f t="shared" si="320"/>
        <v>0</v>
      </c>
      <c r="CJ241" s="499">
        <f t="shared" si="321"/>
        <v>0</v>
      </c>
      <c r="CP241" s="499"/>
      <c r="CQ241" s="65">
        <f t="shared" si="323"/>
        <v>0.97885848273692333</v>
      </c>
      <c r="CR241" s="499">
        <f t="shared" si="324"/>
        <v>0.97885848273692333</v>
      </c>
      <c r="CS241" s="499">
        <f t="shared" si="325"/>
        <v>0.97885848273692333</v>
      </c>
      <c r="CT241" s="38">
        <f t="shared" si="326"/>
        <v>1</v>
      </c>
      <c r="CU241" s="498">
        <f t="shared" si="327"/>
        <v>1</v>
      </c>
    </row>
    <row r="242" spans="43:99">
      <c r="AQ242" s="499"/>
      <c r="AR242" s="228">
        <v>19.386263</v>
      </c>
      <c r="AS242" s="13">
        <v>284</v>
      </c>
      <c r="AT242" s="13">
        <v>4.0931569999999997</v>
      </c>
      <c r="AU242" s="13">
        <f t="shared" si="338"/>
        <v>0</v>
      </c>
      <c r="AV242" s="13">
        <f t="shared" si="329"/>
        <v>19.386263</v>
      </c>
      <c r="AW242" s="13">
        <f t="shared" si="330"/>
        <v>19.386263</v>
      </c>
      <c r="AX242" s="13">
        <f t="shared" si="331"/>
        <v>19.386263</v>
      </c>
      <c r="AY242" s="13">
        <v>1492.7075400000001</v>
      </c>
      <c r="AZ242" s="13">
        <f t="shared" si="332"/>
        <v>0</v>
      </c>
      <c r="BA242" s="13">
        <f t="shared" si="333"/>
        <v>0</v>
      </c>
      <c r="BB242" s="97">
        <f t="shared" si="334"/>
        <v>0</v>
      </c>
      <c r="BC242" s="499"/>
      <c r="BD242" s="499">
        <v>65.55</v>
      </c>
      <c r="BE242" s="499">
        <v>25.311130645161281</v>
      </c>
      <c r="BF242" s="499">
        <v>20.432125403225811</v>
      </c>
      <c r="BG242" s="499">
        <v>24.385326423878212</v>
      </c>
      <c r="BI242" s="499">
        <f t="shared" ref="BI242:BJ242" si="377">AS245</f>
        <v>275</v>
      </c>
      <c r="BJ242" s="499">
        <f t="shared" si="377"/>
        <v>4.0999999999999996</v>
      </c>
      <c r="BK242" s="5">
        <f t="shared" si="307"/>
        <v>1</v>
      </c>
      <c r="BL242" s="499">
        <f t="shared" si="308"/>
        <v>29.666878000000001</v>
      </c>
      <c r="BM242" s="499">
        <f t="shared" si="309"/>
        <v>1115.152525</v>
      </c>
      <c r="BO242" s="499">
        <f t="shared" si="310"/>
        <v>275</v>
      </c>
      <c r="BP242" s="499">
        <f t="shared" si="311"/>
        <v>4.0999999999999996</v>
      </c>
      <c r="BQ242" s="5">
        <f t="shared" si="304"/>
        <v>1</v>
      </c>
      <c r="BR242" s="499">
        <f t="shared" si="312"/>
        <v>29.666878000000001</v>
      </c>
      <c r="BS242" s="499">
        <f t="shared" si="313"/>
        <v>1115.152525</v>
      </c>
      <c r="BU242" s="499">
        <f t="shared" si="314"/>
        <v>275</v>
      </c>
      <c r="BV242" s="499">
        <f t="shared" si="315"/>
        <v>4.0999999999999996</v>
      </c>
      <c r="BW242" s="5">
        <f t="shared" si="305"/>
        <v>1</v>
      </c>
      <c r="BX242" s="499">
        <f t="shared" si="316"/>
        <v>29.666878000000001</v>
      </c>
      <c r="BY242" s="499">
        <f t="shared" si="317"/>
        <v>1115.152525</v>
      </c>
      <c r="CA242">
        <v>275</v>
      </c>
      <c r="CB242">
        <v>4.0999999999999996</v>
      </c>
      <c r="CC242">
        <v>1</v>
      </c>
      <c r="CD242">
        <v>29.666878000000001</v>
      </c>
      <c r="CE242">
        <v>1115.152525</v>
      </c>
      <c r="CG242" s="499">
        <f t="shared" si="318"/>
        <v>1</v>
      </c>
      <c r="CH242" s="499">
        <f t="shared" si="319"/>
        <v>1</v>
      </c>
      <c r="CI242" s="499">
        <f t="shared" si="320"/>
        <v>1</v>
      </c>
      <c r="CJ242" s="499">
        <f t="shared" si="321"/>
        <v>1</v>
      </c>
      <c r="CP242" s="499"/>
      <c r="CQ242" s="65">
        <f t="shared" si="323"/>
        <v>0.97882847685382146</v>
      </c>
      <c r="CR242" s="499">
        <f t="shared" si="324"/>
        <v>0.97882847685382146</v>
      </c>
      <c r="CS242" s="499">
        <f t="shared" si="325"/>
        <v>0.97882847685382146</v>
      </c>
      <c r="CT242" s="38">
        <f t="shared" si="326"/>
        <v>1</v>
      </c>
      <c r="CU242" s="498">
        <f t="shared" si="327"/>
        <v>1</v>
      </c>
    </row>
    <row r="243" spans="43:99">
      <c r="AQ243" s="499"/>
      <c r="AR243" s="228">
        <v>17.620457999999999</v>
      </c>
      <c r="AS243" s="13">
        <v>68</v>
      </c>
      <c r="AT243" s="13">
        <v>4.09971</v>
      </c>
      <c r="AU243" s="13">
        <f t="shared" si="338"/>
        <v>0</v>
      </c>
      <c r="AV243" s="13">
        <f t="shared" si="329"/>
        <v>17.620457999999999</v>
      </c>
      <c r="AW243" s="13">
        <f t="shared" si="330"/>
        <v>17.620457999999999</v>
      </c>
      <c r="AX243" s="13">
        <f t="shared" si="331"/>
        <v>17.620457999999999</v>
      </c>
      <c r="AY243" s="13">
        <v>923.20297400000004</v>
      </c>
      <c r="AZ243" s="13">
        <f t="shared" si="332"/>
        <v>0</v>
      </c>
      <c r="BA243" s="13">
        <f t="shared" si="333"/>
        <v>0</v>
      </c>
      <c r="BB243" s="97">
        <f t="shared" si="334"/>
        <v>0</v>
      </c>
      <c r="BC243" s="499"/>
      <c r="BD243" s="499">
        <v>65.349999999999994</v>
      </c>
      <c r="BE243" s="499">
        <v>25.280584677419355</v>
      </c>
      <c r="BF243" s="499">
        <v>20.436226411290317</v>
      </c>
      <c r="BG243" s="499">
        <v>24.393842751039376</v>
      </c>
      <c r="BI243" s="499">
        <f t="shared" ref="BI243:BJ243" si="378">AS246</f>
        <v>359</v>
      </c>
      <c r="BJ243" s="499">
        <f t="shared" si="378"/>
        <v>4.0999999999999996</v>
      </c>
      <c r="BK243" s="5">
        <f t="shared" si="307"/>
        <v>1</v>
      </c>
      <c r="BL243" s="499">
        <f t="shared" si="308"/>
        <v>35.234413000000004</v>
      </c>
      <c r="BM243" s="499">
        <f t="shared" si="309"/>
        <v>1000.510123</v>
      </c>
      <c r="BO243" s="499">
        <f t="shared" si="310"/>
        <v>359</v>
      </c>
      <c r="BP243" s="499">
        <f t="shared" si="311"/>
        <v>4.0999999999999996</v>
      </c>
      <c r="BQ243" s="5">
        <f t="shared" si="304"/>
        <v>1</v>
      </c>
      <c r="BR243" s="499">
        <f t="shared" si="312"/>
        <v>35.234413000000004</v>
      </c>
      <c r="BS243" s="499">
        <f t="shared" si="313"/>
        <v>1000.510123</v>
      </c>
      <c r="BU243" s="499">
        <f t="shared" si="314"/>
        <v>359</v>
      </c>
      <c r="BV243" s="499">
        <f t="shared" si="315"/>
        <v>4.0999999999999996</v>
      </c>
      <c r="BW243" s="5">
        <f t="shared" si="305"/>
        <v>1</v>
      </c>
      <c r="BX243" s="499">
        <f t="shared" si="316"/>
        <v>35.234413000000004</v>
      </c>
      <c r="BY243" s="499">
        <f t="shared" si="317"/>
        <v>1000.510123</v>
      </c>
      <c r="CA243">
        <v>359</v>
      </c>
      <c r="CB243">
        <v>4.0999999999999996</v>
      </c>
      <c r="CC243">
        <v>1</v>
      </c>
      <c r="CD243">
        <v>35.234413000000004</v>
      </c>
      <c r="CE243">
        <v>1000.510123</v>
      </c>
      <c r="CG243" s="499">
        <f t="shared" si="318"/>
        <v>1</v>
      </c>
      <c r="CH243" s="499">
        <f t="shared" si="319"/>
        <v>1</v>
      </c>
      <c r="CI243" s="499">
        <f t="shared" si="320"/>
        <v>1</v>
      </c>
      <c r="CJ243" s="499">
        <f t="shared" si="321"/>
        <v>1</v>
      </c>
      <c r="CP243" s="499"/>
      <c r="CQ243" s="65">
        <f t="shared" si="323"/>
        <v>2.5444059806123252E-5</v>
      </c>
      <c r="CR243" s="499">
        <f t="shared" si="324"/>
        <v>2.5444059806123252E-5</v>
      </c>
      <c r="CS243" s="499">
        <f t="shared" si="325"/>
        <v>2.5444059806123252E-5</v>
      </c>
      <c r="CT243" s="38">
        <f t="shared" si="326"/>
        <v>1</v>
      </c>
      <c r="CU243" s="498">
        <f t="shared" si="327"/>
        <v>1</v>
      </c>
    </row>
    <row r="244" spans="43:99">
      <c r="AQ244" s="499"/>
      <c r="AR244" s="228">
        <v>19.147392</v>
      </c>
      <c r="AS244" s="13">
        <v>442</v>
      </c>
      <c r="AT244" s="13">
        <v>4.0999999999999996</v>
      </c>
      <c r="AU244" s="13">
        <f t="shared" si="338"/>
        <v>0</v>
      </c>
      <c r="AV244" s="13">
        <f t="shared" si="329"/>
        <v>19.147392</v>
      </c>
      <c r="AW244" s="13">
        <f t="shared" si="330"/>
        <v>19.147392</v>
      </c>
      <c r="AX244" s="13">
        <f t="shared" si="331"/>
        <v>19.147392</v>
      </c>
      <c r="AY244" s="13">
        <v>1001.087681</v>
      </c>
      <c r="AZ244" s="13">
        <f t="shared" si="332"/>
        <v>0</v>
      </c>
      <c r="BA244" s="13">
        <f t="shared" si="333"/>
        <v>0</v>
      </c>
      <c r="BB244" s="97">
        <f t="shared" si="334"/>
        <v>0</v>
      </c>
      <c r="BC244" s="499"/>
      <c r="BD244" s="499">
        <v>65.150000000000006</v>
      </c>
      <c r="BE244" s="499">
        <v>25.188419959677415</v>
      </c>
      <c r="BF244" s="499">
        <v>20.373165120967744</v>
      </c>
      <c r="BG244" s="499">
        <v>24.38525578498626</v>
      </c>
      <c r="BI244" s="499">
        <f t="shared" ref="BI244:BJ244" si="379">AS247</f>
        <v>393</v>
      </c>
      <c r="BJ244" s="499">
        <f t="shared" si="379"/>
        <v>4.0999999999999996</v>
      </c>
      <c r="BK244" s="5">
        <f t="shared" si="307"/>
        <v>1</v>
      </c>
      <c r="BL244" s="499">
        <f t="shared" si="308"/>
        <v>35.234413000000004</v>
      </c>
      <c r="BM244" s="499">
        <f t="shared" si="309"/>
        <v>999.17886699999997</v>
      </c>
      <c r="BO244" s="499">
        <f t="shared" si="310"/>
        <v>393</v>
      </c>
      <c r="BP244" s="499">
        <f t="shared" si="311"/>
        <v>4.0999999999999996</v>
      </c>
      <c r="BQ244" s="5">
        <f t="shared" si="304"/>
        <v>1</v>
      </c>
      <c r="BR244" s="499">
        <f t="shared" si="312"/>
        <v>35.234413000000004</v>
      </c>
      <c r="BS244" s="499">
        <f t="shared" si="313"/>
        <v>999.17886699999997</v>
      </c>
      <c r="BU244" s="499">
        <f t="shared" si="314"/>
        <v>393</v>
      </c>
      <c r="BV244" s="499">
        <f t="shared" si="315"/>
        <v>4.0999999999999996</v>
      </c>
      <c r="BW244" s="5">
        <f t="shared" si="305"/>
        <v>1</v>
      </c>
      <c r="BX244" s="499">
        <f t="shared" si="316"/>
        <v>35.234413000000004</v>
      </c>
      <c r="BY244" s="499">
        <f t="shared" si="317"/>
        <v>999.17886699999997</v>
      </c>
      <c r="CA244">
        <v>393</v>
      </c>
      <c r="CB244">
        <v>4.0999999999999996</v>
      </c>
      <c r="CC244">
        <v>1</v>
      </c>
      <c r="CD244">
        <v>35.234413000000004</v>
      </c>
      <c r="CE244">
        <v>999.17886699999997</v>
      </c>
      <c r="CG244" s="499">
        <f t="shared" si="318"/>
        <v>1</v>
      </c>
      <c r="CH244" s="499">
        <f t="shared" si="319"/>
        <v>1</v>
      </c>
      <c r="CI244" s="499">
        <f t="shared" si="320"/>
        <v>1</v>
      </c>
      <c r="CJ244" s="499">
        <f t="shared" si="321"/>
        <v>1</v>
      </c>
      <c r="CP244" s="499"/>
      <c r="CQ244" s="65">
        <f t="shared" si="323"/>
        <v>3.9939801835740248E-10</v>
      </c>
      <c r="CR244" s="499">
        <f t="shared" si="324"/>
        <v>3.9939801835740248E-10</v>
      </c>
      <c r="CS244" s="499">
        <f t="shared" si="325"/>
        <v>3.9939801835740248E-10</v>
      </c>
      <c r="CT244" s="38">
        <f t="shared" si="326"/>
        <v>1</v>
      </c>
      <c r="CU244" s="498">
        <f t="shared" si="327"/>
        <v>1</v>
      </c>
    </row>
    <row r="245" spans="43:99">
      <c r="AQ245" s="499"/>
      <c r="AR245" s="228">
        <v>29.666878000000001</v>
      </c>
      <c r="AS245" s="13">
        <v>275</v>
      </c>
      <c r="AT245" s="13">
        <v>4.0999999999999996</v>
      </c>
      <c r="AU245" s="13">
        <f t="shared" si="338"/>
        <v>1</v>
      </c>
      <c r="AV245" s="13">
        <f t="shared" si="329"/>
        <v>29.666878000000001</v>
      </c>
      <c r="AW245" s="13">
        <f t="shared" si="330"/>
        <v>29.666878000000001</v>
      </c>
      <c r="AX245" s="13">
        <f t="shared" si="331"/>
        <v>29.666878000000001</v>
      </c>
      <c r="AY245" s="13">
        <v>1115.152525</v>
      </c>
      <c r="AZ245" s="13">
        <f t="shared" si="332"/>
        <v>0</v>
      </c>
      <c r="BA245" s="13">
        <f t="shared" si="333"/>
        <v>0</v>
      </c>
      <c r="BB245" s="97">
        <f t="shared" si="334"/>
        <v>0</v>
      </c>
      <c r="BC245" s="499"/>
      <c r="BD245" s="499">
        <v>64.95</v>
      </c>
      <c r="BE245" s="499">
        <v>25.125518951612893</v>
      </c>
      <c r="BF245" s="499">
        <v>20.34411129032258</v>
      </c>
      <c r="BG245" s="499">
        <v>24.377405364171235</v>
      </c>
      <c r="BI245" s="499">
        <f t="shared" ref="BI245:BJ245" si="380">AS248</f>
        <v>412</v>
      </c>
      <c r="BJ245" s="499">
        <f t="shared" si="380"/>
        <v>4.0999999999999996</v>
      </c>
      <c r="BK245" s="5">
        <f t="shared" si="307"/>
        <v>1</v>
      </c>
      <c r="BL245" s="499">
        <f t="shared" si="308"/>
        <v>35.234413000000004</v>
      </c>
      <c r="BM245" s="499">
        <f t="shared" si="309"/>
        <v>998.82629199999997</v>
      </c>
      <c r="BO245" s="499">
        <f t="shared" si="310"/>
        <v>412</v>
      </c>
      <c r="BP245" s="499">
        <f t="shared" si="311"/>
        <v>4.0999999999999996</v>
      </c>
      <c r="BQ245" s="5">
        <f t="shared" si="304"/>
        <v>1</v>
      </c>
      <c r="BR245" s="499">
        <f t="shared" si="312"/>
        <v>35.234413000000004</v>
      </c>
      <c r="BS245" s="499">
        <f t="shared" si="313"/>
        <v>998.82629199999997</v>
      </c>
      <c r="BU245" s="499">
        <f t="shared" si="314"/>
        <v>412</v>
      </c>
      <c r="BV245" s="499">
        <f t="shared" si="315"/>
        <v>4.0999999999999996</v>
      </c>
      <c r="BW245" s="5">
        <f t="shared" si="305"/>
        <v>1</v>
      </c>
      <c r="BX245" s="499">
        <f t="shared" si="316"/>
        <v>35.234413000000004</v>
      </c>
      <c r="BY245" s="499">
        <f t="shared" si="317"/>
        <v>998.82629199999997</v>
      </c>
      <c r="CA245">
        <v>412</v>
      </c>
      <c r="CB245">
        <v>4.0999999999999996</v>
      </c>
      <c r="CC245">
        <v>1</v>
      </c>
      <c r="CD245">
        <v>35.234413000000004</v>
      </c>
      <c r="CE245">
        <v>998.82629199999997</v>
      </c>
      <c r="CG245" s="499">
        <f t="shared" si="318"/>
        <v>1</v>
      </c>
      <c r="CH245" s="499">
        <f t="shared" si="319"/>
        <v>1</v>
      </c>
      <c r="CI245" s="499">
        <f t="shared" si="320"/>
        <v>1</v>
      </c>
      <c r="CJ245" s="499">
        <f t="shared" si="321"/>
        <v>1</v>
      </c>
      <c r="CP245" s="499"/>
      <c r="CQ245" s="65">
        <f t="shared" si="323"/>
        <v>3.9939801835740248E-10</v>
      </c>
      <c r="CR245" s="499">
        <f t="shared" si="324"/>
        <v>3.9939801835740248E-10</v>
      </c>
      <c r="CS245" s="499">
        <f t="shared" si="325"/>
        <v>3.9939801835740248E-10</v>
      </c>
      <c r="CT245" s="38">
        <f t="shared" si="326"/>
        <v>1</v>
      </c>
      <c r="CU245" s="498">
        <f t="shared" si="327"/>
        <v>1</v>
      </c>
    </row>
    <row r="246" spans="43:99">
      <c r="AQ246" s="499"/>
      <c r="AR246" s="228">
        <v>35.234413000000004</v>
      </c>
      <c r="AS246" s="13">
        <v>359</v>
      </c>
      <c r="AT246" s="13">
        <v>4.0999999999999996</v>
      </c>
      <c r="AU246" s="13">
        <f t="shared" si="338"/>
        <v>1</v>
      </c>
      <c r="AV246" s="13">
        <f t="shared" si="329"/>
        <v>35.234413000000004</v>
      </c>
      <c r="AW246" s="13">
        <f t="shared" si="330"/>
        <v>35.234413000000004</v>
      </c>
      <c r="AX246" s="13">
        <f t="shared" si="331"/>
        <v>35.234413000000004</v>
      </c>
      <c r="AY246" s="13">
        <v>1000.510123</v>
      </c>
      <c r="AZ246" s="13">
        <f t="shared" si="332"/>
        <v>0</v>
      </c>
      <c r="BA246" s="13">
        <f t="shared" si="333"/>
        <v>0</v>
      </c>
      <c r="BB246" s="97">
        <f t="shared" si="334"/>
        <v>0</v>
      </c>
      <c r="BC246" s="499"/>
      <c r="BD246" s="499">
        <v>64.75</v>
      </c>
      <c r="BE246" s="499">
        <v>25.013792137096779</v>
      </c>
      <c r="BF246" s="499">
        <v>20.350180443548389</v>
      </c>
      <c r="BG246" s="499">
        <v>24.315261735659337</v>
      </c>
      <c r="BI246" s="499">
        <f t="shared" ref="BI246:BJ246" si="381">AS249</f>
        <v>155</v>
      </c>
      <c r="BJ246" s="499">
        <f t="shared" si="381"/>
        <v>4.1004670000000001</v>
      </c>
      <c r="BK246" s="5">
        <f t="shared" si="307"/>
        <v>1</v>
      </c>
      <c r="BL246" s="499">
        <f t="shared" si="308"/>
        <v>32.867144000000003</v>
      </c>
      <c r="BM246" s="499">
        <f t="shared" si="309"/>
        <v>1001.465869</v>
      </c>
      <c r="BO246" s="499">
        <f t="shared" si="310"/>
        <v>155</v>
      </c>
      <c r="BP246" s="499">
        <f t="shared" si="311"/>
        <v>4.1004670000000001</v>
      </c>
      <c r="BQ246" s="5">
        <f t="shared" si="304"/>
        <v>1</v>
      </c>
      <c r="BR246" s="499">
        <f t="shared" si="312"/>
        <v>32.867144000000003</v>
      </c>
      <c r="BS246" s="499">
        <f t="shared" si="313"/>
        <v>1001.465869</v>
      </c>
      <c r="BU246" s="499">
        <f t="shared" si="314"/>
        <v>155</v>
      </c>
      <c r="BV246" s="499">
        <f t="shared" si="315"/>
        <v>4.1004670000000001</v>
      </c>
      <c r="BW246" s="5">
        <f t="shared" si="305"/>
        <v>1</v>
      </c>
      <c r="BX246" s="499">
        <f t="shared" si="316"/>
        <v>32.867144000000003</v>
      </c>
      <c r="BY246" s="499">
        <f t="shared" si="317"/>
        <v>1001.465869</v>
      </c>
      <c r="CA246">
        <v>155</v>
      </c>
      <c r="CB246">
        <v>4.1004670000000001</v>
      </c>
      <c r="CC246">
        <v>1</v>
      </c>
      <c r="CD246">
        <v>32.867144000000003</v>
      </c>
      <c r="CE246">
        <v>1001.465869</v>
      </c>
      <c r="CG246" s="499">
        <f t="shared" si="318"/>
        <v>1</v>
      </c>
      <c r="CH246" s="499">
        <f t="shared" si="319"/>
        <v>1</v>
      </c>
      <c r="CI246" s="499">
        <f t="shared" si="320"/>
        <v>1</v>
      </c>
      <c r="CJ246" s="499">
        <f t="shared" si="321"/>
        <v>1</v>
      </c>
      <c r="CP246" s="499"/>
      <c r="CQ246" s="65">
        <f t="shared" si="323"/>
        <v>3.9939801835740248E-10</v>
      </c>
      <c r="CR246" s="499">
        <f t="shared" si="324"/>
        <v>3.9939801835740248E-10</v>
      </c>
      <c r="CS246" s="499">
        <f t="shared" si="325"/>
        <v>3.9939801835740248E-10</v>
      </c>
      <c r="CT246" s="38">
        <f t="shared" si="326"/>
        <v>1</v>
      </c>
      <c r="CU246" s="498">
        <f t="shared" si="327"/>
        <v>1</v>
      </c>
    </row>
    <row r="247" spans="43:99">
      <c r="AQ247" s="499"/>
      <c r="AR247" s="228">
        <v>35.234413000000004</v>
      </c>
      <c r="AS247" s="13">
        <v>393</v>
      </c>
      <c r="AT247" s="13">
        <v>4.0999999999999996</v>
      </c>
      <c r="AU247" s="13">
        <f t="shared" si="338"/>
        <v>1</v>
      </c>
      <c r="AV247" s="13">
        <f t="shared" si="329"/>
        <v>35.234413000000004</v>
      </c>
      <c r="AW247" s="13">
        <f t="shared" si="330"/>
        <v>35.234413000000004</v>
      </c>
      <c r="AX247" s="13">
        <f t="shared" si="331"/>
        <v>35.234413000000004</v>
      </c>
      <c r="AY247" s="13">
        <v>999.17886699999997</v>
      </c>
      <c r="AZ247" s="13">
        <f t="shared" si="332"/>
        <v>0</v>
      </c>
      <c r="BA247" s="13">
        <f t="shared" si="333"/>
        <v>0</v>
      </c>
      <c r="BB247" s="97">
        <f t="shared" si="334"/>
        <v>0</v>
      </c>
      <c r="BC247" s="499"/>
      <c r="BD247" s="499">
        <v>64.55</v>
      </c>
      <c r="BE247" s="499">
        <v>24.725792338709674</v>
      </c>
      <c r="BF247" s="499">
        <v>20.282507862903227</v>
      </c>
      <c r="BG247" s="499">
        <v>24.089096930320519</v>
      </c>
      <c r="BI247" s="499">
        <f t="shared" ref="BI247:BJ247" si="382">AS250</f>
        <v>99</v>
      </c>
      <c r="BJ247" s="499">
        <f t="shared" si="382"/>
        <v>4.1183899999999998</v>
      </c>
      <c r="BK247" s="5">
        <f t="shared" si="307"/>
        <v>1</v>
      </c>
      <c r="BL247" s="499">
        <f t="shared" si="308"/>
        <v>31.612562</v>
      </c>
      <c r="BM247" s="499">
        <f t="shared" si="309"/>
        <v>1000.983576</v>
      </c>
      <c r="BO247" s="499">
        <f t="shared" si="310"/>
        <v>99</v>
      </c>
      <c r="BP247" s="499">
        <f t="shared" si="311"/>
        <v>4.1183899999999998</v>
      </c>
      <c r="BQ247" s="5">
        <f t="shared" si="304"/>
        <v>1</v>
      </c>
      <c r="BR247" s="499">
        <f t="shared" si="312"/>
        <v>31.612562</v>
      </c>
      <c r="BS247" s="499">
        <f t="shared" si="313"/>
        <v>1000.983576</v>
      </c>
      <c r="BU247" s="499">
        <f t="shared" si="314"/>
        <v>99</v>
      </c>
      <c r="BV247" s="499">
        <f t="shared" si="315"/>
        <v>4.1183899999999998</v>
      </c>
      <c r="BW247" s="5">
        <f t="shared" si="305"/>
        <v>1</v>
      </c>
      <c r="BX247" s="499">
        <f t="shared" si="316"/>
        <v>31.612562</v>
      </c>
      <c r="BY247" s="499">
        <f t="shared" si="317"/>
        <v>1000.983576</v>
      </c>
      <c r="CA247">
        <v>99</v>
      </c>
      <c r="CB247">
        <v>4.1183899999999998</v>
      </c>
      <c r="CC247">
        <v>1</v>
      </c>
      <c r="CD247">
        <v>31.612562</v>
      </c>
      <c r="CE247">
        <v>1000.983576</v>
      </c>
      <c r="CG247" s="499">
        <f t="shared" si="318"/>
        <v>1</v>
      </c>
      <c r="CH247" s="499">
        <f t="shared" si="319"/>
        <v>1</v>
      </c>
      <c r="CI247" s="499">
        <f t="shared" si="320"/>
        <v>1</v>
      </c>
      <c r="CJ247" s="499">
        <f t="shared" si="321"/>
        <v>1</v>
      </c>
      <c r="CP247" s="499"/>
      <c r="CQ247" s="65">
        <f t="shared" si="323"/>
        <v>4.4066421238851973E-8</v>
      </c>
      <c r="CR247" s="499">
        <f t="shared" si="324"/>
        <v>4.4066421238851973E-8</v>
      </c>
      <c r="CS247" s="499">
        <f t="shared" si="325"/>
        <v>4.4066421238851973E-8</v>
      </c>
      <c r="CT247" s="38">
        <f t="shared" si="326"/>
        <v>1</v>
      </c>
      <c r="CU247" s="498">
        <f t="shared" si="327"/>
        <v>1</v>
      </c>
    </row>
    <row r="248" spans="43:99">
      <c r="AQ248" s="499"/>
      <c r="AR248" s="228">
        <v>35.234413000000004</v>
      </c>
      <c r="AS248" s="13">
        <v>412</v>
      </c>
      <c r="AT248" s="13">
        <v>4.0999999999999996</v>
      </c>
      <c r="AU248" s="13">
        <f t="shared" si="338"/>
        <v>1</v>
      </c>
      <c r="AV248" s="13">
        <f t="shared" si="329"/>
        <v>35.234413000000004</v>
      </c>
      <c r="AW248" s="13">
        <f t="shared" si="330"/>
        <v>35.234413000000004</v>
      </c>
      <c r="AX248" s="13">
        <f t="shared" si="331"/>
        <v>35.234413000000004</v>
      </c>
      <c r="AY248" s="13">
        <v>998.82629199999997</v>
      </c>
      <c r="AZ248" s="13">
        <f t="shared" si="332"/>
        <v>0</v>
      </c>
      <c r="BA248" s="13">
        <f t="shared" si="333"/>
        <v>0</v>
      </c>
      <c r="BB248" s="97">
        <f t="shared" si="334"/>
        <v>0</v>
      </c>
      <c r="BC248" s="499"/>
      <c r="BD248" s="499">
        <v>64.349999999999994</v>
      </c>
      <c r="BE248" s="499">
        <v>24.568302620967735</v>
      </c>
      <c r="BF248" s="499">
        <v>20.252622983870967</v>
      </c>
      <c r="BG248" s="499">
        <v>23.974562957820506</v>
      </c>
      <c r="BI248" s="499">
        <f t="shared" ref="BI248:BJ248" si="383">AS251</f>
        <v>145</v>
      </c>
      <c r="BJ248" s="499">
        <f t="shared" si="383"/>
        <v>4.1386500000000002</v>
      </c>
      <c r="BK248" s="5">
        <f t="shared" si="307"/>
        <v>1</v>
      </c>
      <c r="BL248" s="499">
        <f t="shared" si="308"/>
        <v>24.709811999999999</v>
      </c>
      <c r="BM248" s="499">
        <f t="shared" si="309"/>
        <v>1000.616663</v>
      </c>
      <c r="BO248" s="499">
        <f t="shared" si="310"/>
        <v>145</v>
      </c>
      <c r="BP248" s="499">
        <f t="shared" si="311"/>
        <v>4.1386500000000002</v>
      </c>
      <c r="BQ248" s="5">
        <f t="shared" si="304"/>
        <v>1</v>
      </c>
      <c r="BR248" s="499">
        <f t="shared" si="312"/>
        <v>24.709811999999999</v>
      </c>
      <c r="BS248" s="499">
        <f t="shared" si="313"/>
        <v>1000.616663</v>
      </c>
      <c r="BU248" s="499">
        <f t="shared" si="314"/>
        <v>145</v>
      </c>
      <c r="BV248" s="499">
        <f t="shared" si="315"/>
        <v>4.1386500000000002</v>
      </c>
      <c r="BW248" s="5">
        <f t="shared" si="305"/>
        <v>1</v>
      </c>
      <c r="BX248" s="499">
        <f t="shared" si="316"/>
        <v>24.709811999999999</v>
      </c>
      <c r="BY248" s="499">
        <f t="shared" si="317"/>
        <v>1000.616663</v>
      </c>
      <c r="CA248">
        <v>145</v>
      </c>
      <c r="CB248">
        <v>4.1386500000000002</v>
      </c>
      <c r="CC248">
        <v>1</v>
      </c>
      <c r="CD248">
        <v>24.709811999999999</v>
      </c>
      <c r="CE248">
        <v>1000.616663</v>
      </c>
      <c r="CG248" s="499">
        <f t="shared" si="318"/>
        <v>1</v>
      </c>
      <c r="CH248" s="499">
        <f t="shared" si="319"/>
        <v>1</v>
      </c>
      <c r="CI248" s="499">
        <f t="shared" si="320"/>
        <v>1</v>
      </c>
      <c r="CJ248" s="499">
        <f t="shared" si="321"/>
        <v>1</v>
      </c>
      <c r="CP248" s="499"/>
      <c r="CQ248" s="65">
        <f t="shared" si="323"/>
        <v>5.3294043834426263E-7</v>
      </c>
      <c r="CR248" s="499">
        <f t="shared" si="324"/>
        <v>5.3294043834426263E-7</v>
      </c>
      <c r="CS248" s="499">
        <f t="shared" si="325"/>
        <v>5.3294043834426263E-7</v>
      </c>
      <c r="CT248" s="38">
        <f t="shared" si="326"/>
        <v>1</v>
      </c>
      <c r="CU248" s="498">
        <f t="shared" si="327"/>
        <v>1</v>
      </c>
    </row>
    <row r="249" spans="43:99">
      <c r="AQ249" s="499"/>
      <c r="AR249" s="228">
        <v>32.867144000000003</v>
      </c>
      <c r="AS249" s="13">
        <v>155</v>
      </c>
      <c r="AT249" s="13">
        <v>4.1004670000000001</v>
      </c>
      <c r="AU249" s="13">
        <f t="shared" si="338"/>
        <v>1</v>
      </c>
      <c r="AV249" s="13">
        <f t="shared" si="329"/>
        <v>32.867144000000003</v>
      </c>
      <c r="AW249" s="13">
        <f t="shared" si="330"/>
        <v>32.867144000000003</v>
      </c>
      <c r="AX249" s="13">
        <f t="shared" si="331"/>
        <v>32.867144000000003</v>
      </c>
      <c r="AY249" s="13">
        <v>1001.465869</v>
      </c>
      <c r="AZ249" s="13">
        <f t="shared" si="332"/>
        <v>0</v>
      </c>
      <c r="BA249" s="13">
        <f t="shared" si="333"/>
        <v>0</v>
      </c>
      <c r="BB249" s="97">
        <f t="shared" si="334"/>
        <v>0</v>
      </c>
      <c r="BC249" s="499"/>
      <c r="BD249" s="499">
        <v>64.150000000000006</v>
      </c>
      <c r="BE249" s="499">
        <v>23.943077620967735</v>
      </c>
      <c r="BF249" s="499">
        <v>20.17618931451613</v>
      </c>
      <c r="BG249" s="499">
        <v>23.606663500370878</v>
      </c>
      <c r="BI249" s="499">
        <f t="shared" ref="BI249:BJ249" si="384">AS252</f>
        <v>385</v>
      </c>
      <c r="BJ249" s="499">
        <f t="shared" si="384"/>
        <v>4.1400920000000001</v>
      </c>
      <c r="BK249" s="5">
        <f t="shared" si="307"/>
        <v>1</v>
      </c>
      <c r="BL249" s="499">
        <f t="shared" si="308"/>
        <v>33.297417000000003</v>
      </c>
      <c r="BM249" s="499">
        <f t="shared" si="309"/>
        <v>1001.4618819999999</v>
      </c>
      <c r="BO249" s="499">
        <f t="shared" si="310"/>
        <v>385</v>
      </c>
      <c r="BP249" s="499">
        <f t="shared" si="311"/>
        <v>4.1400920000000001</v>
      </c>
      <c r="BQ249" s="5">
        <f t="shared" si="304"/>
        <v>1</v>
      </c>
      <c r="BR249" s="499">
        <f t="shared" si="312"/>
        <v>33.297417000000003</v>
      </c>
      <c r="BS249" s="499">
        <f t="shared" si="313"/>
        <v>1001.4618819999999</v>
      </c>
      <c r="BU249" s="499">
        <f t="shared" si="314"/>
        <v>385</v>
      </c>
      <c r="BV249" s="499">
        <f t="shared" si="315"/>
        <v>4.1400920000000001</v>
      </c>
      <c r="BW249" s="5">
        <f t="shared" si="305"/>
        <v>1</v>
      </c>
      <c r="BX249" s="499">
        <f t="shared" si="316"/>
        <v>33.297417000000003</v>
      </c>
      <c r="BY249" s="499">
        <f t="shared" si="317"/>
        <v>1001.4618819999999</v>
      </c>
      <c r="CA249">
        <v>385</v>
      </c>
      <c r="CB249">
        <v>4.1400920000000001</v>
      </c>
      <c r="CC249">
        <v>1</v>
      </c>
      <c r="CD249">
        <v>33.297417000000003</v>
      </c>
      <c r="CE249">
        <v>1001.4618819999999</v>
      </c>
      <c r="CG249" s="499">
        <f t="shared" si="318"/>
        <v>1</v>
      </c>
      <c r="CH249" s="499">
        <f t="shared" si="319"/>
        <v>1</v>
      </c>
      <c r="CI249" s="499">
        <f t="shared" si="320"/>
        <v>1</v>
      </c>
      <c r="CJ249" s="499">
        <f t="shared" si="321"/>
        <v>1</v>
      </c>
      <c r="CP249" s="499"/>
      <c r="CQ249" s="65">
        <f t="shared" si="323"/>
        <v>0.3229539436427869</v>
      </c>
      <c r="CR249" s="499">
        <f t="shared" si="324"/>
        <v>0.3229539436427869</v>
      </c>
      <c r="CS249" s="499">
        <f t="shared" si="325"/>
        <v>0.3229539436427869</v>
      </c>
      <c r="CT249" s="38">
        <f t="shared" si="326"/>
        <v>1</v>
      </c>
      <c r="CU249" s="498">
        <f t="shared" si="327"/>
        <v>1</v>
      </c>
    </row>
    <row r="250" spans="43:99">
      <c r="AQ250" s="499"/>
      <c r="AR250" s="228">
        <v>31.612562</v>
      </c>
      <c r="AS250" s="13">
        <v>99</v>
      </c>
      <c r="AT250" s="13">
        <v>4.1183899999999998</v>
      </c>
      <c r="AU250" s="13">
        <f t="shared" si="338"/>
        <v>1</v>
      </c>
      <c r="AV250" s="13">
        <f t="shared" si="329"/>
        <v>31.612562</v>
      </c>
      <c r="AW250" s="13">
        <f t="shared" si="330"/>
        <v>31.612562</v>
      </c>
      <c r="AX250" s="13">
        <f t="shared" si="331"/>
        <v>31.612562</v>
      </c>
      <c r="AY250" s="13">
        <v>1000.983576</v>
      </c>
      <c r="AZ250" s="13">
        <f t="shared" si="332"/>
        <v>0</v>
      </c>
      <c r="BA250" s="13">
        <f t="shared" si="333"/>
        <v>0</v>
      </c>
      <c r="BB250" s="97">
        <f t="shared" si="334"/>
        <v>0</v>
      </c>
      <c r="BC250" s="499"/>
      <c r="BD250" s="499">
        <v>63.95</v>
      </c>
      <c r="BE250" s="499">
        <v>23.778740322580653</v>
      </c>
      <c r="BF250" s="499">
        <v>20.158640524193547</v>
      </c>
      <c r="BG250" s="499">
        <v>23.464416145151098</v>
      </c>
      <c r="BI250" s="499">
        <f t="shared" ref="BI250:BJ250" si="385">AS253</f>
        <v>432</v>
      </c>
      <c r="BJ250" s="499">
        <f t="shared" si="385"/>
        <v>4.152895</v>
      </c>
      <c r="BK250" s="5">
        <f t="shared" si="307"/>
        <v>0</v>
      </c>
      <c r="BL250" s="499">
        <f t="shared" si="308"/>
        <v>20.730675999999999</v>
      </c>
      <c r="BM250" s="499">
        <f t="shared" si="309"/>
        <v>821.53631700000005</v>
      </c>
      <c r="BO250" s="499">
        <f t="shared" si="310"/>
        <v>432</v>
      </c>
      <c r="BP250" s="499">
        <f t="shared" si="311"/>
        <v>4.152895</v>
      </c>
      <c r="BQ250" s="5">
        <f t="shared" si="304"/>
        <v>0</v>
      </c>
      <c r="BR250" s="499">
        <f t="shared" si="312"/>
        <v>20.730675999999999</v>
      </c>
      <c r="BS250" s="499">
        <f t="shared" si="313"/>
        <v>821.53631700000005</v>
      </c>
      <c r="BU250" s="499">
        <f t="shared" si="314"/>
        <v>432</v>
      </c>
      <c r="BV250" s="499">
        <f t="shared" si="315"/>
        <v>4.152895</v>
      </c>
      <c r="BW250" s="5">
        <f t="shared" si="305"/>
        <v>0</v>
      </c>
      <c r="BX250" s="499">
        <f t="shared" si="316"/>
        <v>20.730675999999999</v>
      </c>
      <c r="BY250" s="499">
        <f t="shared" si="317"/>
        <v>821.53631700000005</v>
      </c>
      <c r="CA250">
        <v>432</v>
      </c>
      <c r="CB250">
        <v>4.152895</v>
      </c>
      <c r="CC250">
        <v>0</v>
      </c>
      <c r="CD250">
        <v>20.730675999999999</v>
      </c>
      <c r="CE250">
        <v>821.53631700000005</v>
      </c>
      <c r="CG250" s="499">
        <f t="shared" si="318"/>
        <v>0</v>
      </c>
      <c r="CH250" s="499">
        <f t="shared" si="319"/>
        <v>0</v>
      </c>
      <c r="CI250" s="499">
        <f t="shared" si="320"/>
        <v>0</v>
      </c>
      <c r="CJ250" s="499">
        <f t="shared" si="321"/>
        <v>0</v>
      </c>
      <c r="CP250" s="499"/>
      <c r="CQ250" s="65">
        <f t="shared" si="323"/>
        <v>1.8742514745499474E-8</v>
      </c>
      <c r="CR250" s="499">
        <f t="shared" si="324"/>
        <v>1.8742514745499474E-8</v>
      </c>
      <c r="CS250" s="499">
        <f t="shared" si="325"/>
        <v>1.8742514745499474E-8</v>
      </c>
      <c r="CT250" s="38">
        <f t="shared" si="326"/>
        <v>1</v>
      </c>
      <c r="CU250" s="498">
        <f t="shared" si="327"/>
        <v>1</v>
      </c>
    </row>
    <row r="251" spans="43:99">
      <c r="AQ251" s="499"/>
      <c r="AR251" s="228">
        <v>24.709811999999999</v>
      </c>
      <c r="AS251" s="13">
        <v>145</v>
      </c>
      <c r="AT251" s="13">
        <v>4.1386500000000002</v>
      </c>
      <c r="AU251" s="13">
        <f t="shared" si="338"/>
        <v>1</v>
      </c>
      <c r="AV251" s="13">
        <f t="shared" si="329"/>
        <v>24.709811999999999</v>
      </c>
      <c r="AW251" s="13">
        <f t="shared" si="330"/>
        <v>24.709811999999999</v>
      </c>
      <c r="AX251" s="13">
        <f t="shared" si="331"/>
        <v>24.709811999999999</v>
      </c>
      <c r="AY251" s="13">
        <v>1000.616663</v>
      </c>
      <c r="AZ251" s="13">
        <f t="shared" si="332"/>
        <v>0</v>
      </c>
      <c r="BA251" s="13">
        <f t="shared" si="333"/>
        <v>0</v>
      </c>
      <c r="BB251" s="97">
        <f t="shared" si="334"/>
        <v>0</v>
      </c>
      <c r="BC251" s="499"/>
      <c r="BD251" s="499">
        <v>63.75</v>
      </c>
      <c r="BE251" s="499">
        <v>23.638148588709676</v>
      </c>
      <c r="BF251" s="499">
        <v>20.141761491935487</v>
      </c>
      <c r="BG251" s="499">
        <v>23.343732842358062</v>
      </c>
      <c r="BI251" s="499">
        <f t="shared" ref="BI251:BJ251" si="386">AS254</f>
        <v>42</v>
      </c>
      <c r="BJ251" s="499">
        <f t="shared" si="386"/>
        <v>4.2</v>
      </c>
      <c r="BK251" s="5">
        <f t="shared" si="307"/>
        <v>0</v>
      </c>
      <c r="BL251" s="499">
        <f t="shared" si="308"/>
        <v>20.478024999999999</v>
      </c>
      <c r="BM251" s="499">
        <f t="shared" si="309"/>
        <v>1001.758615</v>
      </c>
      <c r="BO251" s="499">
        <f t="shared" si="310"/>
        <v>42</v>
      </c>
      <c r="BP251" s="499">
        <f t="shared" si="311"/>
        <v>4.2</v>
      </c>
      <c r="BQ251" s="5">
        <f t="shared" si="304"/>
        <v>0</v>
      </c>
      <c r="BR251" s="499">
        <f t="shared" si="312"/>
        <v>20.478024999999999</v>
      </c>
      <c r="BS251" s="499">
        <f t="shared" si="313"/>
        <v>1001.758615</v>
      </c>
      <c r="BU251" s="499">
        <f t="shared" si="314"/>
        <v>42</v>
      </c>
      <c r="BV251" s="499">
        <f t="shared" si="315"/>
        <v>4.2</v>
      </c>
      <c r="BW251" s="5">
        <f t="shared" si="305"/>
        <v>0</v>
      </c>
      <c r="BX251" s="499">
        <f t="shared" si="316"/>
        <v>20.478024999999999</v>
      </c>
      <c r="BY251" s="499">
        <f t="shared" si="317"/>
        <v>1001.758615</v>
      </c>
      <c r="CA251">
        <v>42</v>
      </c>
      <c r="CB251">
        <v>4.2</v>
      </c>
      <c r="CC251">
        <v>0</v>
      </c>
      <c r="CD251">
        <v>20.478024999999999</v>
      </c>
      <c r="CE251">
        <v>1001.758615</v>
      </c>
      <c r="CG251" s="499">
        <f t="shared" si="318"/>
        <v>0</v>
      </c>
      <c r="CH251" s="499">
        <f t="shared" si="319"/>
        <v>0</v>
      </c>
      <c r="CI251" s="499">
        <f t="shared" si="320"/>
        <v>0</v>
      </c>
      <c r="CJ251" s="499">
        <f t="shared" si="321"/>
        <v>0</v>
      </c>
      <c r="CP251" s="499"/>
      <c r="CQ251" s="65">
        <f t="shared" si="323"/>
        <v>0.97812797706137455</v>
      </c>
      <c r="CR251" s="499">
        <f t="shared" si="324"/>
        <v>0.97812797706137455</v>
      </c>
      <c r="CS251" s="499">
        <f t="shared" si="325"/>
        <v>0.97812797706137455</v>
      </c>
      <c r="CT251" s="38">
        <f t="shared" si="326"/>
        <v>1</v>
      </c>
      <c r="CU251" s="498">
        <f t="shared" si="327"/>
        <v>1</v>
      </c>
    </row>
    <row r="252" spans="43:99">
      <c r="AQ252" s="499"/>
      <c r="AR252" s="228">
        <v>33.297417000000003</v>
      </c>
      <c r="AS252" s="13">
        <v>385</v>
      </c>
      <c r="AT252" s="13">
        <v>4.1400920000000001</v>
      </c>
      <c r="AU252" s="13">
        <f t="shared" si="338"/>
        <v>1</v>
      </c>
      <c r="AV252" s="13">
        <f t="shared" si="329"/>
        <v>33.297417000000003</v>
      </c>
      <c r="AW252" s="13">
        <f t="shared" si="330"/>
        <v>33.297417000000003</v>
      </c>
      <c r="AX252" s="13">
        <f t="shared" si="331"/>
        <v>33.297417000000003</v>
      </c>
      <c r="AY252" s="13">
        <v>1001.4618819999999</v>
      </c>
      <c r="AZ252" s="13">
        <f t="shared" si="332"/>
        <v>0</v>
      </c>
      <c r="BA252" s="13">
        <f t="shared" si="333"/>
        <v>0</v>
      </c>
      <c r="BB252" s="97">
        <f t="shared" si="334"/>
        <v>0</v>
      </c>
      <c r="BC252" s="499"/>
      <c r="BD252" s="499">
        <v>63.55</v>
      </c>
      <c r="BE252" s="499">
        <v>23.446224193548382</v>
      </c>
      <c r="BF252" s="499">
        <v>20.112852822580646</v>
      </c>
      <c r="BG252" s="499">
        <v>23.185037636941399</v>
      </c>
      <c r="BI252" s="499">
        <f t="shared" ref="BI252:BJ252" si="387">AS255</f>
        <v>211</v>
      </c>
      <c r="BJ252" s="499">
        <f t="shared" si="387"/>
        <v>4.2</v>
      </c>
      <c r="BK252" s="5">
        <f t="shared" si="307"/>
        <v>0</v>
      </c>
      <c r="BL252" s="499">
        <f t="shared" si="308"/>
        <v>22.030684000000001</v>
      </c>
      <c r="BM252" s="499">
        <f t="shared" si="309"/>
        <v>1001.69229</v>
      </c>
      <c r="BO252" s="499">
        <f t="shared" si="310"/>
        <v>211</v>
      </c>
      <c r="BP252" s="499">
        <f t="shared" si="311"/>
        <v>4.2</v>
      </c>
      <c r="BQ252" s="5">
        <f t="shared" si="304"/>
        <v>0</v>
      </c>
      <c r="BR252" s="499">
        <f t="shared" si="312"/>
        <v>22.030684000000001</v>
      </c>
      <c r="BS252" s="499">
        <f t="shared" si="313"/>
        <v>1001.69229</v>
      </c>
      <c r="BU252" s="499">
        <f t="shared" si="314"/>
        <v>211</v>
      </c>
      <c r="BV252" s="499">
        <f t="shared" si="315"/>
        <v>4.2</v>
      </c>
      <c r="BW252" s="5">
        <f t="shared" si="305"/>
        <v>0</v>
      </c>
      <c r="BX252" s="499">
        <f t="shared" si="316"/>
        <v>22.030684000000001</v>
      </c>
      <c r="BY252" s="499">
        <f t="shared" si="317"/>
        <v>1001.69229</v>
      </c>
      <c r="CA252">
        <v>211</v>
      </c>
      <c r="CB252">
        <v>4.2</v>
      </c>
      <c r="CC252">
        <v>0</v>
      </c>
      <c r="CD252">
        <v>22.030684000000001</v>
      </c>
      <c r="CE252">
        <v>1001.69229</v>
      </c>
      <c r="CG252" s="499">
        <f t="shared" si="318"/>
        <v>0</v>
      </c>
      <c r="CH252" s="499">
        <f t="shared" si="319"/>
        <v>0</v>
      </c>
      <c r="CI252" s="499">
        <f t="shared" si="320"/>
        <v>0</v>
      </c>
      <c r="CJ252" s="499">
        <f t="shared" si="321"/>
        <v>0</v>
      </c>
      <c r="CP252" s="499"/>
      <c r="CQ252" s="65">
        <f t="shared" si="323"/>
        <v>0.97841675699186081</v>
      </c>
      <c r="CR252" s="499">
        <f t="shared" si="324"/>
        <v>0.97841675699186081</v>
      </c>
      <c r="CS252" s="499">
        <f t="shared" si="325"/>
        <v>0.97841675699186081</v>
      </c>
      <c r="CT252" s="38">
        <f t="shared" si="326"/>
        <v>1</v>
      </c>
      <c r="CU252" s="498">
        <f t="shared" si="327"/>
        <v>1</v>
      </c>
    </row>
    <row r="253" spans="43:99">
      <c r="AQ253" s="499"/>
      <c r="AR253" s="228">
        <v>20.730675999999999</v>
      </c>
      <c r="AS253" s="13">
        <v>432</v>
      </c>
      <c r="AT253" s="13">
        <v>4.152895</v>
      </c>
      <c r="AU253" s="13">
        <f t="shared" si="338"/>
        <v>0</v>
      </c>
      <c r="AV253" s="13">
        <f t="shared" si="329"/>
        <v>20.730675999999999</v>
      </c>
      <c r="AW253" s="13">
        <f t="shared" si="330"/>
        <v>20.730675999999999</v>
      </c>
      <c r="AX253" s="13">
        <f t="shared" si="331"/>
        <v>20.730675999999999</v>
      </c>
      <c r="AY253" s="13">
        <v>821.53631700000005</v>
      </c>
      <c r="AZ253" s="13">
        <f t="shared" si="332"/>
        <v>0</v>
      </c>
      <c r="BA253" s="13">
        <f t="shared" si="333"/>
        <v>0</v>
      </c>
      <c r="BB253" s="97">
        <f t="shared" si="334"/>
        <v>0</v>
      </c>
      <c r="BC253" s="499"/>
      <c r="BD253" s="499">
        <v>63.35</v>
      </c>
      <c r="BE253" s="499">
        <v>23.314276209677431</v>
      </c>
      <c r="BF253" s="499">
        <v>20.087923790322574</v>
      </c>
      <c r="BG253" s="499">
        <v>23.077576646222528</v>
      </c>
      <c r="BI253" s="499">
        <f t="shared" ref="BI253:BJ253" si="388">AS256</f>
        <v>7</v>
      </c>
      <c r="BJ253" s="499">
        <f t="shared" si="388"/>
        <v>4.2000960000000003</v>
      </c>
      <c r="BK253" s="5">
        <f t="shared" si="307"/>
        <v>0</v>
      </c>
      <c r="BL253" s="499">
        <f t="shared" si="308"/>
        <v>17.905570999999998</v>
      </c>
      <c r="BM253" s="499">
        <f t="shared" si="309"/>
        <v>999.94017399999996</v>
      </c>
      <c r="BO253" s="499">
        <f t="shared" si="310"/>
        <v>7</v>
      </c>
      <c r="BP253" s="499">
        <f t="shared" si="311"/>
        <v>4.2000960000000003</v>
      </c>
      <c r="BQ253" s="5">
        <f t="shared" si="304"/>
        <v>0</v>
      </c>
      <c r="BR253" s="499">
        <f t="shared" si="312"/>
        <v>17.905570999999998</v>
      </c>
      <c r="BS253" s="499">
        <f t="shared" si="313"/>
        <v>999.94017399999996</v>
      </c>
      <c r="BU253" s="499">
        <f t="shared" si="314"/>
        <v>7</v>
      </c>
      <c r="BV253" s="499">
        <f t="shared" si="315"/>
        <v>4.2000960000000003</v>
      </c>
      <c r="BW253" s="5">
        <f t="shared" si="305"/>
        <v>0</v>
      </c>
      <c r="BX253" s="499">
        <f t="shared" si="316"/>
        <v>17.905570999999998</v>
      </c>
      <c r="BY253" s="499">
        <f t="shared" si="317"/>
        <v>999.94017399999996</v>
      </c>
      <c r="CA253">
        <v>7</v>
      </c>
      <c r="CB253">
        <v>4.2000960000000003</v>
      </c>
      <c r="CC253">
        <v>0</v>
      </c>
      <c r="CD253">
        <v>17.905570999999998</v>
      </c>
      <c r="CE253">
        <v>999.94017399999996</v>
      </c>
      <c r="CG253" s="499">
        <f t="shared" si="318"/>
        <v>0</v>
      </c>
      <c r="CH253" s="499">
        <f t="shared" si="319"/>
        <v>0</v>
      </c>
      <c r="CI253" s="499">
        <f t="shared" si="320"/>
        <v>0</v>
      </c>
      <c r="CJ253" s="499">
        <f t="shared" si="321"/>
        <v>0</v>
      </c>
      <c r="CP253" s="499"/>
      <c r="CQ253" s="65">
        <f t="shared" si="323"/>
        <v>0.96925853353740377</v>
      </c>
      <c r="CR253" s="499">
        <f t="shared" si="324"/>
        <v>0.96925853353740377</v>
      </c>
      <c r="CS253" s="499">
        <f t="shared" si="325"/>
        <v>0.96925853353740377</v>
      </c>
      <c r="CT253" s="38">
        <f t="shared" si="326"/>
        <v>1</v>
      </c>
      <c r="CU253" s="498">
        <f t="shared" si="327"/>
        <v>1</v>
      </c>
    </row>
    <row r="254" spans="43:99">
      <c r="AQ254" s="499"/>
      <c r="AR254" s="228">
        <v>20.478024999999999</v>
      </c>
      <c r="AS254" s="13">
        <v>42</v>
      </c>
      <c r="AT254" s="13">
        <v>4.2</v>
      </c>
      <c r="AU254" s="13">
        <f t="shared" si="338"/>
        <v>0</v>
      </c>
      <c r="AV254" s="13">
        <f t="shared" si="329"/>
        <v>20.478024999999999</v>
      </c>
      <c r="AW254" s="13">
        <f t="shared" si="330"/>
        <v>20.478024999999999</v>
      </c>
      <c r="AX254" s="13">
        <f t="shared" si="331"/>
        <v>20.478024999999999</v>
      </c>
      <c r="AY254" s="13">
        <v>1001.758615</v>
      </c>
      <c r="AZ254" s="13">
        <f t="shared" si="332"/>
        <v>0</v>
      </c>
      <c r="BA254" s="13">
        <f t="shared" si="333"/>
        <v>0</v>
      </c>
      <c r="BB254" s="97">
        <f t="shared" si="334"/>
        <v>0</v>
      </c>
      <c r="BC254" s="499"/>
      <c r="BD254" s="499">
        <v>63.15</v>
      </c>
      <c r="BE254" s="499">
        <v>23.221411693548394</v>
      </c>
      <c r="BF254" s="499">
        <v>20.064680645161285</v>
      </c>
      <c r="BG254" s="499">
        <v>23.036012374949639</v>
      </c>
      <c r="BI254" s="499">
        <f t="shared" ref="BI254:BJ254" si="389">AS257</f>
        <v>345</v>
      </c>
      <c r="BJ254" s="499">
        <f t="shared" si="389"/>
        <v>4.2456880000000004</v>
      </c>
      <c r="BK254" s="5">
        <f t="shared" si="307"/>
        <v>0</v>
      </c>
      <c r="BL254" s="499">
        <f t="shared" si="308"/>
        <v>24.284030999999999</v>
      </c>
      <c r="BM254" s="499">
        <f t="shared" si="309"/>
        <v>1211.857861</v>
      </c>
      <c r="BO254" s="499">
        <f t="shared" si="310"/>
        <v>345</v>
      </c>
      <c r="BP254" s="499">
        <f t="shared" si="311"/>
        <v>4.2456880000000004</v>
      </c>
      <c r="BQ254" s="5">
        <f t="shared" si="304"/>
        <v>0</v>
      </c>
      <c r="BR254" s="499">
        <f t="shared" si="312"/>
        <v>24.284030999999999</v>
      </c>
      <c r="BS254" s="499">
        <f t="shared" si="313"/>
        <v>1211.857861</v>
      </c>
      <c r="BU254" s="499">
        <f t="shared" si="314"/>
        <v>345</v>
      </c>
      <c r="BV254" s="499">
        <f t="shared" si="315"/>
        <v>4.2456880000000004</v>
      </c>
      <c r="BW254" s="5">
        <f t="shared" si="305"/>
        <v>0</v>
      </c>
      <c r="BX254" s="499">
        <f t="shared" si="316"/>
        <v>24.284030999999999</v>
      </c>
      <c r="BY254" s="499">
        <f t="shared" si="317"/>
        <v>1211.857861</v>
      </c>
      <c r="CA254">
        <v>345</v>
      </c>
      <c r="CB254">
        <v>4.2456880000000004</v>
      </c>
      <c r="CC254">
        <v>0</v>
      </c>
      <c r="CD254">
        <v>24.284030999999999</v>
      </c>
      <c r="CE254">
        <v>1211.857861</v>
      </c>
      <c r="CG254" s="499">
        <f t="shared" si="318"/>
        <v>0</v>
      </c>
      <c r="CH254" s="499">
        <f t="shared" si="319"/>
        <v>0</v>
      </c>
      <c r="CI254" s="499">
        <f t="shared" si="320"/>
        <v>0</v>
      </c>
      <c r="CJ254" s="499">
        <f t="shared" si="321"/>
        <v>0</v>
      </c>
      <c r="CP254" s="499"/>
      <c r="CQ254" s="65">
        <f t="shared" si="323"/>
        <v>0.97885732648494217</v>
      </c>
      <c r="CR254" s="499">
        <f t="shared" si="324"/>
        <v>0.97885732648494217</v>
      </c>
      <c r="CS254" s="499">
        <f t="shared" si="325"/>
        <v>0.97885732648494217</v>
      </c>
      <c r="CT254" s="38">
        <f t="shared" si="326"/>
        <v>1</v>
      </c>
      <c r="CU254" s="498">
        <f t="shared" si="327"/>
        <v>1</v>
      </c>
    </row>
    <row r="255" spans="43:99">
      <c r="AQ255" s="499"/>
      <c r="AR255" s="228">
        <v>22.030684000000001</v>
      </c>
      <c r="AS255" s="13">
        <v>211</v>
      </c>
      <c r="AT255" s="13">
        <v>4.2</v>
      </c>
      <c r="AU255" s="13">
        <f t="shared" si="338"/>
        <v>0</v>
      </c>
      <c r="AV255" s="13">
        <f t="shared" si="329"/>
        <v>22.030684000000001</v>
      </c>
      <c r="AW255" s="13">
        <f t="shared" si="330"/>
        <v>22.030684000000001</v>
      </c>
      <c r="AX255" s="13">
        <f t="shared" si="331"/>
        <v>22.030684000000001</v>
      </c>
      <c r="AY255" s="13">
        <v>1001.69229</v>
      </c>
      <c r="AZ255" s="13">
        <f t="shared" si="332"/>
        <v>0</v>
      </c>
      <c r="BA255" s="13">
        <f t="shared" si="333"/>
        <v>0</v>
      </c>
      <c r="BB255" s="97">
        <f t="shared" si="334"/>
        <v>0</v>
      </c>
      <c r="BC255" s="499"/>
      <c r="BD255" s="499">
        <v>62.95</v>
      </c>
      <c r="BE255" s="499">
        <v>23.147640120967743</v>
      </c>
      <c r="BF255" s="499">
        <v>20.044793346774199</v>
      </c>
      <c r="BG255" s="499">
        <v>23.025440529139193</v>
      </c>
      <c r="BI255" s="499">
        <f t="shared" ref="BI255:BJ255" si="390">AS258</f>
        <v>39</v>
      </c>
      <c r="BJ255" s="499">
        <f t="shared" si="390"/>
        <v>4.25441</v>
      </c>
      <c r="BK255" s="5">
        <f t="shared" si="307"/>
        <v>0</v>
      </c>
      <c r="BL255" s="499">
        <f t="shared" si="308"/>
        <v>21.654513999999999</v>
      </c>
      <c r="BM255" s="499">
        <f t="shared" si="309"/>
        <v>1000.997469</v>
      </c>
      <c r="BO255" s="499">
        <f t="shared" si="310"/>
        <v>39</v>
      </c>
      <c r="BP255" s="499">
        <f t="shared" si="311"/>
        <v>4.25441</v>
      </c>
      <c r="BQ255" s="5">
        <f t="shared" si="304"/>
        <v>0</v>
      </c>
      <c r="BR255" s="499">
        <f t="shared" si="312"/>
        <v>21.654513999999999</v>
      </c>
      <c r="BS255" s="499">
        <f t="shared" si="313"/>
        <v>1000.997469</v>
      </c>
      <c r="BU255" s="499">
        <f t="shared" si="314"/>
        <v>39</v>
      </c>
      <c r="BV255" s="499">
        <f t="shared" si="315"/>
        <v>4.25441</v>
      </c>
      <c r="BW255" s="5">
        <f t="shared" si="305"/>
        <v>0</v>
      </c>
      <c r="BX255" s="499">
        <f t="shared" si="316"/>
        <v>21.654513999999999</v>
      </c>
      <c r="BY255" s="499">
        <f t="shared" si="317"/>
        <v>1000.997469</v>
      </c>
      <c r="CA255">
        <v>39</v>
      </c>
      <c r="CB255">
        <v>4.25441</v>
      </c>
      <c r="CC255">
        <v>0</v>
      </c>
      <c r="CD255">
        <v>21.654513999999999</v>
      </c>
      <c r="CE255">
        <v>1000.997469</v>
      </c>
      <c r="CG255" s="499">
        <f t="shared" si="318"/>
        <v>0</v>
      </c>
      <c r="CH255" s="499">
        <f t="shared" si="319"/>
        <v>0</v>
      </c>
      <c r="CI255" s="499">
        <f t="shared" si="320"/>
        <v>0</v>
      </c>
      <c r="CJ255" s="499">
        <f t="shared" si="321"/>
        <v>0</v>
      </c>
      <c r="CP255" s="499"/>
      <c r="CQ255" s="65">
        <f t="shared" si="323"/>
        <v>0.52301826094530457</v>
      </c>
      <c r="CR255" s="499">
        <f t="shared" si="324"/>
        <v>0.52301826094530457</v>
      </c>
      <c r="CS255" s="499">
        <f t="shared" si="325"/>
        <v>0.52301826094530457</v>
      </c>
      <c r="CT255" s="38">
        <f t="shared" si="326"/>
        <v>1</v>
      </c>
      <c r="CU255" s="498">
        <f t="shared" si="327"/>
        <v>1</v>
      </c>
    </row>
    <row r="256" spans="43:99">
      <c r="AQ256" s="499"/>
      <c r="AR256" s="228">
        <v>17.905570999999998</v>
      </c>
      <c r="AS256" s="13">
        <v>7</v>
      </c>
      <c r="AT256" s="13">
        <v>4.2000960000000003</v>
      </c>
      <c r="AU256" s="13">
        <f t="shared" si="338"/>
        <v>0</v>
      </c>
      <c r="AV256" s="13">
        <f t="shared" si="329"/>
        <v>17.905570999999998</v>
      </c>
      <c r="AW256" s="13">
        <f t="shared" si="330"/>
        <v>17.905570999999998</v>
      </c>
      <c r="AX256" s="13">
        <f t="shared" si="331"/>
        <v>17.905570999999998</v>
      </c>
      <c r="AY256" s="13">
        <v>999.94017399999996</v>
      </c>
      <c r="AZ256" s="13">
        <f t="shared" si="332"/>
        <v>0</v>
      </c>
      <c r="BA256" s="13">
        <f t="shared" si="333"/>
        <v>0</v>
      </c>
      <c r="BB256" s="97">
        <f t="shared" si="334"/>
        <v>0</v>
      </c>
      <c r="BC256" s="499"/>
      <c r="BD256" s="499">
        <v>62.75</v>
      </c>
      <c r="BE256" s="499">
        <v>22.982214919354838</v>
      </c>
      <c r="BF256" s="499">
        <v>19.997049193548389</v>
      </c>
      <c r="BG256" s="499">
        <v>22.887278898186807</v>
      </c>
      <c r="BI256" s="499">
        <f t="shared" ref="BI256:BJ256" si="391">AS259</f>
        <v>229</v>
      </c>
      <c r="BJ256" s="499">
        <f t="shared" si="391"/>
        <v>4.2681680000000002</v>
      </c>
      <c r="BK256" s="5">
        <f t="shared" si="307"/>
        <v>0</v>
      </c>
      <c r="BL256" s="499">
        <f t="shared" si="308"/>
        <v>19.880848</v>
      </c>
      <c r="BM256" s="499">
        <f t="shared" si="309"/>
        <v>428.15541300000001</v>
      </c>
      <c r="BO256" s="499">
        <f t="shared" si="310"/>
        <v>229</v>
      </c>
      <c r="BP256" s="499">
        <f t="shared" si="311"/>
        <v>4.2681680000000002</v>
      </c>
      <c r="BQ256" s="5">
        <f t="shared" si="304"/>
        <v>0</v>
      </c>
      <c r="BR256" s="499">
        <f t="shared" si="312"/>
        <v>19.880848</v>
      </c>
      <c r="BS256" s="499">
        <f t="shared" si="313"/>
        <v>428.15541300000001</v>
      </c>
      <c r="BU256" s="499">
        <f t="shared" si="314"/>
        <v>229</v>
      </c>
      <c r="BV256" s="499">
        <f t="shared" si="315"/>
        <v>4.2681680000000002</v>
      </c>
      <c r="BW256" s="5">
        <f t="shared" si="305"/>
        <v>0</v>
      </c>
      <c r="BX256" s="499">
        <f t="shared" si="316"/>
        <v>19.880848</v>
      </c>
      <c r="BY256" s="499">
        <f t="shared" si="317"/>
        <v>428.15541300000001</v>
      </c>
      <c r="CA256">
        <v>229</v>
      </c>
      <c r="CB256">
        <v>4.2681680000000002</v>
      </c>
      <c r="CC256">
        <v>0</v>
      </c>
      <c r="CD256">
        <v>19.880848</v>
      </c>
      <c r="CE256">
        <v>428.15541300000001</v>
      </c>
      <c r="CG256" s="499">
        <f t="shared" si="318"/>
        <v>0</v>
      </c>
      <c r="CH256" s="499">
        <f t="shared" si="319"/>
        <v>0</v>
      </c>
      <c r="CI256" s="499">
        <f t="shared" si="320"/>
        <v>0</v>
      </c>
      <c r="CJ256" s="499">
        <f t="shared" si="321"/>
        <v>0</v>
      </c>
      <c r="CP256" s="499"/>
      <c r="CQ256" s="65">
        <f t="shared" si="323"/>
        <v>0.97428921235316224</v>
      </c>
      <c r="CR256" s="499">
        <f t="shared" si="324"/>
        <v>0.97428921235316224</v>
      </c>
      <c r="CS256" s="499">
        <f t="shared" si="325"/>
        <v>0.97428921235316224</v>
      </c>
      <c r="CT256" s="38">
        <f t="shared" si="326"/>
        <v>1</v>
      </c>
      <c r="CU256" s="498">
        <f t="shared" si="327"/>
        <v>1</v>
      </c>
    </row>
    <row r="257" spans="43:99">
      <c r="AQ257" s="499"/>
      <c r="AR257" s="228">
        <v>24.284030999999999</v>
      </c>
      <c r="AS257" s="13">
        <v>345</v>
      </c>
      <c r="AT257" s="13">
        <v>4.2456880000000004</v>
      </c>
      <c r="AU257" s="13">
        <f t="shared" si="338"/>
        <v>0</v>
      </c>
      <c r="AV257" s="13">
        <f t="shared" si="329"/>
        <v>24.284030999999999</v>
      </c>
      <c r="AW257" s="13">
        <f t="shared" si="330"/>
        <v>24.284030999999999</v>
      </c>
      <c r="AX257" s="13">
        <f t="shared" si="331"/>
        <v>24.284030999999999</v>
      </c>
      <c r="AY257" s="13">
        <v>1211.857861</v>
      </c>
      <c r="AZ257" s="13">
        <f t="shared" si="332"/>
        <v>0</v>
      </c>
      <c r="BA257" s="13">
        <f t="shared" si="333"/>
        <v>0</v>
      </c>
      <c r="BB257" s="97">
        <f t="shared" si="334"/>
        <v>0</v>
      </c>
      <c r="BC257" s="499"/>
      <c r="BD257" s="499">
        <v>62.55</v>
      </c>
      <c r="BE257" s="499">
        <v>22.948631048387092</v>
      </c>
      <c r="BF257" s="499">
        <v>19.958283669354842</v>
      </c>
      <c r="BG257" s="499">
        <v>22.906438304038467</v>
      </c>
      <c r="BI257" s="499">
        <f t="shared" ref="BI257:BJ257" si="392">AS260</f>
        <v>126</v>
      </c>
      <c r="BJ257" s="499">
        <f t="shared" si="392"/>
        <v>4.291258</v>
      </c>
      <c r="BK257" s="5">
        <f t="shared" si="307"/>
        <v>1</v>
      </c>
      <c r="BL257" s="499">
        <f t="shared" si="308"/>
        <v>24.407140999999999</v>
      </c>
      <c r="BM257" s="499">
        <f t="shared" si="309"/>
        <v>999.46786599999996</v>
      </c>
      <c r="BO257" s="499">
        <f t="shared" si="310"/>
        <v>126</v>
      </c>
      <c r="BP257" s="499">
        <f t="shared" si="311"/>
        <v>4.291258</v>
      </c>
      <c r="BQ257" s="5">
        <f t="shared" si="304"/>
        <v>1</v>
      </c>
      <c r="BR257" s="499">
        <f t="shared" si="312"/>
        <v>24.407140999999999</v>
      </c>
      <c r="BS257" s="499">
        <f t="shared" si="313"/>
        <v>999.46786599999996</v>
      </c>
      <c r="BU257" s="499">
        <f t="shared" si="314"/>
        <v>126</v>
      </c>
      <c r="BV257" s="499">
        <f t="shared" si="315"/>
        <v>4.291258</v>
      </c>
      <c r="BW257" s="5">
        <f t="shared" si="305"/>
        <v>1</v>
      </c>
      <c r="BX257" s="499">
        <f t="shared" si="316"/>
        <v>24.407140999999999</v>
      </c>
      <c r="BY257" s="499">
        <f t="shared" si="317"/>
        <v>999.46786599999996</v>
      </c>
      <c r="CA257">
        <v>126</v>
      </c>
      <c r="CB257">
        <v>4.291258</v>
      </c>
      <c r="CC257">
        <v>1</v>
      </c>
      <c r="CD257">
        <v>24.407140999999999</v>
      </c>
      <c r="CE257">
        <v>999.46786599999996</v>
      </c>
      <c r="CG257" s="499">
        <f t="shared" si="318"/>
        <v>1</v>
      </c>
      <c r="CH257" s="499">
        <f t="shared" si="319"/>
        <v>1</v>
      </c>
      <c r="CI257" s="499">
        <f t="shared" si="320"/>
        <v>1</v>
      </c>
      <c r="CJ257" s="499">
        <f t="shared" si="321"/>
        <v>1</v>
      </c>
      <c r="CP257" s="499"/>
      <c r="CQ257" s="65">
        <f t="shared" si="323"/>
        <v>0.97872464379605828</v>
      </c>
      <c r="CR257" s="499">
        <f t="shared" si="324"/>
        <v>0.97872464379605828</v>
      </c>
      <c r="CS257" s="499">
        <f t="shared" si="325"/>
        <v>0.97872464379605828</v>
      </c>
      <c r="CT257" s="38">
        <f t="shared" si="326"/>
        <v>1</v>
      </c>
      <c r="CU257" s="498">
        <f t="shared" si="327"/>
        <v>1</v>
      </c>
    </row>
    <row r="258" spans="43:99">
      <c r="AQ258" s="499"/>
      <c r="AR258" s="228">
        <v>21.654513999999999</v>
      </c>
      <c r="AS258" s="13">
        <v>39</v>
      </c>
      <c r="AT258" s="13">
        <v>4.25441</v>
      </c>
      <c r="AU258" s="13">
        <f t="shared" si="338"/>
        <v>0</v>
      </c>
      <c r="AV258" s="13">
        <f t="shared" si="329"/>
        <v>21.654513999999999</v>
      </c>
      <c r="AW258" s="13">
        <f t="shared" si="330"/>
        <v>21.654513999999999</v>
      </c>
      <c r="AX258" s="13">
        <f t="shared" si="331"/>
        <v>21.654513999999999</v>
      </c>
      <c r="AY258" s="13">
        <v>1000.997469</v>
      </c>
      <c r="AZ258" s="13">
        <f t="shared" si="332"/>
        <v>0</v>
      </c>
      <c r="BA258" s="13">
        <f t="shared" si="333"/>
        <v>0</v>
      </c>
      <c r="BB258" s="97">
        <f t="shared" si="334"/>
        <v>0</v>
      </c>
      <c r="BC258" s="499"/>
      <c r="BD258" s="499">
        <v>62.35</v>
      </c>
      <c r="BE258" s="499">
        <v>22.987614112903231</v>
      </c>
      <c r="BF258" s="499">
        <v>19.927262096774196</v>
      </c>
      <c r="BG258" s="499">
        <v>22.945752365641024</v>
      </c>
      <c r="BI258" s="499">
        <f t="shared" ref="BI258:BJ258" si="393">AS261</f>
        <v>471</v>
      </c>
      <c r="BJ258" s="499">
        <f t="shared" si="393"/>
        <v>4.3393069999999998</v>
      </c>
      <c r="BK258" s="5">
        <f t="shared" si="307"/>
        <v>0</v>
      </c>
      <c r="BL258" s="499">
        <f t="shared" si="308"/>
        <v>18.606871000000002</v>
      </c>
      <c r="BM258" s="499">
        <f t="shared" si="309"/>
        <v>748.80267300000003</v>
      </c>
      <c r="BO258" s="499">
        <f t="shared" si="310"/>
        <v>471</v>
      </c>
      <c r="BP258" s="499">
        <f t="shared" si="311"/>
        <v>4.3393069999999998</v>
      </c>
      <c r="BQ258" s="5">
        <f t="shared" si="304"/>
        <v>0</v>
      </c>
      <c r="BR258" s="499">
        <f t="shared" si="312"/>
        <v>18.606871000000002</v>
      </c>
      <c r="BS258" s="499">
        <f t="shared" si="313"/>
        <v>748.80267300000003</v>
      </c>
      <c r="BU258" s="499">
        <f t="shared" si="314"/>
        <v>471</v>
      </c>
      <c r="BV258" s="499">
        <f t="shared" si="315"/>
        <v>4.3393069999999998</v>
      </c>
      <c r="BW258" s="5">
        <f t="shared" si="305"/>
        <v>0</v>
      </c>
      <c r="BX258" s="499">
        <f t="shared" si="316"/>
        <v>18.606871000000002</v>
      </c>
      <c r="BY258" s="499">
        <f t="shared" si="317"/>
        <v>748.80267300000003</v>
      </c>
      <c r="CA258">
        <v>471</v>
      </c>
      <c r="CB258">
        <v>4.3393069999999998</v>
      </c>
      <c r="CC258">
        <v>0</v>
      </c>
      <c r="CD258">
        <v>18.606871000000002</v>
      </c>
      <c r="CE258">
        <v>748.80267300000003</v>
      </c>
      <c r="CG258" s="499">
        <f t="shared" si="318"/>
        <v>0</v>
      </c>
      <c r="CH258" s="499">
        <f t="shared" si="319"/>
        <v>0</v>
      </c>
      <c r="CI258" s="499">
        <f t="shared" si="320"/>
        <v>0</v>
      </c>
      <c r="CJ258" s="499">
        <f t="shared" si="321"/>
        <v>0</v>
      </c>
      <c r="CP258" s="499"/>
      <c r="CQ258" s="65">
        <f t="shared" si="323"/>
        <v>0.46323752866303308</v>
      </c>
      <c r="CR258" s="499">
        <f t="shared" si="324"/>
        <v>0.46323752866303308</v>
      </c>
      <c r="CS258" s="499">
        <f t="shared" si="325"/>
        <v>0.46323752866303308</v>
      </c>
      <c r="CT258" s="38">
        <f t="shared" si="326"/>
        <v>1</v>
      </c>
      <c r="CU258" s="498">
        <f t="shared" si="327"/>
        <v>1</v>
      </c>
    </row>
    <row r="259" spans="43:99">
      <c r="AQ259" s="499"/>
      <c r="AR259" s="228">
        <v>19.880848</v>
      </c>
      <c r="AS259" s="13">
        <v>229</v>
      </c>
      <c r="AT259" s="13">
        <v>4.2681680000000002</v>
      </c>
      <c r="AU259" s="13">
        <f t="shared" si="338"/>
        <v>0</v>
      </c>
      <c r="AV259" s="13">
        <f t="shared" si="329"/>
        <v>19.880848</v>
      </c>
      <c r="AW259" s="13">
        <f t="shared" si="330"/>
        <v>19.880848</v>
      </c>
      <c r="AX259" s="13">
        <f t="shared" si="331"/>
        <v>19.880848</v>
      </c>
      <c r="AY259" s="13">
        <v>428.15541300000001</v>
      </c>
      <c r="AZ259" s="13">
        <f t="shared" si="332"/>
        <v>0</v>
      </c>
      <c r="BA259" s="13">
        <f t="shared" si="333"/>
        <v>0</v>
      </c>
      <c r="BB259" s="97">
        <f t="shared" si="334"/>
        <v>0</v>
      </c>
      <c r="BC259" s="499"/>
      <c r="BD259" s="499">
        <v>62.15</v>
      </c>
      <c r="BE259" s="499">
        <v>23.031294758064512</v>
      </c>
      <c r="BF259" s="499">
        <v>19.906785887096774</v>
      </c>
      <c r="BG259" s="499">
        <v>22.964857398736264</v>
      </c>
      <c r="BI259" s="499">
        <f t="shared" ref="BI259:BJ259" si="394">AS262</f>
        <v>95</v>
      </c>
      <c r="BJ259" s="499">
        <f t="shared" si="394"/>
        <v>4.4062200000000002</v>
      </c>
      <c r="BK259" s="5">
        <f t="shared" si="307"/>
        <v>0</v>
      </c>
      <c r="BL259" s="499">
        <f t="shared" si="308"/>
        <v>21.291104000000001</v>
      </c>
      <c r="BM259" s="499">
        <f t="shared" si="309"/>
        <v>1001.187236</v>
      </c>
      <c r="BO259" s="499">
        <f t="shared" si="310"/>
        <v>95</v>
      </c>
      <c r="BP259" s="499">
        <f t="shared" si="311"/>
        <v>4.4062200000000002</v>
      </c>
      <c r="BQ259" s="5">
        <f t="shared" si="304"/>
        <v>0</v>
      </c>
      <c r="BR259" s="499">
        <f t="shared" si="312"/>
        <v>21.291104000000001</v>
      </c>
      <c r="BS259" s="499">
        <f t="shared" si="313"/>
        <v>1001.187236</v>
      </c>
      <c r="BU259" s="499">
        <f t="shared" si="314"/>
        <v>95</v>
      </c>
      <c r="BV259" s="499">
        <f t="shared" si="315"/>
        <v>4.4062200000000002</v>
      </c>
      <c r="BW259" s="5">
        <f t="shared" si="305"/>
        <v>0</v>
      </c>
      <c r="BX259" s="499">
        <f t="shared" si="316"/>
        <v>21.291104000000001</v>
      </c>
      <c r="BY259" s="499">
        <f t="shared" si="317"/>
        <v>1001.187236</v>
      </c>
      <c r="CA259">
        <v>95</v>
      </c>
      <c r="CB259">
        <v>4.4062200000000002</v>
      </c>
      <c r="CC259">
        <v>0</v>
      </c>
      <c r="CD259">
        <v>21.291104000000001</v>
      </c>
      <c r="CE259">
        <v>1001.187236</v>
      </c>
      <c r="CG259" s="499">
        <f t="shared" si="318"/>
        <v>0</v>
      </c>
      <c r="CH259" s="499">
        <f t="shared" si="319"/>
        <v>0</v>
      </c>
      <c r="CI259" s="499">
        <f t="shared" si="320"/>
        <v>0</v>
      </c>
      <c r="CJ259" s="499">
        <f t="shared" si="321"/>
        <v>0</v>
      </c>
      <c r="CP259" s="499"/>
      <c r="CQ259" s="65">
        <f t="shared" si="323"/>
        <v>0.97884922973202337</v>
      </c>
      <c r="CR259" s="499">
        <f t="shared" si="324"/>
        <v>0.97884922973202337</v>
      </c>
      <c r="CS259" s="499">
        <f t="shared" si="325"/>
        <v>0.97884922973202337</v>
      </c>
      <c r="CT259" s="38">
        <f t="shared" si="326"/>
        <v>1</v>
      </c>
      <c r="CU259" s="498">
        <f t="shared" si="327"/>
        <v>1</v>
      </c>
    </row>
    <row r="260" spans="43:99">
      <c r="AQ260" s="499"/>
      <c r="AR260" s="228">
        <v>24.407140999999999</v>
      </c>
      <c r="AS260" s="13">
        <v>126</v>
      </c>
      <c r="AT260" s="13">
        <v>4.291258</v>
      </c>
      <c r="AU260" s="13">
        <f t="shared" si="338"/>
        <v>1</v>
      </c>
      <c r="AV260" s="13">
        <f t="shared" si="329"/>
        <v>24.407140999999999</v>
      </c>
      <c r="AW260" s="13">
        <f t="shared" si="330"/>
        <v>24.407140999999999</v>
      </c>
      <c r="AX260" s="13">
        <f t="shared" si="331"/>
        <v>24.407140999999999</v>
      </c>
      <c r="AY260" s="13">
        <v>999.46786599999996</v>
      </c>
      <c r="AZ260" s="13">
        <f t="shared" si="332"/>
        <v>0</v>
      </c>
      <c r="BA260" s="13">
        <f t="shared" si="333"/>
        <v>0</v>
      </c>
      <c r="BB260" s="97">
        <f t="shared" si="334"/>
        <v>0</v>
      </c>
      <c r="BC260" s="499"/>
      <c r="BD260" s="499">
        <v>61.95</v>
      </c>
      <c r="BE260" s="499">
        <v>23.197130443548385</v>
      </c>
      <c r="BF260" s="499">
        <v>19.884477217741935</v>
      </c>
      <c r="BG260" s="499">
        <v>23.054733143438643</v>
      </c>
      <c r="BI260" s="499">
        <f t="shared" ref="BI260:BJ260" si="395">AS263</f>
        <v>469</v>
      </c>
      <c r="BJ260" s="499">
        <f t="shared" si="395"/>
        <v>4.4191909999999996</v>
      </c>
      <c r="BK260" s="5">
        <f t="shared" si="307"/>
        <v>0</v>
      </c>
      <c r="BL260" s="499">
        <f t="shared" si="308"/>
        <v>22.581924000000001</v>
      </c>
      <c r="BM260" s="499">
        <f t="shared" si="309"/>
        <v>793.32627300000001</v>
      </c>
      <c r="BO260" s="499">
        <f t="shared" si="310"/>
        <v>469</v>
      </c>
      <c r="BP260" s="499">
        <f t="shared" si="311"/>
        <v>4.4191909999999996</v>
      </c>
      <c r="BQ260" s="5">
        <f t="shared" si="304"/>
        <v>0</v>
      </c>
      <c r="BR260" s="499">
        <f t="shared" si="312"/>
        <v>22.581924000000001</v>
      </c>
      <c r="BS260" s="499">
        <f t="shared" si="313"/>
        <v>793.32627300000001</v>
      </c>
      <c r="BU260" s="499">
        <f t="shared" si="314"/>
        <v>469</v>
      </c>
      <c r="BV260" s="499">
        <f t="shared" si="315"/>
        <v>4.4191909999999996</v>
      </c>
      <c r="BW260" s="5">
        <f t="shared" si="305"/>
        <v>0</v>
      </c>
      <c r="BX260" s="499">
        <f t="shared" si="316"/>
        <v>22.581924000000001</v>
      </c>
      <c r="BY260" s="499">
        <f t="shared" si="317"/>
        <v>793.32627300000001</v>
      </c>
      <c r="CA260">
        <v>469</v>
      </c>
      <c r="CB260">
        <v>4.4191909999999996</v>
      </c>
      <c r="CC260">
        <v>0</v>
      </c>
      <c r="CD260">
        <v>22.581924000000001</v>
      </c>
      <c r="CE260">
        <v>793.32627300000001</v>
      </c>
      <c r="CG260" s="499">
        <f t="shared" si="318"/>
        <v>0</v>
      </c>
      <c r="CH260" s="499">
        <f t="shared" si="319"/>
        <v>0</v>
      </c>
      <c r="CI260" s="499">
        <f t="shared" si="320"/>
        <v>0</v>
      </c>
      <c r="CJ260" s="499">
        <f t="shared" si="321"/>
        <v>0</v>
      </c>
      <c r="CP260" s="499"/>
      <c r="CQ260" s="65">
        <f t="shared" si="323"/>
        <v>0.97663438058824714</v>
      </c>
      <c r="CR260" s="499">
        <f t="shared" si="324"/>
        <v>0.97663438058824714</v>
      </c>
      <c r="CS260" s="499">
        <f t="shared" si="325"/>
        <v>0.97663438058824714</v>
      </c>
      <c r="CT260" s="38">
        <f t="shared" si="326"/>
        <v>1</v>
      </c>
      <c r="CU260" s="498">
        <f t="shared" si="327"/>
        <v>1</v>
      </c>
    </row>
    <row r="261" spans="43:99">
      <c r="AQ261" s="499"/>
      <c r="AR261" s="228">
        <v>18.606871000000002</v>
      </c>
      <c r="AS261" s="13">
        <v>471</v>
      </c>
      <c r="AT261" s="13">
        <v>4.3393069999999998</v>
      </c>
      <c r="AU261" s="13">
        <f t="shared" si="338"/>
        <v>0</v>
      </c>
      <c r="AV261" s="13">
        <f t="shared" si="329"/>
        <v>18.606871000000002</v>
      </c>
      <c r="AW261" s="13">
        <f t="shared" si="330"/>
        <v>18.606871000000002</v>
      </c>
      <c r="AX261" s="13">
        <f t="shared" si="331"/>
        <v>18.606871000000002</v>
      </c>
      <c r="AY261" s="13">
        <v>748.80267300000003</v>
      </c>
      <c r="AZ261" s="13">
        <f t="shared" si="332"/>
        <v>0</v>
      </c>
      <c r="BA261" s="13">
        <f t="shared" si="333"/>
        <v>0</v>
      </c>
      <c r="BB261" s="97">
        <f t="shared" si="334"/>
        <v>0</v>
      </c>
      <c r="BC261" s="499"/>
      <c r="BD261" s="499">
        <v>61.75</v>
      </c>
      <c r="BE261" s="499">
        <v>23.31164637096775</v>
      </c>
      <c r="BF261" s="499">
        <v>19.854987701612899</v>
      </c>
      <c r="BG261" s="499">
        <v>23.178820272165748</v>
      </c>
      <c r="BI261" s="499">
        <f t="shared" ref="BI261:BJ261" si="396">AS264</f>
        <v>165</v>
      </c>
      <c r="BJ261" s="499">
        <f t="shared" si="396"/>
        <v>4.4240810000000002</v>
      </c>
      <c r="BK261" s="5">
        <f t="shared" si="307"/>
        <v>0</v>
      </c>
      <c r="BL261" s="499">
        <f t="shared" si="308"/>
        <v>20.523961</v>
      </c>
      <c r="BM261" s="499">
        <f t="shared" si="309"/>
        <v>998.56828099999996</v>
      </c>
      <c r="BO261" s="499">
        <f t="shared" si="310"/>
        <v>165</v>
      </c>
      <c r="BP261" s="499">
        <f t="shared" si="311"/>
        <v>4.4240810000000002</v>
      </c>
      <c r="BQ261" s="5">
        <f t="shared" ref="BQ261:BQ324" si="397">IF(BR261&gt;=24.4,1,0)</f>
        <v>0</v>
      </c>
      <c r="BR261" s="499">
        <f t="shared" si="312"/>
        <v>20.523961</v>
      </c>
      <c r="BS261" s="499">
        <f t="shared" si="313"/>
        <v>998.56828099999996</v>
      </c>
      <c r="BU261" s="499">
        <f t="shared" si="314"/>
        <v>165</v>
      </c>
      <c r="BV261" s="499">
        <f t="shared" si="315"/>
        <v>4.4240810000000002</v>
      </c>
      <c r="BW261" s="5">
        <f t="shared" ref="BW261:BW324" si="398">IF(BX261&gt;=24.4,1,0)</f>
        <v>0</v>
      </c>
      <c r="BX261" s="499">
        <f t="shared" si="316"/>
        <v>20.523961</v>
      </c>
      <c r="BY261" s="499">
        <f t="shared" si="317"/>
        <v>998.56828099999996</v>
      </c>
      <c r="CA261">
        <v>165</v>
      </c>
      <c r="CB261">
        <v>4.4240810000000002</v>
      </c>
      <c r="CC261">
        <v>0</v>
      </c>
      <c r="CD261">
        <v>20.523961</v>
      </c>
      <c r="CE261">
        <v>998.56828099999996</v>
      </c>
      <c r="CG261" s="499">
        <f t="shared" si="318"/>
        <v>0</v>
      </c>
      <c r="CH261" s="499">
        <f t="shared" si="319"/>
        <v>0</v>
      </c>
      <c r="CI261" s="499">
        <f t="shared" si="320"/>
        <v>0</v>
      </c>
      <c r="CJ261" s="499">
        <f t="shared" si="321"/>
        <v>0</v>
      </c>
      <c r="CP261" s="499"/>
      <c r="CQ261" s="65">
        <f t="shared" si="323"/>
        <v>0.95070186444298277</v>
      </c>
      <c r="CR261" s="499">
        <f t="shared" si="324"/>
        <v>0.95070186444298277</v>
      </c>
      <c r="CS261" s="499">
        <f t="shared" si="325"/>
        <v>0.95070186444298277</v>
      </c>
      <c r="CT261" s="38">
        <f t="shared" si="326"/>
        <v>1</v>
      </c>
      <c r="CU261" s="498">
        <f t="shared" si="327"/>
        <v>1</v>
      </c>
    </row>
    <row r="262" spans="43:99">
      <c r="AQ262" s="499"/>
      <c r="AR262" s="228">
        <v>21.291104000000001</v>
      </c>
      <c r="AS262" s="13">
        <v>95</v>
      </c>
      <c r="AT262" s="13">
        <v>4.4062200000000002</v>
      </c>
      <c r="AU262" s="13">
        <f t="shared" si="338"/>
        <v>0</v>
      </c>
      <c r="AV262" s="13">
        <f t="shared" si="329"/>
        <v>21.291104000000001</v>
      </c>
      <c r="AW262" s="13">
        <f t="shared" si="330"/>
        <v>21.291104000000001</v>
      </c>
      <c r="AX262" s="13">
        <f t="shared" si="331"/>
        <v>21.291104000000001</v>
      </c>
      <c r="AY262" s="13">
        <v>1001.187236</v>
      </c>
      <c r="AZ262" s="13">
        <f t="shared" si="332"/>
        <v>0</v>
      </c>
      <c r="BA262" s="13">
        <f t="shared" si="333"/>
        <v>0</v>
      </c>
      <c r="BB262" s="97">
        <f t="shared" si="334"/>
        <v>0</v>
      </c>
      <c r="BC262" s="499"/>
      <c r="BD262" s="499">
        <v>61.55</v>
      </c>
      <c r="BE262" s="499">
        <v>23.379095564516128</v>
      </c>
      <c r="BF262" s="499">
        <v>19.825934475806449</v>
      </c>
      <c r="BG262" s="499">
        <v>23.429844118969772</v>
      </c>
      <c r="BI262" s="499">
        <f t="shared" ref="BI262:BJ262" si="399">AS265</f>
        <v>12</v>
      </c>
      <c r="BJ262" s="499">
        <f t="shared" si="399"/>
        <v>4.4316310000000003</v>
      </c>
      <c r="BK262" s="5">
        <f t="shared" ref="BK262:BK325" si="400">IF(BL262&gt;=24.4,1,0)</f>
        <v>0</v>
      </c>
      <c r="BL262" s="499">
        <f t="shared" ref="BL262:BL325" si="401">AR265</f>
        <v>22.843762999999999</v>
      </c>
      <c r="BM262" s="499">
        <f t="shared" ref="BM262:BM325" si="402">AY265</f>
        <v>999.57288100000005</v>
      </c>
      <c r="BO262" s="499">
        <f t="shared" ref="BO262:BO325" si="403">BI262</f>
        <v>12</v>
      </c>
      <c r="BP262" s="499">
        <f t="shared" ref="BP262:BP325" si="404">BJ262</f>
        <v>4.4316310000000003</v>
      </c>
      <c r="BQ262" s="5">
        <f t="shared" si="397"/>
        <v>0</v>
      </c>
      <c r="BR262" s="499">
        <f t="shared" ref="BR262:BR325" si="405">$BL262-AZ265</f>
        <v>22.843762999999999</v>
      </c>
      <c r="BS262" s="499">
        <f t="shared" ref="BS262:BS325" si="406">BM262</f>
        <v>999.57288100000005</v>
      </c>
      <c r="BU262" s="499">
        <f t="shared" ref="BU262:BU325" si="407">BI262</f>
        <v>12</v>
      </c>
      <c r="BV262" s="499">
        <f t="shared" ref="BV262:BV325" si="408">BJ262</f>
        <v>4.4316310000000003</v>
      </c>
      <c r="BW262" s="5">
        <f t="shared" si="398"/>
        <v>0</v>
      </c>
      <c r="BX262" s="499">
        <f t="shared" ref="BX262:BX325" si="409">$BL262-BA265</f>
        <v>22.843762999999999</v>
      </c>
      <c r="BY262" s="499">
        <f t="shared" ref="BY262:BY325" si="410">BM262</f>
        <v>999.57288100000005</v>
      </c>
      <c r="CA262">
        <v>12</v>
      </c>
      <c r="CB262">
        <v>4.4316310000000003</v>
      </c>
      <c r="CC262">
        <v>0</v>
      </c>
      <c r="CD262">
        <v>22.843762999999999</v>
      </c>
      <c r="CE262">
        <v>999.57288100000005</v>
      </c>
      <c r="CG262" s="499">
        <f t="shared" ref="CG262:CG325" si="411">BK262</f>
        <v>0</v>
      </c>
      <c r="CH262" s="499">
        <f t="shared" ref="CH262:CH325" si="412">BQ262</f>
        <v>0</v>
      </c>
      <c r="CI262" s="499">
        <f t="shared" ref="CI262:CI325" si="413">BW262</f>
        <v>0</v>
      </c>
      <c r="CJ262" s="499">
        <f t="shared" ref="CJ262:CJ325" si="414">CC262</f>
        <v>0</v>
      </c>
      <c r="CP262" s="499"/>
      <c r="CQ262" s="65">
        <f t="shared" si="323"/>
        <v>0.97837441977350947</v>
      </c>
      <c r="CR262" s="499">
        <f t="shared" si="324"/>
        <v>0.97837441977350947</v>
      </c>
      <c r="CS262" s="499">
        <f t="shared" si="325"/>
        <v>0.97837441977350947</v>
      </c>
      <c r="CT262" s="38">
        <f t="shared" si="326"/>
        <v>1</v>
      </c>
      <c r="CU262" s="498">
        <f t="shared" si="327"/>
        <v>1</v>
      </c>
    </row>
    <row r="263" spans="43:99">
      <c r="AQ263" s="499"/>
      <c r="AR263" s="228">
        <v>22.581924000000001</v>
      </c>
      <c r="AS263" s="13">
        <v>469</v>
      </c>
      <c r="AT263" s="13">
        <v>4.4191909999999996</v>
      </c>
      <c r="AU263" s="13">
        <f t="shared" si="338"/>
        <v>0</v>
      </c>
      <c r="AV263" s="13">
        <f t="shared" si="329"/>
        <v>22.581924000000001</v>
      </c>
      <c r="AW263" s="13">
        <f t="shared" si="330"/>
        <v>22.581924000000001</v>
      </c>
      <c r="AX263" s="13">
        <f t="shared" si="331"/>
        <v>22.581924000000001</v>
      </c>
      <c r="AY263" s="13">
        <v>793.32627300000001</v>
      </c>
      <c r="AZ263" s="13">
        <f t="shared" si="332"/>
        <v>0</v>
      </c>
      <c r="BA263" s="13">
        <f t="shared" si="333"/>
        <v>0</v>
      </c>
      <c r="BB263" s="97">
        <f t="shared" si="334"/>
        <v>0</v>
      </c>
      <c r="BC263" s="499"/>
      <c r="BD263" s="499">
        <v>61.35</v>
      </c>
      <c r="BE263" s="499">
        <v>23.649784475806442</v>
      </c>
      <c r="BF263" s="499">
        <v>19.797238508064517</v>
      </c>
      <c r="BG263" s="499">
        <v>23.623136023919415</v>
      </c>
      <c r="BI263" s="499">
        <f t="shared" ref="BI263:BJ263" si="415">AS266</f>
        <v>318</v>
      </c>
      <c r="BJ263" s="499">
        <f t="shared" si="415"/>
        <v>4.4664710000000003</v>
      </c>
      <c r="BK263" s="5">
        <f t="shared" si="400"/>
        <v>0</v>
      </c>
      <c r="BL263" s="499">
        <f t="shared" si="401"/>
        <v>21.291104000000001</v>
      </c>
      <c r="BM263" s="499">
        <f t="shared" si="402"/>
        <v>1001.359716</v>
      </c>
      <c r="BO263" s="499">
        <f t="shared" si="403"/>
        <v>318</v>
      </c>
      <c r="BP263" s="499">
        <f t="shared" si="404"/>
        <v>4.4664710000000003</v>
      </c>
      <c r="BQ263" s="5">
        <f t="shared" si="397"/>
        <v>0</v>
      </c>
      <c r="BR263" s="499">
        <f t="shared" si="405"/>
        <v>21.291104000000001</v>
      </c>
      <c r="BS263" s="499">
        <f t="shared" si="406"/>
        <v>1001.359716</v>
      </c>
      <c r="BU263" s="499">
        <f t="shared" si="407"/>
        <v>318</v>
      </c>
      <c r="BV263" s="499">
        <f t="shared" si="408"/>
        <v>4.4664710000000003</v>
      </c>
      <c r="BW263" s="5">
        <f t="shared" si="398"/>
        <v>0</v>
      </c>
      <c r="BX263" s="499">
        <f t="shared" si="409"/>
        <v>21.291104000000001</v>
      </c>
      <c r="BY263" s="499">
        <f t="shared" si="410"/>
        <v>1001.359716</v>
      </c>
      <c r="CA263">
        <v>318</v>
      </c>
      <c r="CB263">
        <v>4.4664710000000003</v>
      </c>
      <c r="CC263">
        <v>0</v>
      </c>
      <c r="CD263">
        <v>21.291104000000001</v>
      </c>
      <c r="CE263">
        <v>1001.359716</v>
      </c>
      <c r="CG263" s="499">
        <f t="shared" si="411"/>
        <v>0</v>
      </c>
      <c r="CH263" s="499">
        <f t="shared" si="412"/>
        <v>0</v>
      </c>
      <c r="CI263" s="499">
        <f t="shared" si="413"/>
        <v>0</v>
      </c>
      <c r="CJ263" s="499">
        <f t="shared" si="414"/>
        <v>0</v>
      </c>
      <c r="CP263" s="499"/>
      <c r="CQ263" s="65">
        <f t="shared" ref="CQ263:CQ326" si="416">(97.886/(1+EXP(-((BL262-24.35322)/-0.5033))))/100</f>
        <v>0.93239777080751141</v>
      </c>
      <c r="CR263" s="499">
        <f t="shared" ref="CR263:CR326" si="417">(97.886/(1+EXP(-((BR262-24.35322)/-0.5033))))/100</f>
        <v>0.93239777080751141</v>
      </c>
      <c r="CS263" s="499">
        <f t="shared" ref="CS263:CS326" si="418">(97.886/(1+EXP(-((BX262-24.35322)/-0.5033))))/100</f>
        <v>0.93239777080751141</v>
      </c>
      <c r="CT263" s="38">
        <f t="shared" ref="CT263:CT326" si="419">CR263/CQ263</f>
        <v>1</v>
      </c>
      <c r="CU263" s="498">
        <f t="shared" ref="CU263:CU326" si="420">CS263/CQ263</f>
        <v>1</v>
      </c>
    </row>
    <row r="264" spans="43:99">
      <c r="AQ264" s="499"/>
      <c r="AR264" s="228">
        <v>20.523961</v>
      </c>
      <c r="AS264" s="13">
        <v>165</v>
      </c>
      <c r="AT264" s="13">
        <v>4.4240810000000002</v>
      </c>
      <c r="AU264" s="13">
        <f t="shared" si="338"/>
        <v>0</v>
      </c>
      <c r="AV264" s="13">
        <f t="shared" si="329"/>
        <v>20.523961</v>
      </c>
      <c r="AW264" s="13">
        <f t="shared" si="330"/>
        <v>20.523961</v>
      </c>
      <c r="AX264" s="13">
        <f t="shared" si="331"/>
        <v>20.523961</v>
      </c>
      <c r="AY264" s="13">
        <v>998.56828099999996</v>
      </c>
      <c r="AZ264" s="13">
        <f t="shared" si="332"/>
        <v>0</v>
      </c>
      <c r="BA264" s="13">
        <f t="shared" si="333"/>
        <v>0</v>
      </c>
      <c r="BB264" s="97">
        <f t="shared" si="334"/>
        <v>0</v>
      </c>
      <c r="BC264" s="499"/>
      <c r="BD264" s="499">
        <v>61.15</v>
      </c>
      <c r="BE264" s="499">
        <v>23.866181653225809</v>
      </c>
      <c r="BF264" s="499">
        <v>19.774245766129038</v>
      </c>
      <c r="BG264" s="499">
        <v>23.784231032623627</v>
      </c>
      <c r="BI264" s="499">
        <f t="shared" ref="BI264:BJ264" si="421">AS267</f>
        <v>156</v>
      </c>
      <c r="BJ264" s="499">
        <f t="shared" si="421"/>
        <v>4.5095910000000003</v>
      </c>
      <c r="BK264" s="5">
        <f t="shared" si="400"/>
        <v>1</v>
      </c>
      <c r="BL264" s="499">
        <f t="shared" si="401"/>
        <v>24.440521</v>
      </c>
      <c r="BM264" s="499">
        <f t="shared" si="402"/>
        <v>960.01029700000004</v>
      </c>
      <c r="BO264" s="499">
        <f t="shared" si="403"/>
        <v>156</v>
      </c>
      <c r="BP264" s="499">
        <f t="shared" si="404"/>
        <v>4.5095910000000003</v>
      </c>
      <c r="BQ264" s="5">
        <f t="shared" si="397"/>
        <v>1</v>
      </c>
      <c r="BR264" s="499">
        <f t="shared" si="405"/>
        <v>24.440521</v>
      </c>
      <c r="BS264" s="499">
        <f t="shared" si="406"/>
        <v>960.01029700000004</v>
      </c>
      <c r="BU264" s="499">
        <f t="shared" si="407"/>
        <v>156</v>
      </c>
      <c r="BV264" s="499">
        <f t="shared" si="408"/>
        <v>4.5095910000000003</v>
      </c>
      <c r="BW264" s="5">
        <f t="shared" si="398"/>
        <v>1</v>
      </c>
      <c r="BX264" s="499">
        <f t="shared" si="409"/>
        <v>24.440521</v>
      </c>
      <c r="BY264" s="499">
        <f t="shared" si="410"/>
        <v>960.01029700000004</v>
      </c>
      <c r="CA264">
        <v>156</v>
      </c>
      <c r="CB264">
        <v>4.5095910000000003</v>
      </c>
      <c r="CC264">
        <v>1</v>
      </c>
      <c r="CD264">
        <v>24.440521</v>
      </c>
      <c r="CE264">
        <v>960.01029700000004</v>
      </c>
      <c r="CG264" s="499">
        <f t="shared" si="411"/>
        <v>1</v>
      </c>
      <c r="CH264" s="499">
        <f t="shared" si="412"/>
        <v>1</v>
      </c>
      <c r="CI264" s="499">
        <f t="shared" si="413"/>
        <v>1</v>
      </c>
      <c r="CJ264" s="499">
        <f t="shared" si="414"/>
        <v>1</v>
      </c>
      <c r="CP264" s="499"/>
      <c r="CQ264" s="65">
        <f t="shared" si="416"/>
        <v>0.97663438058824714</v>
      </c>
      <c r="CR264" s="499">
        <f t="shared" si="417"/>
        <v>0.97663438058824714</v>
      </c>
      <c r="CS264" s="499">
        <f t="shared" si="418"/>
        <v>0.97663438058824714</v>
      </c>
      <c r="CT264" s="38">
        <f t="shared" si="419"/>
        <v>1</v>
      </c>
      <c r="CU264" s="498">
        <f t="shared" si="420"/>
        <v>1</v>
      </c>
    </row>
    <row r="265" spans="43:99">
      <c r="AQ265" s="499"/>
      <c r="AR265" s="228">
        <v>22.843762999999999</v>
      </c>
      <c r="AS265" s="13">
        <v>12</v>
      </c>
      <c r="AT265" s="13">
        <v>4.4316310000000003</v>
      </c>
      <c r="AU265" s="13">
        <f t="shared" si="338"/>
        <v>0</v>
      </c>
      <c r="AV265" s="13">
        <f t="shared" ref="AV265:AV328" si="422">IF(ISERROR(VLOOKUP(AS265,B$3:AP$102,40,FALSE))=TRUE,AR265,VLOOKUP(AS265,B$3:AP$102,40,FALSE))</f>
        <v>22.843762999999999</v>
      </c>
      <c r="AW265" s="13">
        <f t="shared" ref="AW265:AW328" si="423">IF(ISERROR(VLOOKUP(AS265,B$3:AP$102,39,FALSE))=TRUE,AR265,VLOOKUP(AS265,B$3:AP$102,39,FALSE))</f>
        <v>22.843762999999999</v>
      </c>
      <c r="AX265" s="13">
        <f t="shared" ref="AX265:AX328" si="424">IF(ISERROR(VLOOKUP(AS265,B$3:AP$102,41,FALSE))=TRUE,AR265,VLOOKUP(AS265,B$3:AP$102,41,FALSE))</f>
        <v>22.843762999999999</v>
      </c>
      <c r="AY265" s="13">
        <v>999.57288100000005</v>
      </c>
      <c r="AZ265" s="13">
        <f t="shared" ref="AZ265:AZ328" si="425">IF($AV265=0,0,$AV265-AW265)</f>
        <v>0</v>
      </c>
      <c r="BA265" s="13">
        <f t="shared" ref="BA265:BA328" si="426">IF($AV265=0,0,$AV265-AX265)</f>
        <v>0</v>
      </c>
      <c r="BB265" s="97">
        <f t="shared" ref="BB265:BB328" si="427">IF(AV265=0,0,$AR265-AV265)</f>
        <v>0</v>
      </c>
      <c r="BC265" s="499"/>
      <c r="BD265" s="499">
        <v>60.95</v>
      </c>
      <c r="BE265" s="499">
        <v>24.08185060483871</v>
      </c>
      <c r="BF265" s="499">
        <v>19.752170766129034</v>
      </c>
      <c r="BG265" s="499">
        <v>23.944228808241757</v>
      </c>
      <c r="BI265" s="499">
        <f t="shared" ref="BI265:BJ265" si="428">AS268</f>
        <v>349</v>
      </c>
      <c r="BJ265" s="499">
        <f t="shared" si="428"/>
        <v>4.5126470000000003</v>
      </c>
      <c r="BK265" s="5">
        <f t="shared" si="400"/>
        <v>1</v>
      </c>
      <c r="BL265" s="499">
        <f t="shared" si="401"/>
        <v>24.851195000000001</v>
      </c>
      <c r="BM265" s="499">
        <f t="shared" si="402"/>
        <v>1001.370136</v>
      </c>
      <c r="BO265" s="499">
        <f t="shared" si="403"/>
        <v>349</v>
      </c>
      <c r="BP265" s="499">
        <f t="shared" si="404"/>
        <v>4.5126470000000003</v>
      </c>
      <c r="BQ265" s="5">
        <f t="shared" si="397"/>
        <v>1</v>
      </c>
      <c r="BR265" s="499">
        <f t="shared" si="405"/>
        <v>24.851195000000001</v>
      </c>
      <c r="BS265" s="499">
        <f t="shared" si="406"/>
        <v>1001.370136</v>
      </c>
      <c r="BU265" s="499">
        <f t="shared" si="407"/>
        <v>349</v>
      </c>
      <c r="BV265" s="499">
        <f t="shared" si="408"/>
        <v>4.5126470000000003</v>
      </c>
      <c r="BW265" s="5">
        <f t="shared" si="398"/>
        <v>1</v>
      </c>
      <c r="BX265" s="499">
        <f t="shared" si="409"/>
        <v>24.851195000000001</v>
      </c>
      <c r="BY265" s="499">
        <f t="shared" si="410"/>
        <v>1001.370136</v>
      </c>
      <c r="CA265">
        <v>349</v>
      </c>
      <c r="CB265">
        <v>4.5126470000000003</v>
      </c>
      <c r="CC265">
        <v>1</v>
      </c>
      <c r="CD265">
        <v>24.851195000000001</v>
      </c>
      <c r="CE265">
        <v>1001.370136</v>
      </c>
      <c r="CG265" s="499">
        <f t="shared" si="411"/>
        <v>1</v>
      </c>
      <c r="CH265" s="499">
        <f t="shared" si="412"/>
        <v>1</v>
      </c>
      <c r="CI265" s="499">
        <f t="shared" si="413"/>
        <v>1</v>
      </c>
      <c r="CJ265" s="499">
        <f t="shared" si="414"/>
        <v>1</v>
      </c>
      <c r="CP265" s="499"/>
      <c r="CQ265" s="65">
        <f t="shared" si="416"/>
        <v>0.4470885343942903</v>
      </c>
      <c r="CR265" s="499">
        <f t="shared" si="417"/>
        <v>0.4470885343942903</v>
      </c>
      <c r="CS265" s="499">
        <f t="shared" si="418"/>
        <v>0.4470885343942903</v>
      </c>
      <c r="CT265" s="38">
        <f t="shared" si="419"/>
        <v>1</v>
      </c>
      <c r="CU265" s="498">
        <f t="shared" si="420"/>
        <v>1</v>
      </c>
    </row>
    <row r="266" spans="43:99">
      <c r="AQ266" s="499"/>
      <c r="AR266" s="228">
        <v>21.291104000000001</v>
      </c>
      <c r="AS266" s="13">
        <v>318</v>
      </c>
      <c r="AT266" s="13">
        <v>4.4664710000000003</v>
      </c>
      <c r="AU266" s="13">
        <f t="shared" si="338"/>
        <v>0</v>
      </c>
      <c r="AV266" s="13">
        <f t="shared" si="422"/>
        <v>21.291104000000001</v>
      </c>
      <c r="AW266" s="13">
        <f t="shared" si="423"/>
        <v>21.291104000000001</v>
      </c>
      <c r="AX266" s="13">
        <f t="shared" si="424"/>
        <v>21.291104000000001</v>
      </c>
      <c r="AY266" s="13">
        <v>1001.359716</v>
      </c>
      <c r="AZ266" s="13">
        <f t="shared" si="425"/>
        <v>0</v>
      </c>
      <c r="BA266" s="13">
        <f t="shared" si="426"/>
        <v>0</v>
      </c>
      <c r="BB266" s="97">
        <f t="shared" si="427"/>
        <v>0</v>
      </c>
      <c r="BC266" s="499"/>
      <c r="BD266" s="499">
        <v>60.75</v>
      </c>
      <c r="BE266" s="499">
        <v>24.31396713709676</v>
      </c>
      <c r="BF266" s="499">
        <v>19.728910282258063</v>
      </c>
      <c r="BG266" s="499">
        <v>24.127006895448723</v>
      </c>
      <c r="BI266" s="499">
        <f t="shared" ref="BI266:BJ266" si="429">AS269</f>
        <v>108</v>
      </c>
      <c r="BJ266" s="499">
        <f t="shared" si="429"/>
        <v>4.5275650000000001</v>
      </c>
      <c r="BK266" s="5">
        <f t="shared" si="400"/>
        <v>0</v>
      </c>
      <c r="BL266" s="499">
        <f t="shared" si="401"/>
        <v>18.371062999999999</v>
      </c>
      <c r="BM266" s="499">
        <f t="shared" si="402"/>
        <v>999.85782500000005</v>
      </c>
      <c r="BO266" s="499">
        <f t="shared" si="403"/>
        <v>108</v>
      </c>
      <c r="BP266" s="499">
        <f t="shared" si="404"/>
        <v>4.5275650000000001</v>
      </c>
      <c r="BQ266" s="5">
        <f t="shared" si="397"/>
        <v>0</v>
      </c>
      <c r="BR266" s="499">
        <f t="shared" si="405"/>
        <v>18.371062999999999</v>
      </c>
      <c r="BS266" s="499">
        <f t="shared" si="406"/>
        <v>999.85782500000005</v>
      </c>
      <c r="BU266" s="499">
        <f t="shared" si="407"/>
        <v>108</v>
      </c>
      <c r="BV266" s="499">
        <f t="shared" si="408"/>
        <v>4.5275650000000001</v>
      </c>
      <c r="BW266" s="5">
        <f t="shared" si="398"/>
        <v>0</v>
      </c>
      <c r="BX266" s="499">
        <f t="shared" si="409"/>
        <v>18.371062999999999</v>
      </c>
      <c r="BY266" s="499">
        <f t="shared" si="410"/>
        <v>999.85782500000005</v>
      </c>
      <c r="CA266">
        <v>108</v>
      </c>
      <c r="CB266">
        <v>4.5275650000000001</v>
      </c>
      <c r="CC266">
        <v>0</v>
      </c>
      <c r="CD266">
        <v>18.371062999999999</v>
      </c>
      <c r="CE266">
        <v>999.85782500000005</v>
      </c>
      <c r="CG266" s="499">
        <f t="shared" si="411"/>
        <v>0</v>
      </c>
      <c r="CH266" s="499">
        <f t="shared" si="412"/>
        <v>0</v>
      </c>
      <c r="CI266" s="499">
        <f t="shared" si="413"/>
        <v>0</v>
      </c>
      <c r="CJ266" s="499">
        <f t="shared" si="414"/>
        <v>0</v>
      </c>
      <c r="CP266" s="499"/>
      <c r="CQ266" s="65">
        <f t="shared" si="416"/>
        <v>0.26529718331702851</v>
      </c>
      <c r="CR266" s="499">
        <f t="shared" si="417"/>
        <v>0.26529718331702851</v>
      </c>
      <c r="CS266" s="499">
        <f t="shared" si="418"/>
        <v>0.26529718331702851</v>
      </c>
      <c r="CT266" s="38">
        <f t="shared" si="419"/>
        <v>1</v>
      </c>
      <c r="CU266" s="498">
        <f t="shared" si="420"/>
        <v>1</v>
      </c>
    </row>
    <row r="267" spans="43:99">
      <c r="AQ267" s="499"/>
      <c r="AR267" s="228">
        <v>24.440521</v>
      </c>
      <c r="AS267" s="13">
        <v>156</v>
      </c>
      <c r="AT267" s="13">
        <v>4.5095910000000003</v>
      </c>
      <c r="AU267" s="13">
        <f t="shared" si="338"/>
        <v>1</v>
      </c>
      <c r="AV267" s="13">
        <f t="shared" si="422"/>
        <v>24.440521</v>
      </c>
      <c r="AW267" s="13">
        <f t="shared" si="423"/>
        <v>24.440521</v>
      </c>
      <c r="AX267" s="13">
        <f t="shared" si="424"/>
        <v>24.440521</v>
      </c>
      <c r="AY267" s="13">
        <v>960.01029700000004</v>
      </c>
      <c r="AZ267" s="13">
        <f t="shared" si="425"/>
        <v>0</v>
      </c>
      <c r="BA267" s="13">
        <f t="shared" si="426"/>
        <v>0</v>
      </c>
      <c r="BB267" s="97">
        <f t="shared" si="427"/>
        <v>0</v>
      </c>
      <c r="BC267" s="499"/>
      <c r="BD267" s="499">
        <v>60.55</v>
      </c>
      <c r="BE267" s="499">
        <v>24.537765725806455</v>
      </c>
      <c r="BF267" s="499">
        <v>19.703652620967734</v>
      </c>
      <c r="BG267" s="499">
        <v>24.325248000590655</v>
      </c>
      <c r="BI267" s="499">
        <f t="shared" ref="BI267:BJ267" si="430">AS270</f>
        <v>391</v>
      </c>
      <c r="BJ267" s="499">
        <f t="shared" si="430"/>
        <v>4.5501849999999999</v>
      </c>
      <c r="BK267" s="5">
        <f t="shared" si="400"/>
        <v>1</v>
      </c>
      <c r="BL267" s="499">
        <f t="shared" si="401"/>
        <v>25.492165</v>
      </c>
      <c r="BM267" s="499">
        <f t="shared" si="402"/>
        <v>1000.60865</v>
      </c>
      <c r="BO267" s="499">
        <f t="shared" si="403"/>
        <v>391</v>
      </c>
      <c r="BP267" s="499">
        <f t="shared" si="404"/>
        <v>4.5501849999999999</v>
      </c>
      <c r="BQ267" s="5">
        <f t="shared" si="397"/>
        <v>1</v>
      </c>
      <c r="BR267" s="499">
        <f t="shared" si="405"/>
        <v>25.492165</v>
      </c>
      <c r="BS267" s="499">
        <f t="shared" si="406"/>
        <v>1000.60865</v>
      </c>
      <c r="BU267" s="499">
        <f t="shared" si="407"/>
        <v>391</v>
      </c>
      <c r="BV267" s="499">
        <f t="shared" si="408"/>
        <v>4.5501849999999999</v>
      </c>
      <c r="BW267" s="5">
        <f t="shared" si="398"/>
        <v>1</v>
      </c>
      <c r="BX267" s="499">
        <f t="shared" si="409"/>
        <v>25.492165</v>
      </c>
      <c r="BY267" s="499">
        <f t="shared" si="410"/>
        <v>1000.60865</v>
      </c>
      <c r="CA267">
        <v>391</v>
      </c>
      <c r="CB267">
        <v>4.5501849999999999</v>
      </c>
      <c r="CC267">
        <v>1</v>
      </c>
      <c r="CD267">
        <v>25.492165</v>
      </c>
      <c r="CE267">
        <v>1000.60865</v>
      </c>
      <c r="CG267" s="499">
        <f t="shared" si="411"/>
        <v>1</v>
      </c>
      <c r="CH267" s="499">
        <f t="shared" si="412"/>
        <v>1</v>
      </c>
      <c r="CI267" s="499">
        <f t="shared" si="413"/>
        <v>1</v>
      </c>
      <c r="CJ267" s="499">
        <f t="shared" si="414"/>
        <v>1</v>
      </c>
      <c r="CP267" s="499"/>
      <c r="CQ267" s="65">
        <f t="shared" si="416"/>
        <v>0.97885325858566286</v>
      </c>
      <c r="CR267" s="499">
        <f t="shared" si="417"/>
        <v>0.97885325858566286</v>
      </c>
      <c r="CS267" s="499">
        <f t="shared" si="418"/>
        <v>0.97885325858566286</v>
      </c>
      <c r="CT267" s="38">
        <f t="shared" si="419"/>
        <v>1</v>
      </c>
      <c r="CU267" s="498">
        <f t="shared" si="420"/>
        <v>1</v>
      </c>
    </row>
    <row r="268" spans="43:99">
      <c r="AQ268" s="499"/>
      <c r="AR268" s="228">
        <v>24.851195000000001</v>
      </c>
      <c r="AS268" s="13">
        <v>349</v>
      </c>
      <c r="AT268" s="13">
        <v>4.5126470000000003</v>
      </c>
      <c r="AU268" s="13">
        <f t="shared" ref="AU268:AU331" si="431">IF(AW268&gt;=24.4,1,0)</f>
        <v>1</v>
      </c>
      <c r="AV268" s="13">
        <f t="shared" si="422"/>
        <v>24.851195000000001</v>
      </c>
      <c r="AW268" s="13">
        <f t="shared" si="423"/>
        <v>24.851195000000001</v>
      </c>
      <c r="AX268" s="13">
        <f t="shared" si="424"/>
        <v>24.851195000000001</v>
      </c>
      <c r="AY268" s="13">
        <v>1001.370136</v>
      </c>
      <c r="AZ268" s="13">
        <f t="shared" si="425"/>
        <v>0</v>
      </c>
      <c r="BA268" s="13">
        <f t="shared" si="426"/>
        <v>0</v>
      </c>
      <c r="BB268" s="97">
        <f t="shared" si="427"/>
        <v>0</v>
      </c>
      <c r="BC268" s="499"/>
      <c r="BD268" s="499">
        <v>60.35</v>
      </c>
      <c r="BE268" s="499">
        <v>24.661567137096771</v>
      </c>
      <c r="BF268" s="499">
        <v>19.671862903225797</v>
      </c>
      <c r="BG268" s="499">
        <v>24.45043633755494</v>
      </c>
      <c r="BI268" s="499">
        <f t="shared" ref="BI268:BJ268" si="432">AS271</f>
        <v>363</v>
      </c>
      <c r="BJ268" s="499">
        <f t="shared" si="432"/>
        <v>4.5506000000000002</v>
      </c>
      <c r="BK268" s="5">
        <f t="shared" si="400"/>
        <v>0</v>
      </c>
      <c r="BL268" s="499">
        <f t="shared" si="401"/>
        <v>22.084277</v>
      </c>
      <c r="BM268" s="499">
        <f t="shared" si="402"/>
        <v>1000.116982</v>
      </c>
      <c r="BO268" s="499">
        <f t="shared" si="403"/>
        <v>363</v>
      </c>
      <c r="BP268" s="499">
        <f t="shared" si="404"/>
        <v>4.5506000000000002</v>
      </c>
      <c r="BQ268" s="5">
        <f t="shared" si="397"/>
        <v>0</v>
      </c>
      <c r="BR268" s="499">
        <f t="shared" si="405"/>
        <v>22.084277</v>
      </c>
      <c r="BS268" s="499">
        <f t="shared" si="406"/>
        <v>1000.116982</v>
      </c>
      <c r="BU268" s="499">
        <f t="shared" si="407"/>
        <v>363</v>
      </c>
      <c r="BV268" s="499">
        <f t="shared" si="408"/>
        <v>4.5506000000000002</v>
      </c>
      <c r="BW268" s="5">
        <f t="shared" si="398"/>
        <v>0</v>
      </c>
      <c r="BX268" s="499">
        <f t="shared" si="409"/>
        <v>22.084277</v>
      </c>
      <c r="BY268" s="499">
        <f t="shared" si="410"/>
        <v>1000.116982</v>
      </c>
      <c r="CA268">
        <v>363</v>
      </c>
      <c r="CB268">
        <v>4.5506000000000002</v>
      </c>
      <c r="CC268">
        <v>0</v>
      </c>
      <c r="CD268">
        <v>22.084277</v>
      </c>
      <c r="CE268">
        <v>1000.116982</v>
      </c>
      <c r="CG268" s="499">
        <f t="shared" si="411"/>
        <v>0</v>
      </c>
      <c r="CH268" s="499">
        <f t="shared" si="412"/>
        <v>0</v>
      </c>
      <c r="CI268" s="499">
        <f t="shared" si="413"/>
        <v>0</v>
      </c>
      <c r="CJ268" s="499">
        <f t="shared" si="414"/>
        <v>0</v>
      </c>
      <c r="CP268" s="499"/>
      <c r="CQ268" s="65">
        <f t="shared" si="416"/>
        <v>9.2245690102936428E-2</v>
      </c>
      <c r="CR268" s="499">
        <f t="shared" si="417"/>
        <v>9.2245690102936428E-2</v>
      </c>
      <c r="CS268" s="499">
        <f t="shared" si="418"/>
        <v>9.2245690102936428E-2</v>
      </c>
      <c r="CT268" s="38">
        <f t="shared" si="419"/>
        <v>1</v>
      </c>
      <c r="CU268" s="498">
        <f t="shared" si="420"/>
        <v>1</v>
      </c>
    </row>
    <row r="269" spans="43:99">
      <c r="AQ269" s="499"/>
      <c r="AR269" s="228">
        <v>18.371062999999999</v>
      </c>
      <c r="AS269" s="13">
        <v>108</v>
      </c>
      <c r="AT269" s="13">
        <v>4.5275650000000001</v>
      </c>
      <c r="AU269" s="13">
        <f t="shared" si="431"/>
        <v>0</v>
      </c>
      <c r="AV269" s="13">
        <f t="shared" si="422"/>
        <v>18.371062999999999</v>
      </c>
      <c r="AW269" s="13">
        <f t="shared" si="423"/>
        <v>18.371062999999999</v>
      </c>
      <c r="AX269" s="13">
        <f t="shared" si="424"/>
        <v>18.371062999999999</v>
      </c>
      <c r="AY269" s="13">
        <v>999.85782500000005</v>
      </c>
      <c r="AZ269" s="13">
        <f t="shared" si="425"/>
        <v>0</v>
      </c>
      <c r="BA269" s="13">
        <f t="shared" si="426"/>
        <v>0</v>
      </c>
      <c r="BB269" s="97">
        <f t="shared" si="427"/>
        <v>0</v>
      </c>
      <c r="BC269" s="499"/>
      <c r="BD269" s="499">
        <v>60.15</v>
      </c>
      <c r="BE269" s="499">
        <v>24.736210483870959</v>
      </c>
      <c r="BF269" s="499">
        <v>19.65116572580645</v>
      </c>
      <c r="BG269" s="499">
        <v>24.461462904097985</v>
      </c>
      <c r="BI269" s="499">
        <f t="shared" ref="BI269:BJ269" si="433">AS272</f>
        <v>201</v>
      </c>
      <c r="BJ269" s="499">
        <f t="shared" si="433"/>
        <v>4.5842879999999999</v>
      </c>
      <c r="BK269" s="5">
        <f t="shared" si="400"/>
        <v>1</v>
      </c>
      <c r="BL269" s="499">
        <f t="shared" si="401"/>
        <v>25.497064999999999</v>
      </c>
      <c r="BM269" s="499">
        <f t="shared" si="402"/>
        <v>1001.261831</v>
      </c>
      <c r="BO269" s="499">
        <f t="shared" si="403"/>
        <v>201</v>
      </c>
      <c r="BP269" s="499">
        <f t="shared" si="404"/>
        <v>4.5842879999999999</v>
      </c>
      <c r="BQ269" s="5">
        <f t="shared" si="397"/>
        <v>1</v>
      </c>
      <c r="BR269" s="499">
        <f t="shared" si="405"/>
        <v>25.497064999999999</v>
      </c>
      <c r="BS269" s="499">
        <f t="shared" si="406"/>
        <v>1001.261831</v>
      </c>
      <c r="BU269" s="499">
        <f t="shared" si="407"/>
        <v>201</v>
      </c>
      <c r="BV269" s="499">
        <f t="shared" si="408"/>
        <v>4.5842879999999999</v>
      </c>
      <c r="BW269" s="5">
        <f t="shared" si="398"/>
        <v>1</v>
      </c>
      <c r="BX269" s="499">
        <f t="shared" si="409"/>
        <v>25.497064999999999</v>
      </c>
      <c r="BY269" s="499">
        <f t="shared" si="410"/>
        <v>1001.261831</v>
      </c>
      <c r="CA269">
        <v>201</v>
      </c>
      <c r="CB269">
        <v>4.5842879999999999</v>
      </c>
      <c r="CC269">
        <v>1</v>
      </c>
      <c r="CD269">
        <v>25.497064999999999</v>
      </c>
      <c r="CE269">
        <v>1001.261831</v>
      </c>
      <c r="CG269" s="499">
        <f t="shared" si="411"/>
        <v>1</v>
      </c>
      <c r="CH269" s="499">
        <f t="shared" si="412"/>
        <v>1</v>
      </c>
      <c r="CI269" s="499">
        <f t="shared" si="413"/>
        <v>1</v>
      </c>
      <c r="CJ269" s="499">
        <f t="shared" si="414"/>
        <v>1</v>
      </c>
      <c r="CP269" s="499"/>
      <c r="CQ269" s="65">
        <f t="shared" si="416"/>
        <v>0.96819147786898285</v>
      </c>
      <c r="CR269" s="499">
        <f t="shared" si="417"/>
        <v>0.96819147786898285</v>
      </c>
      <c r="CS269" s="499">
        <f t="shared" si="418"/>
        <v>0.96819147786898285</v>
      </c>
      <c r="CT269" s="38">
        <f t="shared" si="419"/>
        <v>1</v>
      </c>
      <c r="CU269" s="498">
        <f t="shared" si="420"/>
        <v>1</v>
      </c>
    </row>
    <row r="270" spans="43:99">
      <c r="AQ270" s="499"/>
      <c r="AR270" s="228">
        <v>25.492165</v>
      </c>
      <c r="AS270" s="13">
        <v>391</v>
      </c>
      <c r="AT270" s="13">
        <v>4.5501849999999999</v>
      </c>
      <c r="AU270" s="13">
        <f t="shared" si="431"/>
        <v>1</v>
      </c>
      <c r="AV270" s="13">
        <f t="shared" si="422"/>
        <v>25.492165</v>
      </c>
      <c r="AW270" s="13">
        <f t="shared" si="423"/>
        <v>25.492165</v>
      </c>
      <c r="AX270" s="13">
        <f t="shared" si="424"/>
        <v>25.492165</v>
      </c>
      <c r="AY270" s="13">
        <v>1000.60865</v>
      </c>
      <c r="AZ270" s="13">
        <f t="shared" si="425"/>
        <v>0</v>
      </c>
      <c r="BA270" s="13">
        <f t="shared" si="426"/>
        <v>0</v>
      </c>
      <c r="BB270" s="97">
        <f t="shared" si="427"/>
        <v>0</v>
      </c>
      <c r="BC270" s="499"/>
      <c r="BD270" s="499">
        <v>59.95</v>
      </c>
      <c r="BE270" s="499">
        <v>24.559577016129033</v>
      </c>
      <c r="BF270" s="499">
        <v>19.632449596774197</v>
      </c>
      <c r="BG270" s="499">
        <v>24.311221702783882</v>
      </c>
      <c r="BI270" s="499">
        <f t="shared" ref="BI270:BJ270" si="434">AS273</f>
        <v>281</v>
      </c>
      <c r="BJ270" s="499">
        <f t="shared" si="434"/>
        <v>4.5883690000000001</v>
      </c>
      <c r="BK270" s="5">
        <f t="shared" si="400"/>
        <v>1</v>
      </c>
      <c r="BL270" s="499">
        <f t="shared" si="401"/>
        <v>24.647542999999999</v>
      </c>
      <c r="BM270" s="499">
        <f t="shared" si="402"/>
        <v>1001.119227</v>
      </c>
      <c r="BO270" s="499">
        <f t="shared" si="403"/>
        <v>281</v>
      </c>
      <c r="BP270" s="499">
        <f t="shared" si="404"/>
        <v>4.5883690000000001</v>
      </c>
      <c r="BQ270" s="5">
        <f t="shared" si="397"/>
        <v>1</v>
      </c>
      <c r="BR270" s="499">
        <f t="shared" si="405"/>
        <v>24.647542999999999</v>
      </c>
      <c r="BS270" s="499">
        <f t="shared" si="406"/>
        <v>1001.119227</v>
      </c>
      <c r="BU270" s="499">
        <f t="shared" si="407"/>
        <v>281</v>
      </c>
      <c r="BV270" s="499">
        <f t="shared" si="408"/>
        <v>4.5883690000000001</v>
      </c>
      <c r="BW270" s="5">
        <f t="shared" si="398"/>
        <v>1</v>
      </c>
      <c r="BX270" s="499">
        <f t="shared" si="409"/>
        <v>24.647542999999999</v>
      </c>
      <c r="BY270" s="499">
        <f t="shared" si="410"/>
        <v>1001.119227</v>
      </c>
      <c r="CA270">
        <v>281</v>
      </c>
      <c r="CB270">
        <v>4.5883690000000001</v>
      </c>
      <c r="CC270">
        <v>1</v>
      </c>
      <c r="CD270">
        <v>24.647542999999999</v>
      </c>
      <c r="CE270">
        <v>1001.119227</v>
      </c>
      <c r="CG270" s="499">
        <f t="shared" si="411"/>
        <v>1</v>
      </c>
      <c r="CH270" s="499">
        <f t="shared" si="412"/>
        <v>1</v>
      </c>
      <c r="CI270" s="499">
        <f t="shared" si="413"/>
        <v>1</v>
      </c>
      <c r="CJ270" s="499">
        <f t="shared" si="414"/>
        <v>1</v>
      </c>
      <c r="CP270" s="499"/>
      <c r="CQ270" s="65">
        <f t="shared" si="416"/>
        <v>9.1435450034871857E-2</v>
      </c>
      <c r="CR270" s="499">
        <f t="shared" si="417"/>
        <v>9.1435450034871857E-2</v>
      </c>
      <c r="CS270" s="499">
        <f t="shared" si="418"/>
        <v>9.1435450034871857E-2</v>
      </c>
      <c r="CT270" s="38">
        <f t="shared" si="419"/>
        <v>1</v>
      </c>
      <c r="CU270" s="498">
        <f t="shared" si="420"/>
        <v>1</v>
      </c>
    </row>
    <row r="271" spans="43:99">
      <c r="AQ271" s="499"/>
      <c r="AR271" s="228">
        <v>22.084277</v>
      </c>
      <c r="AS271" s="13">
        <v>363</v>
      </c>
      <c r="AT271" s="13">
        <v>4.5506000000000002</v>
      </c>
      <c r="AU271" s="13">
        <f t="shared" si="431"/>
        <v>0</v>
      </c>
      <c r="AV271" s="13">
        <f t="shared" si="422"/>
        <v>22.084277</v>
      </c>
      <c r="AW271" s="13">
        <f t="shared" si="423"/>
        <v>22.084277</v>
      </c>
      <c r="AX271" s="13">
        <f t="shared" si="424"/>
        <v>22.084277</v>
      </c>
      <c r="AY271" s="13">
        <v>1000.116982</v>
      </c>
      <c r="AZ271" s="13">
        <f t="shared" si="425"/>
        <v>0</v>
      </c>
      <c r="BA271" s="13">
        <f t="shared" si="426"/>
        <v>0</v>
      </c>
      <c r="BB271" s="97">
        <f t="shared" si="427"/>
        <v>0</v>
      </c>
      <c r="BC271" s="499"/>
      <c r="BD271" s="499">
        <v>59.75</v>
      </c>
      <c r="BE271" s="499">
        <v>24.365691330645156</v>
      </c>
      <c r="BF271" s="499">
        <v>19.614491129032253</v>
      </c>
      <c r="BG271" s="499">
        <v>24.135094363205127</v>
      </c>
      <c r="BI271" s="499">
        <f t="shared" ref="BI271:BJ271" si="435">AS274</f>
        <v>187</v>
      </c>
      <c r="BJ271" s="499">
        <f t="shared" si="435"/>
        <v>4.5927610000000003</v>
      </c>
      <c r="BK271" s="5">
        <f t="shared" si="400"/>
        <v>1</v>
      </c>
      <c r="BL271" s="499">
        <f t="shared" si="401"/>
        <v>25.276263</v>
      </c>
      <c r="BM271" s="499">
        <f t="shared" si="402"/>
        <v>1250.26179</v>
      </c>
      <c r="BO271" s="499">
        <f t="shared" si="403"/>
        <v>187</v>
      </c>
      <c r="BP271" s="499">
        <f t="shared" si="404"/>
        <v>4.5927610000000003</v>
      </c>
      <c r="BQ271" s="5">
        <f t="shared" si="397"/>
        <v>1</v>
      </c>
      <c r="BR271" s="499">
        <f t="shared" si="405"/>
        <v>25.276263</v>
      </c>
      <c r="BS271" s="499">
        <f t="shared" si="406"/>
        <v>1250.26179</v>
      </c>
      <c r="BU271" s="499">
        <f t="shared" si="407"/>
        <v>187</v>
      </c>
      <c r="BV271" s="499">
        <f t="shared" si="408"/>
        <v>4.5927610000000003</v>
      </c>
      <c r="BW271" s="5">
        <f t="shared" si="398"/>
        <v>1</v>
      </c>
      <c r="BX271" s="499">
        <f t="shared" si="409"/>
        <v>25.276263</v>
      </c>
      <c r="BY271" s="499">
        <f t="shared" si="410"/>
        <v>1250.26179</v>
      </c>
      <c r="CA271">
        <v>187</v>
      </c>
      <c r="CB271">
        <v>4.5927610000000003</v>
      </c>
      <c r="CC271">
        <v>1</v>
      </c>
      <c r="CD271">
        <v>25.276263</v>
      </c>
      <c r="CE271">
        <v>1250.26179</v>
      </c>
      <c r="CG271" s="499">
        <f t="shared" si="411"/>
        <v>1</v>
      </c>
      <c r="CH271" s="499">
        <f t="shared" si="412"/>
        <v>1</v>
      </c>
      <c r="CI271" s="499">
        <f t="shared" si="413"/>
        <v>1</v>
      </c>
      <c r="CJ271" s="499">
        <f t="shared" si="414"/>
        <v>1</v>
      </c>
      <c r="CP271" s="499"/>
      <c r="CQ271" s="65">
        <f t="shared" si="416"/>
        <v>0.35026741790941318</v>
      </c>
      <c r="CR271" s="499">
        <f t="shared" si="417"/>
        <v>0.35026741790941318</v>
      </c>
      <c r="CS271" s="499">
        <f t="shared" si="418"/>
        <v>0.35026741790941318</v>
      </c>
      <c r="CT271" s="38">
        <f t="shared" si="419"/>
        <v>1</v>
      </c>
      <c r="CU271" s="498">
        <f t="shared" si="420"/>
        <v>1</v>
      </c>
    </row>
    <row r="272" spans="43:99">
      <c r="AQ272" s="499"/>
      <c r="AR272" s="228">
        <v>25.497064999999999</v>
      </c>
      <c r="AS272" s="13">
        <v>201</v>
      </c>
      <c r="AT272" s="13">
        <v>4.5842879999999999</v>
      </c>
      <c r="AU272" s="13">
        <f t="shared" si="431"/>
        <v>1</v>
      </c>
      <c r="AV272" s="13">
        <f t="shared" si="422"/>
        <v>25.497064999999999</v>
      </c>
      <c r="AW272" s="13">
        <f t="shared" si="423"/>
        <v>25.497064999999999</v>
      </c>
      <c r="AX272" s="13">
        <f t="shared" si="424"/>
        <v>25.497064999999999</v>
      </c>
      <c r="AY272" s="13">
        <v>1001.261831</v>
      </c>
      <c r="AZ272" s="13">
        <f t="shared" si="425"/>
        <v>0</v>
      </c>
      <c r="BA272" s="13">
        <f t="shared" si="426"/>
        <v>0</v>
      </c>
      <c r="BB272" s="97">
        <f t="shared" si="427"/>
        <v>0</v>
      </c>
      <c r="BC272" s="499"/>
      <c r="BD272" s="499">
        <v>59.55</v>
      </c>
      <c r="BE272" s="499">
        <v>24.205557661290332</v>
      </c>
      <c r="BF272" s="499">
        <v>19.597122580645163</v>
      </c>
      <c r="BG272" s="499">
        <v>23.992963383960625</v>
      </c>
      <c r="BI272" s="499">
        <f t="shared" ref="BI272:BJ272" si="436">AS275</f>
        <v>344</v>
      </c>
      <c r="BJ272" s="499">
        <f t="shared" si="436"/>
        <v>4.5979559999999999</v>
      </c>
      <c r="BK272" s="5">
        <f t="shared" si="400"/>
        <v>0</v>
      </c>
      <c r="BL272" s="499">
        <f t="shared" si="401"/>
        <v>18.30471</v>
      </c>
      <c r="BM272" s="499">
        <f t="shared" si="402"/>
        <v>1000.8136040000001</v>
      </c>
      <c r="BO272" s="499">
        <f t="shared" si="403"/>
        <v>344</v>
      </c>
      <c r="BP272" s="499">
        <f t="shared" si="404"/>
        <v>4.5979559999999999</v>
      </c>
      <c r="BQ272" s="5">
        <f t="shared" si="397"/>
        <v>0</v>
      </c>
      <c r="BR272" s="499">
        <f t="shared" si="405"/>
        <v>18.30471</v>
      </c>
      <c r="BS272" s="499">
        <f t="shared" si="406"/>
        <v>1000.8136040000001</v>
      </c>
      <c r="BU272" s="499">
        <f t="shared" si="407"/>
        <v>344</v>
      </c>
      <c r="BV272" s="499">
        <f t="shared" si="408"/>
        <v>4.5979559999999999</v>
      </c>
      <c r="BW272" s="5">
        <f t="shared" si="398"/>
        <v>0</v>
      </c>
      <c r="BX272" s="499">
        <f t="shared" si="409"/>
        <v>18.30471</v>
      </c>
      <c r="BY272" s="499">
        <f t="shared" si="410"/>
        <v>1000.8136040000001</v>
      </c>
      <c r="CA272">
        <v>344</v>
      </c>
      <c r="CB272">
        <v>4.5979559999999999</v>
      </c>
      <c r="CC272">
        <v>0</v>
      </c>
      <c r="CD272">
        <v>18.30471</v>
      </c>
      <c r="CE272">
        <v>1000.8136040000001</v>
      </c>
      <c r="CG272" s="499">
        <f t="shared" si="411"/>
        <v>0</v>
      </c>
      <c r="CH272" s="499">
        <f t="shared" si="412"/>
        <v>0</v>
      </c>
      <c r="CI272" s="499">
        <f t="shared" si="413"/>
        <v>0</v>
      </c>
      <c r="CJ272" s="499">
        <f t="shared" si="414"/>
        <v>0</v>
      </c>
      <c r="CP272" s="499"/>
      <c r="CQ272" s="65">
        <f t="shared" si="416"/>
        <v>0.13485227578061162</v>
      </c>
      <c r="CR272" s="499">
        <f t="shared" si="417"/>
        <v>0.13485227578061162</v>
      </c>
      <c r="CS272" s="499">
        <f t="shared" si="418"/>
        <v>0.13485227578061162</v>
      </c>
      <c r="CT272" s="38">
        <f t="shared" si="419"/>
        <v>1</v>
      </c>
      <c r="CU272" s="498">
        <f t="shared" si="420"/>
        <v>1</v>
      </c>
    </row>
    <row r="273" spans="43:99">
      <c r="AQ273" s="499"/>
      <c r="AR273" s="228">
        <v>24.647542999999999</v>
      </c>
      <c r="AS273" s="13">
        <v>281</v>
      </c>
      <c r="AT273" s="13">
        <v>4.5883690000000001</v>
      </c>
      <c r="AU273" s="13">
        <f t="shared" si="431"/>
        <v>1</v>
      </c>
      <c r="AV273" s="13">
        <f t="shared" si="422"/>
        <v>24.647542999999999</v>
      </c>
      <c r="AW273" s="13">
        <f t="shared" si="423"/>
        <v>24.647542999999999</v>
      </c>
      <c r="AX273" s="13">
        <f t="shared" si="424"/>
        <v>24.647542999999999</v>
      </c>
      <c r="AY273" s="13">
        <v>1001.119227</v>
      </c>
      <c r="AZ273" s="13">
        <f t="shared" si="425"/>
        <v>0</v>
      </c>
      <c r="BA273" s="13">
        <f t="shared" si="426"/>
        <v>0</v>
      </c>
      <c r="BB273" s="97">
        <f t="shared" si="427"/>
        <v>0</v>
      </c>
      <c r="BC273" s="499"/>
      <c r="BD273" s="499">
        <v>59.35</v>
      </c>
      <c r="BE273" s="499">
        <v>24.257644758064519</v>
      </c>
      <c r="BF273" s="499">
        <v>19.581522983870965</v>
      </c>
      <c r="BG273" s="499">
        <v>24.052982865352575</v>
      </c>
      <c r="BI273" s="499">
        <f t="shared" ref="BI273:BJ273" si="437">AS276</f>
        <v>273</v>
      </c>
      <c r="BJ273" s="499">
        <f t="shared" si="437"/>
        <v>4.5999999999999996</v>
      </c>
      <c r="BK273" s="5">
        <f t="shared" si="400"/>
        <v>1</v>
      </c>
      <c r="BL273" s="499">
        <f t="shared" si="401"/>
        <v>28.529593999999999</v>
      </c>
      <c r="BM273" s="499">
        <f t="shared" si="402"/>
        <v>641.94822199999999</v>
      </c>
      <c r="BO273" s="499">
        <f t="shared" si="403"/>
        <v>273</v>
      </c>
      <c r="BP273" s="499">
        <f t="shared" si="404"/>
        <v>4.5999999999999996</v>
      </c>
      <c r="BQ273" s="5">
        <f t="shared" si="397"/>
        <v>1</v>
      </c>
      <c r="BR273" s="499">
        <f t="shared" si="405"/>
        <v>28.529593999999999</v>
      </c>
      <c r="BS273" s="499">
        <f t="shared" si="406"/>
        <v>641.94822199999999</v>
      </c>
      <c r="BU273" s="499">
        <f t="shared" si="407"/>
        <v>273</v>
      </c>
      <c r="BV273" s="499">
        <f t="shared" si="408"/>
        <v>4.5999999999999996</v>
      </c>
      <c r="BW273" s="5">
        <f t="shared" si="398"/>
        <v>1</v>
      </c>
      <c r="BX273" s="499">
        <f t="shared" si="409"/>
        <v>28.529593999999999</v>
      </c>
      <c r="BY273" s="499">
        <f t="shared" si="410"/>
        <v>641.94822199999999</v>
      </c>
      <c r="CA273">
        <v>273</v>
      </c>
      <c r="CB273">
        <v>4.5999999999999996</v>
      </c>
      <c r="CC273">
        <v>1</v>
      </c>
      <c r="CD273">
        <v>28.529593999999999</v>
      </c>
      <c r="CE273">
        <v>641.94822199999999</v>
      </c>
      <c r="CG273" s="499">
        <f t="shared" si="411"/>
        <v>1</v>
      </c>
      <c r="CH273" s="499">
        <f t="shared" si="412"/>
        <v>1</v>
      </c>
      <c r="CI273" s="499">
        <f t="shared" si="413"/>
        <v>1</v>
      </c>
      <c r="CJ273" s="499">
        <f t="shared" si="414"/>
        <v>1</v>
      </c>
      <c r="CP273" s="499"/>
      <c r="CQ273" s="65">
        <f t="shared" si="416"/>
        <v>0.97885409124757994</v>
      </c>
      <c r="CR273" s="499">
        <f t="shared" si="417"/>
        <v>0.97885409124757994</v>
      </c>
      <c r="CS273" s="499">
        <f t="shared" si="418"/>
        <v>0.97885409124757994</v>
      </c>
      <c r="CT273" s="38">
        <f t="shared" si="419"/>
        <v>1</v>
      </c>
      <c r="CU273" s="498">
        <f t="shared" si="420"/>
        <v>1</v>
      </c>
    </row>
    <row r="274" spans="43:99">
      <c r="AQ274" s="499"/>
      <c r="AR274" s="228">
        <v>25.276263</v>
      </c>
      <c r="AS274" s="13">
        <v>187</v>
      </c>
      <c r="AT274" s="13">
        <v>4.5927610000000003</v>
      </c>
      <c r="AU274" s="13">
        <f t="shared" si="431"/>
        <v>1</v>
      </c>
      <c r="AV274" s="13">
        <f t="shared" si="422"/>
        <v>25.276263</v>
      </c>
      <c r="AW274" s="13">
        <f t="shared" si="423"/>
        <v>25.276263</v>
      </c>
      <c r="AX274" s="13">
        <f t="shared" si="424"/>
        <v>25.276263</v>
      </c>
      <c r="AY274" s="13">
        <v>1250.26179</v>
      </c>
      <c r="AZ274" s="13">
        <f t="shared" si="425"/>
        <v>0</v>
      </c>
      <c r="BA274" s="13">
        <f t="shared" si="426"/>
        <v>0</v>
      </c>
      <c r="BB274" s="97">
        <f t="shared" si="427"/>
        <v>0</v>
      </c>
      <c r="BC274" s="499"/>
      <c r="BD274" s="499">
        <v>59.15</v>
      </c>
      <c r="BE274" s="499">
        <v>24.254439919354837</v>
      </c>
      <c r="BF274" s="499">
        <v>19.563892741935479</v>
      </c>
      <c r="BG274" s="499">
        <v>24.102634147467946</v>
      </c>
      <c r="BI274" s="499">
        <f t="shared" ref="BI274:BJ274" si="438">AS277</f>
        <v>228</v>
      </c>
      <c r="BJ274" s="499">
        <f t="shared" si="438"/>
        <v>4.617356</v>
      </c>
      <c r="BK274" s="5">
        <f t="shared" si="400"/>
        <v>0</v>
      </c>
      <c r="BL274" s="499">
        <f t="shared" si="401"/>
        <v>19.349513999999999</v>
      </c>
      <c r="BM274" s="499">
        <f t="shared" si="402"/>
        <v>1002.0588739999999</v>
      </c>
      <c r="BO274" s="499">
        <f t="shared" si="403"/>
        <v>228</v>
      </c>
      <c r="BP274" s="499">
        <f t="shared" si="404"/>
        <v>4.617356</v>
      </c>
      <c r="BQ274" s="5">
        <f t="shared" si="397"/>
        <v>0</v>
      </c>
      <c r="BR274" s="499">
        <f t="shared" si="405"/>
        <v>19.349513999999999</v>
      </c>
      <c r="BS274" s="499">
        <f t="shared" si="406"/>
        <v>1002.0588739999999</v>
      </c>
      <c r="BU274" s="499">
        <f t="shared" si="407"/>
        <v>228</v>
      </c>
      <c r="BV274" s="499">
        <f t="shared" si="408"/>
        <v>4.617356</v>
      </c>
      <c r="BW274" s="5">
        <f t="shared" si="398"/>
        <v>0</v>
      </c>
      <c r="BX274" s="499">
        <f t="shared" si="409"/>
        <v>19.349513999999999</v>
      </c>
      <c r="BY274" s="499">
        <f t="shared" si="410"/>
        <v>1002.0588739999999</v>
      </c>
      <c r="CA274">
        <v>228</v>
      </c>
      <c r="CB274">
        <v>4.617356</v>
      </c>
      <c r="CC274">
        <v>0</v>
      </c>
      <c r="CD274">
        <v>19.349513999999999</v>
      </c>
      <c r="CE274">
        <v>1002.0588739999999</v>
      </c>
      <c r="CG274" s="499">
        <f t="shared" si="411"/>
        <v>0</v>
      </c>
      <c r="CH274" s="499">
        <f t="shared" si="412"/>
        <v>0</v>
      </c>
      <c r="CI274" s="499">
        <f t="shared" si="413"/>
        <v>0</v>
      </c>
      <c r="CJ274" s="499">
        <f t="shared" si="414"/>
        <v>0</v>
      </c>
      <c r="CP274" s="499"/>
      <c r="CQ274" s="65">
        <f t="shared" si="416"/>
        <v>2.4369406264251902E-4</v>
      </c>
      <c r="CR274" s="499">
        <f t="shared" si="417"/>
        <v>2.4369406264251902E-4</v>
      </c>
      <c r="CS274" s="499">
        <f t="shared" si="418"/>
        <v>2.4369406264251902E-4</v>
      </c>
      <c r="CT274" s="38">
        <f t="shared" si="419"/>
        <v>1</v>
      </c>
      <c r="CU274" s="498">
        <f t="shared" si="420"/>
        <v>1</v>
      </c>
    </row>
    <row r="275" spans="43:99">
      <c r="AQ275" s="499"/>
      <c r="AR275" s="228">
        <v>18.30471</v>
      </c>
      <c r="AS275" s="13">
        <v>344</v>
      </c>
      <c r="AT275" s="13">
        <v>4.5979559999999999</v>
      </c>
      <c r="AU275" s="13">
        <f t="shared" si="431"/>
        <v>0</v>
      </c>
      <c r="AV275" s="13">
        <f t="shared" si="422"/>
        <v>18.30471</v>
      </c>
      <c r="AW275" s="13">
        <f t="shared" si="423"/>
        <v>18.30471</v>
      </c>
      <c r="AX275" s="13">
        <f t="shared" si="424"/>
        <v>18.30471</v>
      </c>
      <c r="AY275" s="13">
        <v>1000.8136040000001</v>
      </c>
      <c r="AZ275" s="13">
        <f t="shared" si="425"/>
        <v>0</v>
      </c>
      <c r="BA275" s="13">
        <f t="shared" si="426"/>
        <v>0</v>
      </c>
      <c r="BB275" s="97">
        <f t="shared" si="427"/>
        <v>0</v>
      </c>
      <c r="BC275" s="499"/>
      <c r="BD275" s="499">
        <v>58.95</v>
      </c>
      <c r="BE275" s="499">
        <v>24.227756451612898</v>
      </c>
      <c r="BF275" s="499">
        <v>19.547423588709666</v>
      </c>
      <c r="BG275" s="499">
        <v>24.082855257724354</v>
      </c>
      <c r="BI275" s="499">
        <f t="shared" ref="BI275:BJ275" si="439">AS278</f>
        <v>113</v>
      </c>
      <c r="BJ275" s="499">
        <f t="shared" si="439"/>
        <v>4.6254179999999998</v>
      </c>
      <c r="BK275" s="5">
        <f t="shared" si="400"/>
        <v>0</v>
      </c>
      <c r="BL275" s="499">
        <f t="shared" si="401"/>
        <v>19.866046000000001</v>
      </c>
      <c r="BM275" s="499">
        <f t="shared" si="402"/>
        <v>744.88009199999999</v>
      </c>
      <c r="BO275" s="499">
        <f t="shared" si="403"/>
        <v>113</v>
      </c>
      <c r="BP275" s="499">
        <f t="shared" si="404"/>
        <v>4.6254179999999998</v>
      </c>
      <c r="BQ275" s="5">
        <f t="shared" si="397"/>
        <v>0</v>
      </c>
      <c r="BR275" s="499">
        <f t="shared" si="405"/>
        <v>19.866046000000001</v>
      </c>
      <c r="BS275" s="499">
        <f t="shared" si="406"/>
        <v>744.88009199999999</v>
      </c>
      <c r="BU275" s="499">
        <f t="shared" si="407"/>
        <v>113</v>
      </c>
      <c r="BV275" s="499">
        <f t="shared" si="408"/>
        <v>4.6254179999999998</v>
      </c>
      <c r="BW275" s="5">
        <f t="shared" si="398"/>
        <v>0</v>
      </c>
      <c r="BX275" s="499">
        <f t="shared" si="409"/>
        <v>19.866046000000001</v>
      </c>
      <c r="BY275" s="499">
        <f t="shared" si="410"/>
        <v>744.88009199999999</v>
      </c>
      <c r="CA275">
        <v>113</v>
      </c>
      <c r="CB275">
        <v>4.6254179999999998</v>
      </c>
      <c r="CC275">
        <v>0</v>
      </c>
      <c r="CD275">
        <v>19.866046000000001</v>
      </c>
      <c r="CE275">
        <v>744.88009199999999</v>
      </c>
      <c r="CG275" s="499">
        <f t="shared" si="411"/>
        <v>0</v>
      </c>
      <c r="CH275" s="499">
        <f t="shared" si="412"/>
        <v>0</v>
      </c>
      <c r="CI275" s="499">
        <f t="shared" si="413"/>
        <v>0</v>
      </c>
      <c r="CJ275" s="499">
        <f t="shared" si="414"/>
        <v>0</v>
      </c>
      <c r="CP275" s="499"/>
      <c r="CQ275" s="65">
        <f t="shared" si="416"/>
        <v>0.97881289874513921</v>
      </c>
      <c r="CR275" s="499">
        <f t="shared" si="417"/>
        <v>0.97881289874513921</v>
      </c>
      <c r="CS275" s="499">
        <f t="shared" si="418"/>
        <v>0.97881289874513921</v>
      </c>
      <c r="CT275" s="38">
        <f t="shared" si="419"/>
        <v>1</v>
      </c>
      <c r="CU275" s="498">
        <f t="shared" si="420"/>
        <v>1</v>
      </c>
    </row>
    <row r="276" spans="43:99">
      <c r="AQ276" s="499"/>
      <c r="AR276" s="228">
        <v>28.529593999999999</v>
      </c>
      <c r="AS276" s="13">
        <v>273</v>
      </c>
      <c r="AT276" s="13">
        <v>4.5999999999999996</v>
      </c>
      <c r="AU276" s="13">
        <f t="shared" si="431"/>
        <v>1</v>
      </c>
      <c r="AV276" s="13">
        <f t="shared" si="422"/>
        <v>28.529593999999999</v>
      </c>
      <c r="AW276" s="13">
        <f t="shared" si="423"/>
        <v>28.529593999999999</v>
      </c>
      <c r="AX276" s="13">
        <f t="shared" si="424"/>
        <v>28.529593999999999</v>
      </c>
      <c r="AY276" s="13">
        <v>641.94822199999999</v>
      </c>
      <c r="AZ276" s="13">
        <f t="shared" si="425"/>
        <v>0</v>
      </c>
      <c r="BA276" s="13">
        <f t="shared" si="426"/>
        <v>0</v>
      </c>
      <c r="BB276" s="97">
        <f t="shared" si="427"/>
        <v>0</v>
      </c>
      <c r="BC276" s="499"/>
      <c r="BD276" s="499">
        <v>58.75</v>
      </c>
      <c r="BE276" s="499">
        <v>24.41698931451614</v>
      </c>
      <c r="BF276" s="499">
        <v>19.53616310483871</v>
      </c>
      <c r="BG276" s="499">
        <v>24.211909817509156</v>
      </c>
      <c r="BI276" s="499">
        <f t="shared" ref="BI276:BJ276" si="440">AS279</f>
        <v>398</v>
      </c>
      <c r="BJ276" s="499">
        <f t="shared" si="440"/>
        <v>4.6624309999999998</v>
      </c>
      <c r="BK276" s="5">
        <f t="shared" si="400"/>
        <v>1</v>
      </c>
      <c r="BL276" s="499">
        <f t="shared" si="401"/>
        <v>25.715315</v>
      </c>
      <c r="BM276" s="499">
        <f t="shared" si="402"/>
        <v>1000.528806</v>
      </c>
      <c r="BO276" s="499">
        <f t="shared" si="403"/>
        <v>398</v>
      </c>
      <c r="BP276" s="499">
        <f t="shared" si="404"/>
        <v>4.6624309999999998</v>
      </c>
      <c r="BQ276" s="5">
        <f t="shared" si="397"/>
        <v>1</v>
      </c>
      <c r="BR276" s="499">
        <f t="shared" si="405"/>
        <v>25.715315</v>
      </c>
      <c r="BS276" s="499">
        <f t="shared" si="406"/>
        <v>1000.528806</v>
      </c>
      <c r="BU276" s="499">
        <f t="shared" si="407"/>
        <v>398</v>
      </c>
      <c r="BV276" s="499">
        <f t="shared" si="408"/>
        <v>4.6624309999999998</v>
      </c>
      <c r="BW276" s="5">
        <f t="shared" si="398"/>
        <v>1</v>
      </c>
      <c r="BX276" s="499">
        <f t="shared" si="409"/>
        <v>25.715315</v>
      </c>
      <c r="BY276" s="499">
        <f t="shared" si="410"/>
        <v>1000.528806</v>
      </c>
      <c r="CA276">
        <v>398</v>
      </c>
      <c r="CB276">
        <v>4.6624309999999998</v>
      </c>
      <c r="CC276">
        <v>1</v>
      </c>
      <c r="CD276">
        <v>25.715315</v>
      </c>
      <c r="CE276">
        <v>1000.528806</v>
      </c>
      <c r="CG276" s="499">
        <f t="shared" si="411"/>
        <v>1</v>
      </c>
      <c r="CH276" s="499">
        <f t="shared" si="412"/>
        <v>1</v>
      </c>
      <c r="CI276" s="499">
        <f t="shared" si="413"/>
        <v>1</v>
      </c>
      <c r="CJ276" s="499">
        <f t="shared" si="414"/>
        <v>1</v>
      </c>
      <c r="CP276" s="499"/>
      <c r="CQ276" s="65">
        <f t="shared" si="416"/>
        <v>0.97872856611307357</v>
      </c>
      <c r="CR276" s="499">
        <f t="shared" si="417"/>
        <v>0.97872856611307357</v>
      </c>
      <c r="CS276" s="499">
        <f t="shared" si="418"/>
        <v>0.97872856611307357</v>
      </c>
      <c r="CT276" s="38">
        <f t="shared" si="419"/>
        <v>1</v>
      </c>
      <c r="CU276" s="498">
        <f t="shared" si="420"/>
        <v>1</v>
      </c>
    </row>
    <row r="277" spans="43:99">
      <c r="AQ277" s="499"/>
      <c r="AR277" s="228">
        <v>19.349513999999999</v>
      </c>
      <c r="AS277" s="13">
        <v>228</v>
      </c>
      <c r="AT277" s="13">
        <v>4.617356</v>
      </c>
      <c r="AU277" s="13">
        <f t="shared" si="431"/>
        <v>0</v>
      </c>
      <c r="AV277" s="13">
        <f t="shared" si="422"/>
        <v>19.349513999999999</v>
      </c>
      <c r="AW277" s="13">
        <f t="shared" si="423"/>
        <v>19.349513999999999</v>
      </c>
      <c r="AX277" s="13">
        <f t="shared" si="424"/>
        <v>19.349513999999999</v>
      </c>
      <c r="AY277" s="13">
        <v>1002.0588739999999</v>
      </c>
      <c r="AZ277" s="13">
        <f t="shared" si="425"/>
        <v>0</v>
      </c>
      <c r="BA277" s="13">
        <f t="shared" si="426"/>
        <v>0</v>
      </c>
      <c r="BB277" s="97">
        <f t="shared" si="427"/>
        <v>0</v>
      </c>
      <c r="BC277" s="499"/>
      <c r="BD277" s="499">
        <v>58.55</v>
      </c>
      <c r="BE277" s="499">
        <v>24.661821370967736</v>
      </c>
      <c r="BF277" s="499">
        <v>19.538382258064516</v>
      </c>
      <c r="BG277" s="499">
        <v>24.435372205471623</v>
      </c>
      <c r="BI277" s="499">
        <f t="shared" ref="BI277:BJ277" si="441">AS280</f>
        <v>9</v>
      </c>
      <c r="BJ277" s="499">
        <f t="shared" si="441"/>
        <v>4.6672950000000002</v>
      </c>
      <c r="BK277" s="5">
        <f t="shared" si="400"/>
        <v>0</v>
      </c>
      <c r="BL277" s="499">
        <f t="shared" si="401"/>
        <v>18.848804000000001</v>
      </c>
      <c r="BM277" s="499">
        <f t="shared" si="402"/>
        <v>390.58313199999998</v>
      </c>
      <c r="BO277" s="499">
        <f t="shared" si="403"/>
        <v>9</v>
      </c>
      <c r="BP277" s="499">
        <f t="shared" si="404"/>
        <v>4.6672950000000002</v>
      </c>
      <c r="BQ277" s="5">
        <f t="shared" si="397"/>
        <v>0</v>
      </c>
      <c r="BR277" s="499">
        <f t="shared" si="405"/>
        <v>18.848804000000001</v>
      </c>
      <c r="BS277" s="499">
        <f t="shared" si="406"/>
        <v>390.58313199999998</v>
      </c>
      <c r="BU277" s="499">
        <f t="shared" si="407"/>
        <v>9</v>
      </c>
      <c r="BV277" s="499">
        <f t="shared" si="408"/>
        <v>4.6672950000000002</v>
      </c>
      <c r="BW277" s="5">
        <f t="shared" si="398"/>
        <v>0</v>
      </c>
      <c r="BX277" s="499">
        <f t="shared" si="409"/>
        <v>18.848804000000001</v>
      </c>
      <c r="BY277" s="499">
        <f t="shared" si="410"/>
        <v>390.58313199999998</v>
      </c>
      <c r="CA277">
        <v>9</v>
      </c>
      <c r="CB277">
        <v>4.6672950000000002</v>
      </c>
      <c r="CC277">
        <v>0</v>
      </c>
      <c r="CD277">
        <v>18.848804000000001</v>
      </c>
      <c r="CE277">
        <v>390.58313199999998</v>
      </c>
      <c r="CG277" s="499">
        <f t="shared" si="411"/>
        <v>0</v>
      </c>
      <c r="CH277" s="499">
        <f t="shared" si="412"/>
        <v>0</v>
      </c>
      <c r="CI277" s="499">
        <f t="shared" si="413"/>
        <v>0</v>
      </c>
      <c r="CJ277" s="499">
        <f t="shared" si="414"/>
        <v>0</v>
      </c>
      <c r="CP277" s="499"/>
      <c r="CQ277" s="65">
        <f t="shared" si="416"/>
        <v>6.1277588013557552E-2</v>
      </c>
      <c r="CR277" s="499">
        <f t="shared" si="417"/>
        <v>6.1277588013557552E-2</v>
      </c>
      <c r="CS277" s="499">
        <f t="shared" si="418"/>
        <v>6.1277588013557552E-2</v>
      </c>
      <c r="CT277" s="38">
        <f t="shared" si="419"/>
        <v>1</v>
      </c>
      <c r="CU277" s="498">
        <f t="shared" si="420"/>
        <v>1</v>
      </c>
    </row>
    <row r="278" spans="43:99">
      <c r="AQ278" s="499"/>
      <c r="AR278" s="228">
        <v>19.866046000000001</v>
      </c>
      <c r="AS278" s="13">
        <v>113</v>
      </c>
      <c r="AT278" s="13">
        <v>4.6254179999999998</v>
      </c>
      <c r="AU278" s="13">
        <f t="shared" si="431"/>
        <v>0</v>
      </c>
      <c r="AV278" s="13">
        <f t="shared" si="422"/>
        <v>19.866046000000001</v>
      </c>
      <c r="AW278" s="13">
        <f t="shared" si="423"/>
        <v>19.866046000000001</v>
      </c>
      <c r="AX278" s="13">
        <f t="shared" si="424"/>
        <v>19.866046000000001</v>
      </c>
      <c r="AY278" s="13">
        <v>744.88009199999999</v>
      </c>
      <c r="AZ278" s="13">
        <f t="shared" si="425"/>
        <v>0</v>
      </c>
      <c r="BA278" s="13">
        <f t="shared" si="426"/>
        <v>0</v>
      </c>
      <c r="BB278" s="97">
        <f t="shared" si="427"/>
        <v>0</v>
      </c>
      <c r="BC278" s="499"/>
      <c r="BD278" s="499">
        <v>58.35</v>
      </c>
      <c r="BE278" s="499">
        <v>24.863662701612906</v>
      </c>
      <c r="BF278" s="499">
        <v>19.544482258064509</v>
      </c>
      <c r="BG278" s="499">
        <v>24.637875997641942</v>
      </c>
      <c r="BI278" s="499">
        <f t="shared" ref="BI278:BJ278" si="442">AS281</f>
        <v>445</v>
      </c>
      <c r="BJ278" s="499">
        <f t="shared" si="442"/>
        <v>4.6763450000000004</v>
      </c>
      <c r="BK278" s="5">
        <f t="shared" si="400"/>
        <v>1</v>
      </c>
      <c r="BL278" s="499">
        <f t="shared" si="401"/>
        <v>25.536162000000001</v>
      </c>
      <c r="BM278" s="499">
        <f t="shared" si="402"/>
        <v>1346.821948</v>
      </c>
      <c r="BO278" s="499">
        <f t="shared" si="403"/>
        <v>445</v>
      </c>
      <c r="BP278" s="499">
        <f t="shared" si="404"/>
        <v>4.6763450000000004</v>
      </c>
      <c r="BQ278" s="5">
        <f t="shared" si="397"/>
        <v>1</v>
      </c>
      <c r="BR278" s="499">
        <f t="shared" si="405"/>
        <v>25.536162000000001</v>
      </c>
      <c r="BS278" s="499">
        <f t="shared" si="406"/>
        <v>1346.821948</v>
      </c>
      <c r="BU278" s="499">
        <f t="shared" si="407"/>
        <v>445</v>
      </c>
      <c r="BV278" s="499">
        <f t="shared" si="408"/>
        <v>4.6763450000000004</v>
      </c>
      <c r="BW278" s="5">
        <f t="shared" si="398"/>
        <v>1</v>
      </c>
      <c r="BX278" s="499">
        <f t="shared" si="409"/>
        <v>25.536162000000001</v>
      </c>
      <c r="BY278" s="499">
        <f t="shared" si="410"/>
        <v>1346.821948</v>
      </c>
      <c r="CA278">
        <v>445</v>
      </c>
      <c r="CB278">
        <v>4.6763450000000004</v>
      </c>
      <c r="CC278">
        <v>1</v>
      </c>
      <c r="CD278">
        <v>25.536162000000001</v>
      </c>
      <c r="CE278">
        <v>1346.821948</v>
      </c>
      <c r="CG278" s="499">
        <f t="shared" si="411"/>
        <v>1</v>
      </c>
      <c r="CH278" s="499">
        <f t="shared" si="412"/>
        <v>1</v>
      </c>
      <c r="CI278" s="499">
        <f t="shared" si="413"/>
        <v>1</v>
      </c>
      <c r="CJ278" s="499">
        <f t="shared" si="414"/>
        <v>1</v>
      </c>
      <c r="CP278" s="499"/>
      <c r="CQ278" s="65">
        <f t="shared" si="416"/>
        <v>0.97884258249029499</v>
      </c>
      <c r="CR278" s="499">
        <f t="shared" si="417"/>
        <v>0.97884258249029499</v>
      </c>
      <c r="CS278" s="499">
        <f t="shared" si="418"/>
        <v>0.97884258249029499</v>
      </c>
      <c r="CT278" s="38">
        <f t="shared" si="419"/>
        <v>1</v>
      </c>
      <c r="CU278" s="498">
        <f t="shared" si="420"/>
        <v>1</v>
      </c>
    </row>
    <row r="279" spans="43:99">
      <c r="AQ279" s="499"/>
      <c r="AR279" s="228">
        <v>25.715315</v>
      </c>
      <c r="AS279" s="13">
        <v>398</v>
      </c>
      <c r="AT279" s="13">
        <v>4.6624309999999998</v>
      </c>
      <c r="AU279" s="13">
        <f t="shared" si="431"/>
        <v>1</v>
      </c>
      <c r="AV279" s="13">
        <f t="shared" si="422"/>
        <v>25.715315</v>
      </c>
      <c r="AW279" s="13">
        <f t="shared" si="423"/>
        <v>25.715315</v>
      </c>
      <c r="AX279" s="13">
        <f t="shared" si="424"/>
        <v>25.715315</v>
      </c>
      <c r="AY279" s="13">
        <v>1000.528806</v>
      </c>
      <c r="AZ279" s="13">
        <f t="shared" si="425"/>
        <v>0</v>
      </c>
      <c r="BA279" s="13">
        <f t="shared" si="426"/>
        <v>0</v>
      </c>
      <c r="BB279" s="97">
        <f t="shared" si="427"/>
        <v>0</v>
      </c>
      <c r="BC279" s="499"/>
      <c r="BD279" s="499">
        <v>58.15</v>
      </c>
      <c r="BE279" s="499">
        <v>24.986444153225815</v>
      </c>
      <c r="BF279" s="499">
        <v>19.566025806451609</v>
      </c>
      <c r="BG279" s="499">
        <v>24.732769251167582</v>
      </c>
      <c r="BI279" s="499">
        <f t="shared" ref="BI279:BJ279" si="443">AS282</f>
        <v>477</v>
      </c>
      <c r="BJ279" s="499">
        <f t="shared" si="443"/>
        <v>4.6847349999999999</v>
      </c>
      <c r="BK279" s="5">
        <f t="shared" si="400"/>
        <v>0</v>
      </c>
      <c r="BL279" s="499">
        <f t="shared" si="401"/>
        <v>19.349513999999999</v>
      </c>
      <c r="BM279" s="499">
        <f t="shared" si="402"/>
        <v>1001.294231</v>
      </c>
      <c r="BO279" s="499">
        <f t="shared" si="403"/>
        <v>477</v>
      </c>
      <c r="BP279" s="499">
        <f t="shared" si="404"/>
        <v>4.6847349999999999</v>
      </c>
      <c r="BQ279" s="5">
        <f t="shared" si="397"/>
        <v>0</v>
      </c>
      <c r="BR279" s="499">
        <f t="shared" si="405"/>
        <v>19.349513999999999</v>
      </c>
      <c r="BS279" s="499">
        <f t="shared" si="406"/>
        <v>1001.294231</v>
      </c>
      <c r="BU279" s="499">
        <f t="shared" si="407"/>
        <v>477</v>
      </c>
      <c r="BV279" s="499">
        <f t="shared" si="408"/>
        <v>4.6847349999999999</v>
      </c>
      <c r="BW279" s="5">
        <f t="shared" si="398"/>
        <v>0</v>
      </c>
      <c r="BX279" s="499">
        <f t="shared" si="409"/>
        <v>19.349513999999999</v>
      </c>
      <c r="BY279" s="499">
        <f t="shared" si="410"/>
        <v>1001.294231</v>
      </c>
      <c r="CA279">
        <v>477</v>
      </c>
      <c r="CB279">
        <v>4.6847349999999999</v>
      </c>
      <c r="CC279">
        <v>0</v>
      </c>
      <c r="CD279">
        <v>19.349513999999999</v>
      </c>
      <c r="CE279">
        <v>1001.294231</v>
      </c>
      <c r="CG279" s="499">
        <f t="shared" si="411"/>
        <v>0</v>
      </c>
      <c r="CH279" s="499">
        <f t="shared" si="412"/>
        <v>0</v>
      </c>
      <c r="CI279" s="499">
        <f t="shared" si="413"/>
        <v>0</v>
      </c>
      <c r="CJ279" s="499">
        <f t="shared" si="414"/>
        <v>0</v>
      </c>
      <c r="CP279" s="499"/>
      <c r="CQ279" s="65">
        <f t="shared" si="416"/>
        <v>8.519629816892621E-2</v>
      </c>
      <c r="CR279" s="499">
        <f t="shared" si="417"/>
        <v>8.519629816892621E-2</v>
      </c>
      <c r="CS279" s="499">
        <f t="shared" si="418"/>
        <v>8.519629816892621E-2</v>
      </c>
      <c r="CT279" s="38">
        <f t="shared" si="419"/>
        <v>1</v>
      </c>
      <c r="CU279" s="498">
        <f t="shared" si="420"/>
        <v>1</v>
      </c>
    </row>
    <row r="280" spans="43:99">
      <c r="AQ280" s="499"/>
      <c r="AR280" s="228">
        <v>18.848804000000001</v>
      </c>
      <c r="AS280" s="13">
        <v>9</v>
      </c>
      <c r="AT280" s="13">
        <v>4.6672950000000002</v>
      </c>
      <c r="AU280" s="13">
        <f t="shared" si="431"/>
        <v>0</v>
      </c>
      <c r="AV280" s="13">
        <f t="shared" si="422"/>
        <v>18.848804000000001</v>
      </c>
      <c r="AW280" s="13">
        <f t="shared" si="423"/>
        <v>18.848804000000001</v>
      </c>
      <c r="AX280" s="13">
        <f t="shared" si="424"/>
        <v>18.848804000000001</v>
      </c>
      <c r="AY280" s="13">
        <v>390.58313199999998</v>
      </c>
      <c r="AZ280" s="13">
        <f t="shared" si="425"/>
        <v>0</v>
      </c>
      <c r="BA280" s="13">
        <f t="shared" si="426"/>
        <v>0</v>
      </c>
      <c r="BB280" s="97">
        <f t="shared" si="427"/>
        <v>0</v>
      </c>
      <c r="BC280" s="499"/>
      <c r="BD280" s="499">
        <v>57.95</v>
      </c>
      <c r="BE280" s="499">
        <v>25.138430846774195</v>
      </c>
      <c r="BF280" s="499">
        <v>19.606231451612896</v>
      </c>
      <c r="BG280" s="499">
        <v>24.876273805036636</v>
      </c>
      <c r="BI280" s="499">
        <f t="shared" ref="BI280:BJ280" si="444">AS283</f>
        <v>157</v>
      </c>
      <c r="BJ280" s="499">
        <f t="shared" si="444"/>
        <v>4.6933299999999996</v>
      </c>
      <c r="BK280" s="5">
        <f t="shared" si="400"/>
        <v>1</v>
      </c>
      <c r="BL280" s="499">
        <f t="shared" si="401"/>
        <v>29.291740000000001</v>
      </c>
      <c r="BM280" s="499">
        <f t="shared" si="402"/>
        <v>1286.981035</v>
      </c>
      <c r="BO280" s="499">
        <f t="shared" si="403"/>
        <v>157</v>
      </c>
      <c r="BP280" s="499">
        <f t="shared" si="404"/>
        <v>4.6933299999999996</v>
      </c>
      <c r="BQ280" s="5">
        <f t="shared" si="397"/>
        <v>1</v>
      </c>
      <c r="BR280" s="499">
        <f t="shared" si="405"/>
        <v>29.291740000000001</v>
      </c>
      <c r="BS280" s="499">
        <f t="shared" si="406"/>
        <v>1286.981035</v>
      </c>
      <c r="BU280" s="499">
        <f t="shared" si="407"/>
        <v>157</v>
      </c>
      <c r="BV280" s="499">
        <f t="shared" si="408"/>
        <v>4.6933299999999996</v>
      </c>
      <c r="BW280" s="5">
        <f t="shared" si="398"/>
        <v>1</v>
      </c>
      <c r="BX280" s="499">
        <f t="shared" si="409"/>
        <v>29.291740000000001</v>
      </c>
      <c r="BY280" s="499">
        <f t="shared" si="410"/>
        <v>1286.981035</v>
      </c>
      <c r="CA280">
        <v>157</v>
      </c>
      <c r="CB280">
        <v>4.6933299999999996</v>
      </c>
      <c r="CC280">
        <v>1</v>
      </c>
      <c r="CD280">
        <v>29.291740000000001</v>
      </c>
      <c r="CE280">
        <v>1286.981035</v>
      </c>
      <c r="CG280" s="499">
        <f t="shared" si="411"/>
        <v>1</v>
      </c>
      <c r="CH280" s="499">
        <f t="shared" si="412"/>
        <v>1</v>
      </c>
      <c r="CI280" s="499">
        <f t="shared" si="413"/>
        <v>1</v>
      </c>
      <c r="CJ280" s="499">
        <f t="shared" si="414"/>
        <v>1</v>
      </c>
      <c r="CP280" s="499"/>
      <c r="CQ280" s="65">
        <f t="shared" si="416"/>
        <v>0.97881289874513921</v>
      </c>
      <c r="CR280" s="499">
        <f t="shared" si="417"/>
        <v>0.97881289874513921</v>
      </c>
      <c r="CS280" s="499">
        <f t="shared" si="418"/>
        <v>0.97881289874513921</v>
      </c>
      <c r="CT280" s="38">
        <f t="shared" si="419"/>
        <v>1</v>
      </c>
      <c r="CU280" s="498">
        <f t="shared" si="420"/>
        <v>1</v>
      </c>
    </row>
    <row r="281" spans="43:99">
      <c r="AQ281" s="499"/>
      <c r="AR281" s="228">
        <v>25.536162000000001</v>
      </c>
      <c r="AS281" s="13">
        <v>445</v>
      </c>
      <c r="AT281" s="13">
        <v>4.6763450000000004</v>
      </c>
      <c r="AU281" s="13">
        <f t="shared" si="431"/>
        <v>1</v>
      </c>
      <c r="AV281" s="13">
        <f t="shared" si="422"/>
        <v>25.536162000000001</v>
      </c>
      <c r="AW281" s="13">
        <f t="shared" si="423"/>
        <v>25.536162000000001</v>
      </c>
      <c r="AX281" s="13">
        <f t="shared" si="424"/>
        <v>25.536162000000001</v>
      </c>
      <c r="AY281" s="13">
        <v>1346.821948</v>
      </c>
      <c r="AZ281" s="13">
        <f t="shared" si="425"/>
        <v>0</v>
      </c>
      <c r="BA281" s="13">
        <f t="shared" si="426"/>
        <v>0</v>
      </c>
      <c r="BB281" s="97">
        <f t="shared" si="427"/>
        <v>0</v>
      </c>
      <c r="BC281" s="499"/>
      <c r="BD281" s="499">
        <v>57.75</v>
      </c>
      <c r="BE281" s="499">
        <v>24.97711633064516</v>
      </c>
      <c r="BF281" s="499">
        <v>19.597693548387092</v>
      </c>
      <c r="BG281" s="499">
        <v>24.769257254487172</v>
      </c>
      <c r="BI281" s="499">
        <f t="shared" ref="BI281:BJ281" si="445">AS284</f>
        <v>100</v>
      </c>
      <c r="BJ281" s="499">
        <f t="shared" si="445"/>
        <v>4.7045320000000004</v>
      </c>
      <c r="BK281" s="5">
        <f t="shared" si="400"/>
        <v>0</v>
      </c>
      <c r="BL281" s="499">
        <f t="shared" si="401"/>
        <v>18.709973000000002</v>
      </c>
      <c r="BM281" s="499">
        <f t="shared" si="402"/>
        <v>1002.103373</v>
      </c>
      <c r="BO281" s="499">
        <f t="shared" si="403"/>
        <v>100</v>
      </c>
      <c r="BP281" s="499">
        <f t="shared" si="404"/>
        <v>4.7045320000000004</v>
      </c>
      <c r="BQ281" s="5">
        <f t="shared" si="397"/>
        <v>0</v>
      </c>
      <c r="BR281" s="499">
        <f t="shared" si="405"/>
        <v>18.709973000000002</v>
      </c>
      <c r="BS281" s="499">
        <f t="shared" si="406"/>
        <v>1002.103373</v>
      </c>
      <c r="BU281" s="499">
        <f t="shared" si="407"/>
        <v>100</v>
      </c>
      <c r="BV281" s="499">
        <f t="shared" si="408"/>
        <v>4.7045320000000004</v>
      </c>
      <c r="BW281" s="5">
        <f t="shared" si="398"/>
        <v>0</v>
      </c>
      <c r="BX281" s="499">
        <f t="shared" si="409"/>
        <v>18.709973000000002</v>
      </c>
      <c r="BY281" s="499">
        <f t="shared" si="410"/>
        <v>1002.103373</v>
      </c>
      <c r="CA281">
        <v>100</v>
      </c>
      <c r="CB281">
        <v>4.7045320000000004</v>
      </c>
      <c r="CC281">
        <v>0</v>
      </c>
      <c r="CD281">
        <v>18.709973000000002</v>
      </c>
      <c r="CE281">
        <v>1002.103373</v>
      </c>
      <c r="CG281" s="499">
        <f t="shared" si="411"/>
        <v>0</v>
      </c>
      <c r="CH281" s="499">
        <f t="shared" si="412"/>
        <v>0</v>
      </c>
      <c r="CI281" s="499">
        <f t="shared" si="413"/>
        <v>0</v>
      </c>
      <c r="CJ281" s="499">
        <f t="shared" si="414"/>
        <v>0</v>
      </c>
      <c r="CP281" s="499"/>
      <c r="CQ281" s="65">
        <f t="shared" si="416"/>
        <v>5.3613997210724894E-5</v>
      </c>
      <c r="CR281" s="499">
        <f t="shared" si="417"/>
        <v>5.3613997210724894E-5</v>
      </c>
      <c r="CS281" s="499">
        <f t="shared" si="418"/>
        <v>5.3613997210724894E-5</v>
      </c>
      <c r="CT281" s="38">
        <f t="shared" si="419"/>
        <v>1</v>
      </c>
      <c r="CU281" s="498">
        <f t="shared" si="420"/>
        <v>1</v>
      </c>
    </row>
    <row r="282" spans="43:99">
      <c r="AQ282" s="499"/>
      <c r="AR282" s="228">
        <v>19.349513999999999</v>
      </c>
      <c r="AS282" s="13">
        <v>477</v>
      </c>
      <c r="AT282" s="13">
        <v>4.6847349999999999</v>
      </c>
      <c r="AU282" s="13">
        <f t="shared" si="431"/>
        <v>0</v>
      </c>
      <c r="AV282" s="13">
        <f t="shared" si="422"/>
        <v>19.349513999999999</v>
      </c>
      <c r="AW282" s="13">
        <f t="shared" si="423"/>
        <v>19.349513999999999</v>
      </c>
      <c r="AX282" s="13">
        <f t="shared" si="424"/>
        <v>19.349513999999999</v>
      </c>
      <c r="AY282" s="13">
        <v>1001.294231</v>
      </c>
      <c r="AZ282" s="13">
        <f t="shared" si="425"/>
        <v>0</v>
      </c>
      <c r="BA282" s="13">
        <f t="shared" si="426"/>
        <v>0</v>
      </c>
      <c r="BB282" s="97">
        <f t="shared" si="427"/>
        <v>0</v>
      </c>
      <c r="BC282" s="499"/>
      <c r="BD282" s="499">
        <v>57.55</v>
      </c>
      <c r="BE282" s="499">
        <v>24.774605443548385</v>
      </c>
      <c r="BF282" s="499">
        <v>19.587204233870963</v>
      </c>
      <c r="BG282" s="499">
        <v>24.572641437847984</v>
      </c>
      <c r="BI282" s="499">
        <f t="shared" ref="BI282:BJ282" si="446">AS285</f>
        <v>436</v>
      </c>
      <c r="BJ282" s="499">
        <f t="shared" si="446"/>
        <v>4.7250370000000004</v>
      </c>
      <c r="BK282" s="5">
        <f t="shared" si="400"/>
        <v>1</v>
      </c>
      <c r="BL282" s="499">
        <f t="shared" si="401"/>
        <v>29.291740000000001</v>
      </c>
      <c r="BM282" s="499">
        <f t="shared" si="402"/>
        <v>1001.496262</v>
      </c>
      <c r="BO282" s="499">
        <f t="shared" si="403"/>
        <v>436</v>
      </c>
      <c r="BP282" s="499">
        <f t="shared" si="404"/>
        <v>4.7250370000000004</v>
      </c>
      <c r="BQ282" s="5">
        <f t="shared" si="397"/>
        <v>1</v>
      </c>
      <c r="BR282" s="499">
        <f t="shared" si="405"/>
        <v>29.291740000000001</v>
      </c>
      <c r="BS282" s="499">
        <f t="shared" si="406"/>
        <v>1001.496262</v>
      </c>
      <c r="BU282" s="499">
        <f t="shared" si="407"/>
        <v>436</v>
      </c>
      <c r="BV282" s="499">
        <f t="shared" si="408"/>
        <v>4.7250370000000004</v>
      </c>
      <c r="BW282" s="5">
        <f t="shared" si="398"/>
        <v>1</v>
      </c>
      <c r="BX282" s="499">
        <f t="shared" si="409"/>
        <v>29.291740000000001</v>
      </c>
      <c r="BY282" s="499">
        <f t="shared" si="410"/>
        <v>1001.496262</v>
      </c>
      <c r="CA282">
        <v>436</v>
      </c>
      <c r="CB282">
        <v>4.7250370000000004</v>
      </c>
      <c r="CC282">
        <v>1</v>
      </c>
      <c r="CD282">
        <v>29.291740000000001</v>
      </c>
      <c r="CE282">
        <v>1001.496262</v>
      </c>
      <c r="CG282" s="499">
        <f t="shared" si="411"/>
        <v>1</v>
      </c>
      <c r="CH282" s="499">
        <f t="shared" si="412"/>
        <v>1</v>
      </c>
      <c r="CI282" s="499">
        <f t="shared" si="413"/>
        <v>1</v>
      </c>
      <c r="CJ282" s="499">
        <f t="shared" si="414"/>
        <v>1</v>
      </c>
      <c r="CP282" s="499"/>
      <c r="CQ282" s="65">
        <f t="shared" si="416"/>
        <v>0.97884678121600277</v>
      </c>
      <c r="CR282" s="499">
        <f t="shared" si="417"/>
        <v>0.97884678121600277</v>
      </c>
      <c r="CS282" s="499">
        <f t="shared" si="418"/>
        <v>0.97884678121600277</v>
      </c>
      <c r="CT282" s="38">
        <f t="shared" si="419"/>
        <v>1</v>
      </c>
      <c r="CU282" s="498">
        <f t="shared" si="420"/>
        <v>1</v>
      </c>
    </row>
    <row r="283" spans="43:99">
      <c r="AQ283" s="499"/>
      <c r="AR283" s="228">
        <v>29.291740000000001</v>
      </c>
      <c r="AS283" s="13">
        <v>157</v>
      </c>
      <c r="AT283" s="13">
        <v>4.6933299999999996</v>
      </c>
      <c r="AU283" s="13">
        <f t="shared" si="431"/>
        <v>1</v>
      </c>
      <c r="AV283" s="13">
        <f t="shared" si="422"/>
        <v>29.291740000000001</v>
      </c>
      <c r="AW283" s="13">
        <f t="shared" si="423"/>
        <v>29.291740000000001</v>
      </c>
      <c r="AX283" s="13">
        <f t="shared" si="424"/>
        <v>29.291740000000001</v>
      </c>
      <c r="AY283" s="13">
        <v>1286.981035</v>
      </c>
      <c r="AZ283" s="13">
        <f t="shared" si="425"/>
        <v>0</v>
      </c>
      <c r="BA283" s="13">
        <f t="shared" si="426"/>
        <v>0</v>
      </c>
      <c r="BB283" s="97">
        <f t="shared" si="427"/>
        <v>0</v>
      </c>
      <c r="BC283" s="499"/>
      <c r="BD283" s="499">
        <v>57.35</v>
      </c>
      <c r="BE283" s="499">
        <v>24.623596370967743</v>
      </c>
      <c r="BF283" s="499">
        <v>19.578790725806464</v>
      </c>
      <c r="BG283" s="499">
        <v>24.434498448983526</v>
      </c>
      <c r="BI283" s="499">
        <f t="shared" ref="BI283:BJ283" si="447">AS286</f>
        <v>470</v>
      </c>
      <c r="BJ283" s="499">
        <f t="shared" si="447"/>
        <v>4.788106</v>
      </c>
      <c r="BK283" s="5">
        <f t="shared" si="400"/>
        <v>0</v>
      </c>
      <c r="BL283" s="499">
        <f t="shared" si="401"/>
        <v>20.730675999999999</v>
      </c>
      <c r="BM283" s="499">
        <f t="shared" si="402"/>
        <v>1070.856542</v>
      </c>
      <c r="BO283" s="499">
        <f t="shared" si="403"/>
        <v>470</v>
      </c>
      <c r="BP283" s="499">
        <f t="shared" si="404"/>
        <v>4.788106</v>
      </c>
      <c r="BQ283" s="5">
        <f t="shared" si="397"/>
        <v>0</v>
      </c>
      <c r="BR283" s="499">
        <f t="shared" si="405"/>
        <v>20.730675999999999</v>
      </c>
      <c r="BS283" s="499">
        <f t="shared" si="406"/>
        <v>1070.856542</v>
      </c>
      <c r="BU283" s="499">
        <f t="shared" si="407"/>
        <v>470</v>
      </c>
      <c r="BV283" s="499">
        <f t="shared" si="408"/>
        <v>4.788106</v>
      </c>
      <c r="BW283" s="5">
        <f t="shared" si="398"/>
        <v>0</v>
      </c>
      <c r="BX283" s="499">
        <f t="shared" si="409"/>
        <v>20.730675999999999</v>
      </c>
      <c r="BY283" s="499">
        <f t="shared" si="410"/>
        <v>1070.856542</v>
      </c>
      <c r="CA283">
        <v>470</v>
      </c>
      <c r="CB283">
        <v>4.788106</v>
      </c>
      <c r="CC283">
        <v>0</v>
      </c>
      <c r="CD283">
        <v>20.730675999999999</v>
      </c>
      <c r="CE283">
        <v>1070.856542</v>
      </c>
      <c r="CG283" s="499">
        <f t="shared" si="411"/>
        <v>0</v>
      </c>
      <c r="CH283" s="499">
        <f t="shared" si="412"/>
        <v>0</v>
      </c>
      <c r="CI283" s="499">
        <f t="shared" si="413"/>
        <v>0</v>
      </c>
      <c r="CJ283" s="499">
        <f t="shared" si="414"/>
        <v>0</v>
      </c>
      <c r="CP283" s="499"/>
      <c r="CQ283" s="65">
        <f t="shared" si="416"/>
        <v>5.3613997210724894E-5</v>
      </c>
      <c r="CR283" s="499">
        <f t="shared" si="417"/>
        <v>5.3613997210724894E-5</v>
      </c>
      <c r="CS283" s="499">
        <f t="shared" si="418"/>
        <v>5.3613997210724894E-5</v>
      </c>
      <c r="CT283" s="38">
        <f t="shared" si="419"/>
        <v>1</v>
      </c>
      <c r="CU283" s="498">
        <f t="shared" si="420"/>
        <v>1</v>
      </c>
    </row>
    <row r="284" spans="43:99">
      <c r="AQ284" s="499"/>
      <c r="AR284" s="228">
        <v>18.709973000000002</v>
      </c>
      <c r="AS284" s="13">
        <v>100</v>
      </c>
      <c r="AT284" s="13">
        <v>4.7045320000000004</v>
      </c>
      <c r="AU284" s="13">
        <f t="shared" si="431"/>
        <v>0</v>
      </c>
      <c r="AV284" s="13">
        <f t="shared" si="422"/>
        <v>18.709973000000002</v>
      </c>
      <c r="AW284" s="13">
        <f t="shared" si="423"/>
        <v>18.709973000000002</v>
      </c>
      <c r="AX284" s="13">
        <f t="shared" si="424"/>
        <v>18.709973000000002</v>
      </c>
      <c r="AY284" s="13">
        <v>1002.103373</v>
      </c>
      <c r="AZ284" s="13">
        <f t="shared" si="425"/>
        <v>0</v>
      </c>
      <c r="BA284" s="13">
        <f t="shared" si="426"/>
        <v>0</v>
      </c>
      <c r="BB284" s="97">
        <f t="shared" si="427"/>
        <v>0</v>
      </c>
      <c r="BC284" s="499"/>
      <c r="BD284" s="499">
        <v>57.15</v>
      </c>
      <c r="BE284" s="499">
        <v>24.507220564516132</v>
      </c>
      <c r="BF284" s="499">
        <v>19.562358669354836</v>
      </c>
      <c r="BG284" s="499">
        <v>24.329909116556781</v>
      </c>
      <c r="BI284" s="499">
        <f t="shared" ref="BI284:BJ284" si="448">AS287</f>
        <v>460</v>
      </c>
      <c r="BJ284" s="499">
        <f t="shared" si="448"/>
        <v>4.7967839999999997</v>
      </c>
      <c r="BK284" s="5">
        <f t="shared" si="400"/>
        <v>1</v>
      </c>
      <c r="BL284" s="499">
        <f t="shared" si="401"/>
        <v>26.903033000000001</v>
      </c>
      <c r="BM284" s="499">
        <f t="shared" si="402"/>
        <v>1001.2291729999999</v>
      </c>
      <c r="BO284" s="499">
        <f t="shared" si="403"/>
        <v>460</v>
      </c>
      <c r="BP284" s="499">
        <f t="shared" si="404"/>
        <v>4.7967839999999997</v>
      </c>
      <c r="BQ284" s="5">
        <f t="shared" si="397"/>
        <v>1</v>
      </c>
      <c r="BR284" s="499">
        <f t="shared" si="405"/>
        <v>26.903033000000001</v>
      </c>
      <c r="BS284" s="499">
        <f t="shared" si="406"/>
        <v>1001.2291729999999</v>
      </c>
      <c r="BU284" s="499">
        <f t="shared" si="407"/>
        <v>460</v>
      </c>
      <c r="BV284" s="499">
        <f t="shared" si="408"/>
        <v>4.7967839999999997</v>
      </c>
      <c r="BW284" s="5">
        <f t="shared" si="398"/>
        <v>1</v>
      </c>
      <c r="BX284" s="499">
        <f t="shared" si="409"/>
        <v>26.903033000000001</v>
      </c>
      <c r="BY284" s="499">
        <f t="shared" si="410"/>
        <v>1001.2291729999999</v>
      </c>
      <c r="CA284">
        <v>460</v>
      </c>
      <c r="CB284">
        <v>4.7967839999999997</v>
      </c>
      <c r="CC284">
        <v>1</v>
      </c>
      <c r="CD284">
        <v>26.903033000000001</v>
      </c>
      <c r="CE284">
        <v>1001.2291729999999</v>
      </c>
      <c r="CG284" s="499">
        <f t="shared" si="411"/>
        <v>1</v>
      </c>
      <c r="CH284" s="499">
        <f t="shared" si="412"/>
        <v>1</v>
      </c>
      <c r="CI284" s="499">
        <f t="shared" si="413"/>
        <v>1</v>
      </c>
      <c r="CJ284" s="499">
        <f t="shared" si="414"/>
        <v>1</v>
      </c>
      <c r="CP284" s="499"/>
      <c r="CQ284" s="65">
        <f t="shared" si="416"/>
        <v>0.97812797706137455</v>
      </c>
      <c r="CR284" s="499">
        <f t="shared" si="417"/>
        <v>0.97812797706137455</v>
      </c>
      <c r="CS284" s="499">
        <f t="shared" si="418"/>
        <v>0.97812797706137455</v>
      </c>
      <c r="CT284" s="38">
        <f t="shared" si="419"/>
        <v>1</v>
      </c>
      <c r="CU284" s="498">
        <f t="shared" si="420"/>
        <v>1</v>
      </c>
    </row>
    <row r="285" spans="43:99">
      <c r="AQ285" s="499"/>
      <c r="AR285" s="228">
        <v>29.291740000000001</v>
      </c>
      <c r="AS285" s="13">
        <v>436</v>
      </c>
      <c r="AT285" s="13">
        <v>4.7250370000000004</v>
      </c>
      <c r="AU285" s="13">
        <f t="shared" si="431"/>
        <v>1</v>
      </c>
      <c r="AV285" s="13">
        <f t="shared" si="422"/>
        <v>29.291740000000001</v>
      </c>
      <c r="AW285" s="13">
        <f t="shared" si="423"/>
        <v>29.291740000000001</v>
      </c>
      <c r="AX285" s="13">
        <f t="shared" si="424"/>
        <v>29.291740000000001</v>
      </c>
      <c r="AY285" s="13">
        <v>1001.496262</v>
      </c>
      <c r="AZ285" s="13">
        <f t="shared" si="425"/>
        <v>0</v>
      </c>
      <c r="BA285" s="13">
        <f t="shared" si="426"/>
        <v>0</v>
      </c>
      <c r="BB285" s="97">
        <f t="shared" si="427"/>
        <v>0</v>
      </c>
      <c r="BC285" s="499"/>
      <c r="BD285" s="499">
        <v>56.95</v>
      </c>
      <c r="BE285" s="499">
        <v>24.608328830645153</v>
      </c>
      <c r="BF285" s="499">
        <v>19.539424395161291</v>
      </c>
      <c r="BG285" s="499">
        <v>24.434775567275647</v>
      </c>
      <c r="BI285" s="499">
        <f t="shared" ref="BI285:BJ285" si="449">AS288</f>
        <v>319</v>
      </c>
      <c r="BJ285" s="499">
        <f t="shared" si="449"/>
        <v>4.8075799999999997</v>
      </c>
      <c r="BK285" s="5">
        <f t="shared" si="400"/>
        <v>0</v>
      </c>
      <c r="BL285" s="499">
        <f t="shared" si="401"/>
        <v>17.905570999999998</v>
      </c>
      <c r="BM285" s="499">
        <f t="shared" si="402"/>
        <v>999.34153300000003</v>
      </c>
      <c r="BO285" s="499">
        <f t="shared" si="403"/>
        <v>319</v>
      </c>
      <c r="BP285" s="499">
        <f t="shared" si="404"/>
        <v>4.8075799999999997</v>
      </c>
      <c r="BQ285" s="5">
        <f t="shared" si="397"/>
        <v>0</v>
      </c>
      <c r="BR285" s="499">
        <f t="shared" si="405"/>
        <v>17.905570999999998</v>
      </c>
      <c r="BS285" s="499">
        <f t="shared" si="406"/>
        <v>999.34153300000003</v>
      </c>
      <c r="BU285" s="499">
        <f t="shared" si="407"/>
        <v>319</v>
      </c>
      <c r="BV285" s="499">
        <f t="shared" si="408"/>
        <v>4.8075799999999997</v>
      </c>
      <c r="BW285" s="5">
        <f t="shared" si="398"/>
        <v>0</v>
      </c>
      <c r="BX285" s="499">
        <f t="shared" si="409"/>
        <v>17.905570999999998</v>
      </c>
      <c r="BY285" s="499">
        <f t="shared" si="410"/>
        <v>999.34153300000003</v>
      </c>
      <c r="CA285">
        <v>319</v>
      </c>
      <c r="CB285">
        <v>4.8075799999999997</v>
      </c>
      <c r="CC285">
        <v>0</v>
      </c>
      <c r="CD285">
        <v>17.905570999999998</v>
      </c>
      <c r="CE285">
        <v>999.34153300000003</v>
      </c>
      <c r="CG285" s="499">
        <f t="shared" si="411"/>
        <v>0</v>
      </c>
      <c r="CH285" s="499">
        <f t="shared" si="412"/>
        <v>0</v>
      </c>
      <c r="CI285" s="499">
        <f t="shared" si="413"/>
        <v>0</v>
      </c>
      <c r="CJ285" s="499">
        <f t="shared" si="414"/>
        <v>0</v>
      </c>
      <c r="CP285" s="499"/>
      <c r="CQ285" s="65">
        <f t="shared" si="416"/>
        <v>6.1344036731522424E-3</v>
      </c>
      <c r="CR285" s="499">
        <f t="shared" si="417"/>
        <v>6.1344036731522424E-3</v>
      </c>
      <c r="CS285" s="499">
        <f t="shared" si="418"/>
        <v>6.1344036731522424E-3</v>
      </c>
      <c r="CT285" s="38">
        <f t="shared" si="419"/>
        <v>1</v>
      </c>
      <c r="CU285" s="498">
        <f t="shared" si="420"/>
        <v>1</v>
      </c>
    </row>
    <row r="286" spans="43:99">
      <c r="AQ286" s="499"/>
      <c r="AR286" s="228">
        <v>20.730675999999999</v>
      </c>
      <c r="AS286" s="13">
        <v>470</v>
      </c>
      <c r="AT286" s="13">
        <v>4.788106</v>
      </c>
      <c r="AU286" s="13">
        <f t="shared" si="431"/>
        <v>0</v>
      </c>
      <c r="AV286" s="13">
        <f t="shared" si="422"/>
        <v>20.730675999999999</v>
      </c>
      <c r="AW286" s="13">
        <f t="shared" si="423"/>
        <v>20.730675999999999</v>
      </c>
      <c r="AX286" s="13">
        <f t="shared" si="424"/>
        <v>20.730675999999999</v>
      </c>
      <c r="AY286" s="13">
        <v>1070.856542</v>
      </c>
      <c r="AZ286" s="13">
        <f t="shared" si="425"/>
        <v>0</v>
      </c>
      <c r="BA286" s="13">
        <f t="shared" si="426"/>
        <v>0</v>
      </c>
      <c r="BB286" s="97">
        <f t="shared" si="427"/>
        <v>0</v>
      </c>
      <c r="BC286" s="499"/>
      <c r="BD286" s="499">
        <v>56.75</v>
      </c>
      <c r="BE286" s="499">
        <v>24.674787298387095</v>
      </c>
      <c r="BF286" s="499">
        <v>19.508371975806451</v>
      </c>
      <c r="BG286" s="499">
        <v>24.508123775993592</v>
      </c>
      <c r="BI286" s="499">
        <f t="shared" ref="BI286:BJ286" si="450">AS289</f>
        <v>19</v>
      </c>
      <c r="BJ286" s="499">
        <f t="shared" si="450"/>
        <v>4.8189500000000001</v>
      </c>
      <c r="BK286" s="5">
        <f t="shared" si="400"/>
        <v>0</v>
      </c>
      <c r="BL286" s="499">
        <f t="shared" si="401"/>
        <v>20.205466999999999</v>
      </c>
      <c r="BM286" s="499">
        <f t="shared" si="402"/>
        <v>1001.743395</v>
      </c>
      <c r="BO286" s="499">
        <f t="shared" si="403"/>
        <v>19</v>
      </c>
      <c r="BP286" s="499">
        <f t="shared" si="404"/>
        <v>4.8189500000000001</v>
      </c>
      <c r="BQ286" s="5">
        <f t="shared" si="397"/>
        <v>0</v>
      </c>
      <c r="BR286" s="499">
        <f t="shared" si="405"/>
        <v>20.205466999999999</v>
      </c>
      <c r="BS286" s="499">
        <f t="shared" si="406"/>
        <v>1001.743395</v>
      </c>
      <c r="BU286" s="499">
        <f t="shared" si="407"/>
        <v>19</v>
      </c>
      <c r="BV286" s="499">
        <f t="shared" si="408"/>
        <v>4.8189500000000001</v>
      </c>
      <c r="BW286" s="5">
        <f t="shared" si="398"/>
        <v>0</v>
      </c>
      <c r="BX286" s="499">
        <f t="shared" si="409"/>
        <v>20.205466999999999</v>
      </c>
      <c r="BY286" s="499">
        <f t="shared" si="410"/>
        <v>1001.743395</v>
      </c>
      <c r="CA286">
        <v>19</v>
      </c>
      <c r="CB286">
        <v>4.8189500000000001</v>
      </c>
      <c r="CC286">
        <v>0</v>
      </c>
      <c r="CD286">
        <v>20.205466999999999</v>
      </c>
      <c r="CE286">
        <v>1001.743395</v>
      </c>
      <c r="CG286" s="499">
        <f t="shared" si="411"/>
        <v>0</v>
      </c>
      <c r="CH286" s="499">
        <f t="shared" si="412"/>
        <v>0</v>
      </c>
      <c r="CI286" s="499">
        <f t="shared" si="413"/>
        <v>0</v>
      </c>
      <c r="CJ286" s="499">
        <f t="shared" si="414"/>
        <v>0</v>
      </c>
      <c r="CP286" s="499"/>
      <c r="CQ286" s="65">
        <f t="shared" si="416"/>
        <v>0.97885732648494217</v>
      </c>
      <c r="CR286" s="499">
        <f t="shared" si="417"/>
        <v>0.97885732648494217</v>
      </c>
      <c r="CS286" s="499">
        <f t="shared" si="418"/>
        <v>0.97885732648494217</v>
      </c>
      <c r="CT286" s="38">
        <f t="shared" si="419"/>
        <v>1</v>
      </c>
      <c r="CU286" s="498">
        <f t="shared" si="420"/>
        <v>1</v>
      </c>
    </row>
    <row r="287" spans="43:99">
      <c r="AQ287" s="499"/>
      <c r="AR287" s="228">
        <v>26.903033000000001</v>
      </c>
      <c r="AS287" s="13">
        <v>460</v>
      </c>
      <c r="AT287" s="13">
        <v>4.7967839999999997</v>
      </c>
      <c r="AU287" s="13">
        <f t="shared" si="431"/>
        <v>1</v>
      </c>
      <c r="AV287" s="13">
        <f t="shared" si="422"/>
        <v>26.903033000000001</v>
      </c>
      <c r="AW287" s="13">
        <f t="shared" si="423"/>
        <v>26.903033000000001</v>
      </c>
      <c r="AX287" s="13">
        <f t="shared" si="424"/>
        <v>26.903033000000001</v>
      </c>
      <c r="AY287" s="13">
        <v>1001.2291729999999</v>
      </c>
      <c r="AZ287" s="13">
        <f t="shared" si="425"/>
        <v>0</v>
      </c>
      <c r="BA287" s="13">
        <f t="shared" si="426"/>
        <v>0</v>
      </c>
      <c r="BB287" s="97">
        <f t="shared" si="427"/>
        <v>0</v>
      </c>
      <c r="BC287" s="499"/>
      <c r="BD287" s="499">
        <v>56.55</v>
      </c>
      <c r="BE287" s="499">
        <v>24.666404233870963</v>
      </c>
      <c r="BF287" s="499">
        <v>19.5798375</v>
      </c>
      <c r="BG287" s="499">
        <v>24.519234323315018</v>
      </c>
      <c r="BI287" s="499">
        <f t="shared" ref="BI287:BJ287" si="451">AS290</f>
        <v>407</v>
      </c>
      <c r="BJ287" s="499">
        <f t="shared" si="451"/>
        <v>4.8546670000000001</v>
      </c>
      <c r="BK287" s="5">
        <f t="shared" si="400"/>
        <v>1</v>
      </c>
      <c r="BL287" s="499">
        <f t="shared" si="401"/>
        <v>25.776665999999999</v>
      </c>
      <c r="BM287" s="499">
        <f t="shared" si="402"/>
        <v>1001.098245</v>
      </c>
      <c r="BO287" s="499">
        <f t="shared" si="403"/>
        <v>407</v>
      </c>
      <c r="BP287" s="499">
        <f t="shared" si="404"/>
        <v>4.8546670000000001</v>
      </c>
      <c r="BQ287" s="5">
        <f t="shared" si="397"/>
        <v>1</v>
      </c>
      <c r="BR287" s="499">
        <f t="shared" si="405"/>
        <v>25.776665999999999</v>
      </c>
      <c r="BS287" s="499">
        <f t="shared" si="406"/>
        <v>1001.098245</v>
      </c>
      <c r="BU287" s="499">
        <f t="shared" si="407"/>
        <v>407</v>
      </c>
      <c r="BV287" s="499">
        <f t="shared" si="408"/>
        <v>4.8546670000000001</v>
      </c>
      <c r="BW287" s="5">
        <f t="shared" si="398"/>
        <v>1</v>
      </c>
      <c r="BX287" s="499">
        <f t="shared" si="409"/>
        <v>25.776665999999999</v>
      </c>
      <c r="BY287" s="499">
        <f t="shared" si="410"/>
        <v>1001.098245</v>
      </c>
      <c r="CA287">
        <v>407</v>
      </c>
      <c r="CB287">
        <v>4.8546670000000001</v>
      </c>
      <c r="CC287">
        <v>1</v>
      </c>
      <c r="CD287">
        <v>25.776665999999999</v>
      </c>
      <c r="CE287">
        <v>1001.098245</v>
      </c>
      <c r="CG287" s="499">
        <f t="shared" si="411"/>
        <v>1</v>
      </c>
      <c r="CH287" s="499">
        <f t="shared" si="412"/>
        <v>1</v>
      </c>
      <c r="CI287" s="499">
        <f t="shared" si="413"/>
        <v>1</v>
      </c>
      <c r="CJ287" s="499">
        <f t="shared" si="414"/>
        <v>1</v>
      </c>
      <c r="CP287" s="499"/>
      <c r="CQ287" s="65">
        <f t="shared" si="416"/>
        <v>0.97860205001505518</v>
      </c>
      <c r="CR287" s="499">
        <f t="shared" si="417"/>
        <v>0.97860205001505518</v>
      </c>
      <c r="CS287" s="499">
        <f t="shared" si="418"/>
        <v>0.97860205001505518</v>
      </c>
      <c r="CT287" s="38">
        <f t="shared" si="419"/>
        <v>1</v>
      </c>
      <c r="CU287" s="498">
        <f t="shared" si="420"/>
        <v>1</v>
      </c>
    </row>
    <row r="288" spans="43:99">
      <c r="AQ288" s="499"/>
      <c r="AR288" s="228">
        <v>17.905570999999998</v>
      </c>
      <c r="AS288" s="13">
        <v>319</v>
      </c>
      <c r="AT288" s="13">
        <v>4.8075799999999997</v>
      </c>
      <c r="AU288" s="13">
        <f t="shared" si="431"/>
        <v>0</v>
      </c>
      <c r="AV288" s="13">
        <f t="shared" si="422"/>
        <v>17.905570999999998</v>
      </c>
      <c r="AW288" s="13">
        <f t="shared" si="423"/>
        <v>17.905570999999998</v>
      </c>
      <c r="AX288" s="13">
        <f t="shared" si="424"/>
        <v>17.905570999999998</v>
      </c>
      <c r="AY288" s="13">
        <v>999.34153300000003</v>
      </c>
      <c r="AZ288" s="13">
        <f t="shared" si="425"/>
        <v>0</v>
      </c>
      <c r="BA288" s="13">
        <f t="shared" si="426"/>
        <v>0</v>
      </c>
      <c r="BB288" s="97">
        <f t="shared" si="427"/>
        <v>0</v>
      </c>
      <c r="BC288" s="499"/>
      <c r="BD288" s="499">
        <v>56.35</v>
      </c>
      <c r="BE288" s="499">
        <v>24.446449193548382</v>
      </c>
      <c r="BF288" s="499">
        <v>19.634877419354833</v>
      </c>
      <c r="BG288" s="499">
        <v>24.301117416987179</v>
      </c>
      <c r="BI288" s="499">
        <f t="shared" ref="BI288:BJ288" si="452">AS291</f>
        <v>458</v>
      </c>
      <c r="BJ288" s="499">
        <f t="shared" si="452"/>
        <v>4.863321</v>
      </c>
      <c r="BK288" s="5">
        <f t="shared" si="400"/>
        <v>0</v>
      </c>
      <c r="BL288" s="499">
        <f t="shared" si="401"/>
        <v>18.755400000000002</v>
      </c>
      <c r="BM288" s="499">
        <f t="shared" si="402"/>
        <v>1001.510678</v>
      </c>
      <c r="BO288" s="499">
        <f t="shared" si="403"/>
        <v>458</v>
      </c>
      <c r="BP288" s="499">
        <f t="shared" si="404"/>
        <v>4.863321</v>
      </c>
      <c r="BQ288" s="5">
        <f t="shared" si="397"/>
        <v>0</v>
      </c>
      <c r="BR288" s="499">
        <f t="shared" si="405"/>
        <v>18.755400000000002</v>
      </c>
      <c r="BS288" s="499">
        <f t="shared" si="406"/>
        <v>1001.510678</v>
      </c>
      <c r="BU288" s="499">
        <f t="shared" si="407"/>
        <v>458</v>
      </c>
      <c r="BV288" s="499">
        <f t="shared" si="408"/>
        <v>4.863321</v>
      </c>
      <c r="BW288" s="5">
        <f t="shared" si="398"/>
        <v>0</v>
      </c>
      <c r="BX288" s="499">
        <f t="shared" si="409"/>
        <v>18.755400000000002</v>
      </c>
      <c r="BY288" s="499">
        <f t="shared" si="410"/>
        <v>1001.510678</v>
      </c>
      <c r="CA288">
        <v>458</v>
      </c>
      <c r="CB288">
        <v>4.863321</v>
      </c>
      <c r="CC288">
        <v>0</v>
      </c>
      <c r="CD288">
        <v>18.755400000000002</v>
      </c>
      <c r="CE288">
        <v>1001.510678</v>
      </c>
      <c r="CG288" s="499">
        <f t="shared" si="411"/>
        <v>0</v>
      </c>
      <c r="CH288" s="499">
        <f t="shared" si="412"/>
        <v>0</v>
      </c>
      <c r="CI288" s="499">
        <f t="shared" si="413"/>
        <v>0</v>
      </c>
      <c r="CJ288" s="499">
        <f t="shared" si="414"/>
        <v>0</v>
      </c>
      <c r="CP288" s="499"/>
      <c r="CQ288" s="65">
        <f t="shared" si="416"/>
        <v>5.4637844247166154E-2</v>
      </c>
      <c r="CR288" s="499">
        <f t="shared" si="417"/>
        <v>5.4637844247166154E-2</v>
      </c>
      <c r="CS288" s="499">
        <f t="shared" si="418"/>
        <v>5.4637844247166154E-2</v>
      </c>
      <c r="CT288" s="38">
        <f t="shared" si="419"/>
        <v>1</v>
      </c>
      <c r="CU288" s="498">
        <f t="shared" si="420"/>
        <v>1</v>
      </c>
    </row>
    <row r="289" spans="43:99">
      <c r="AQ289" s="499"/>
      <c r="AR289" s="228">
        <v>20.205466999999999</v>
      </c>
      <c r="AS289" s="13">
        <v>19</v>
      </c>
      <c r="AT289" s="13">
        <v>4.8189500000000001</v>
      </c>
      <c r="AU289" s="13">
        <f t="shared" si="431"/>
        <v>0</v>
      </c>
      <c r="AV289" s="13">
        <f t="shared" si="422"/>
        <v>20.205466999999999</v>
      </c>
      <c r="AW289" s="13">
        <f t="shared" si="423"/>
        <v>20.205466999999999</v>
      </c>
      <c r="AX289" s="13">
        <f t="shared" si="424"/>
        <v>20.205466999999999</v>
      </c>
      <c r="AY289" s="13">
        <v>1001.743395</v>
      </c>
      <c r="AZ289" s="13">
        <f t="shared" si="425"/>
        <v>0</v>
      </c>
      <c r="BA289" s="13">
        <f t="shared" si="426"/>
        <v>0</v>
      </c>
      <c r="BB289" s="97">
        <f t="shared" si="427"/>
        <v>0</v>
      </c>
      <c r="BC289" s="499"/>
      <c r="BD289" s="499">
        <v>56.15</v>
      </c>
      <c r="BE289" s="499">
        <v>24.313023991935484</v>
      </c>
      <c r="BF289" s="499">
        <v>19.587783064516127</v>
      </c>
      <c r="BG289" s="499">
        <v>24.146188324551286</v>
      </c>
      <c r="BI289" s="499">
        <f t="shared" ref="BI289:BJ289" si="453">AS292</f>
        <v>162</v>
      </c>
      <c r="BJ289" s="499">
        <f t="shared" si="453"/>
        <v>4.870984</v>
      </c>
      <c r="BK289" s="5">
        <f t="shared" si="400"/>
        <v>0</v>
      </c>
      <c r="BL289" s="499">
        <f t="shared" si="401"/>
        <v>20.205466999999999</v>
      </c>
      <c r="BM289" s="499">
        <f t="shared" si="402"/>
        <v>1002.145849</v>
      </c>
      <c r="BO289" s="499">
        <f t="shared" si="403"/>
        <v>162</v>
      </c>
      <c r="BP289" s="499">
        <f t="shared" si="404"/>
        <v>4.870984</v>
      </c>
      <c r="BQ289" s="5">
        <f t="shared" si="397"/>
        <v>0</v>
      </c>
      <c r="BR289" s="499">
        <f t="shared" si="405"/>
        <v>20.205466999999999</v>
      </c>
      <c r="BS289" s="499">
        <f t="shared" si="406"/>
        <v>1002.145849</v>
      </c>
      <c r="BU289" s="499">
        <f t="shared" si="407"/>
        <v>162</v>
      </c>
      <c r="BV289" s="499">
        <f t="shared" si="408"/>
        <v>4.870984</v>
      </c>
      <c r="BW289" s="5">
        <f t="shared" si="398"/>
        <v>0</v>
      </c>
      <c r="BX289" s="499">
        <f t="shared" si="409"/>
        <v>20.205466999999999</v>
      </c>
      <c r="BY289" s="499">
        <f t="shared" si="410"/>
        <v>1002.145849</v>
      </c>
      <c r="CA289">
        <v>162</v>
      </c>
      <c r="CB289">
        <v>4.870984</v>
      </c>
      <c r="CC289">
        <v>0</v>
      </c>
      <c r="CD289">
        <v>20.205466999999999</v>
      </c>
      <c r="CE289">
        <v>1002.145849</v>
      </c>
      <c r="CG289" s="499">
        <f t="shared" si="411"/>
        <v>0</v>
      </c>
      <c r="CH289" s="499">
        <f t="shared" si="412"/>
        <v>0</v>
      </c>
      <c r="CI289" s="499">
        <f t="shared" si="413"/>
        <v>0</v>
      </c>
      <c r="CJ289" s="499">
        <f t="shared" si="414"/>
        <v>0</v>
      </c>
      <c r="CP289" s="499"/>
      <c r="CQ289" s="65">
        <f t="shared" si="416"/>
        <v>0.97884553262856699</v>
      </c>
      <c r="CR289" s="499">
        <f t="shared" si="417"/>
        <v>0.97884553262856699</v>
      </c>
      <c r="CS289" s="499">
        <f t="shared" si="418"/>
        <v>0.97884553262856699</v>
      </c>
      <c r="CT289" s="38">
        <f t="shared" si="419"/>
        <v>1</v>
      </c>
      <c r="CU289" s="498">
        <f t="shared" si="420"/>
        <v>1</v>
      </c>
    </row>
    <row r="290" spans="43:99">
      <c r="AQ290" s="499"/>
      <c r="AR290" s="228">
        <v>25.776665999999999</v>
      </c>
      <c r="AS290" s="13">
        <v>407</v>
      </c>
      <c r="AT290" s="13">
        <v>4.8546670000000001</v>
      </c>
      <c r="AU290" s="13">
        <f t="shared" si="431"/>
        <v>1</v>
      </c>
      <c r="AV290" s="13">
        <f t="shared" si="422"/>
        <v>25.776665999999999</v>
      </c>
      <c r="AW290" s="13">
        <f t="shared" si="423"/>
        <v>25.776665999999999</v>
      </c>
      <c r="AX290" s="13">
        <f t="shared" si="424"/>
        <v>25.776665999999999</v>
      </c>
      <c r="AY290" s="13">
        <v>1001.098245</v>
      </c>
      <c r="AZ290" s="13">
        <f t="shared" si="425"/>
        <v>0</v>
      </c>
      <c r="BA290" s="13">
        <f t="shared" si="426"/>
        <v>0</v>
      </c>
      <c r="BB290" s="97">
        <f t="shared" si="427"/>
        <v>0</v>
      </c>
      <c r="BC290" s="499"/>
      <c r="BD290" s="499">
        <v>55.95</v>
      </c>
      <c r="BE290" s="499">
        <v>24.453314919354845</v>
      </c>
      <c r="BF290" s="499">
        <v>19.571483266129029</v>
      </c>
      <c r="BG290" s="499">
        <v>24.20145242863553</v>
      </c>
      <c r="BI290" s="499">
        <f t="shared" ref="BI290:BJ290" si="454">AS293</f>
        <v>276</v>
      </c>
      <c r="BJ290" s="499">
        <f t="shared" si="454"/>
        <v>4.9000820000000003</v>
      </c>
      <c r="BK290" s="5">
        <f t="shared" si="400"/>
        <v>0</v>
      </c>
      <c r="BL290" s="499">
        <f t="shared" si="401"/>
        <v>18.512955999999999</v>
      </c>
      <c r="BM290" s="499">
        <f t="shared" si="402"/>
        <v>998.42692899999997</v>
      </c>
      <c r="BO290" s="499">
        <f t="shared" si="403"/>
        <v>276</v>
      </c>
      <c r="BP290" s="499">
        <f t="shared" si="404"/>
        <v>4.9000820000000003</v>
      </c>
      <c r="BQ290" s="5">
        <f t="shared" si="397"/>
        <v>0</v>
      </c>
      <c r="BR290" s="499">
        <f t="shared" si="405"/>
        <v>18.512955999999999</v>
      </c>
      <c r="BS290" s="499">
        <f t="shared" si="406"/>
        <v>998.42692899999997</v>
      </c>
      <c r="BU290" s="499">
        <f t="shared" si="407"/>
        <v>276</v>
      </c>
      <c r="BV290" s="499">
        <f t="shared" si="408"/>
        <v>4.9000820000000003</v>
      </c>
      <c r="BW290" s="5">
        <f t="shared" si="398"/>
        <v>0</v>
      </c>
      <c r="BX290" s="499">
        <f t="shared" si="409"/>
        <v>18.512955999999999</v>
      </c>
      <c r="BY290" s="499">
        <f t="shared" si="410"/>
        <v>998.42692899999997</v>
      </c>
      <c r="CA290">
        <v>276</v>
      </c>
      <c r="CB290">
        <v>4.9000820000000003</v>
      </c>
      <c r="CC290">
        <v>0</v>
      </c>
      <c r="CD290">
        <v>18.512955999999999</v>
      </c>
      <c r="CE290">
        <v>998.42692899999997</v>
      </c>
      <c r="CG290" s="499">
        <f t="shared" si="411"/>
        <v>0</v>
      </c>
      <c r="CH290" s="499">
        <f t="shared" si="412"/>
        <v>0</v>
      </c>
      <c r="CI290" s="499">
        <f t="shared" si="413"/>
        <v>0</v>
      </c>
      <c r="CJ290" s="499">
        <f t="shared" si="414"/>
        <v>0</v>
      </c>
      <c r="CP290" s="499"/>
      <c r="CQ290" s="65">
        <f t="shared" si="416"/>
        <v>0.97860205001505518</v>
      </c>
      <c r="CR290" s="499">
        <f t="shared" si="417"/>
        <v>0.97860205001505518</v>
      </c>
      <c r="CS290" s="499">
        <f t="shared" si="418"/>
        <v>0.97860205001505518</v>
      </c>
      <c r="CT290" s="38">
        <f t="shared" si="419"/>
        <v>1</v>
      </c>
      <c r="CU290" s="498">
        <f t="shared" si="420"/>
        <v>1</v>
      </c>
    </row>
    <row r="291" spans="43:99">
      <c r="AQ291" s="499"/>
      <c r="AR291" s="228">
        <v>18.755400000000002</v>
      </c>
      <c r="AS291" s="13">
        <v>458</v>
      </c>
      <c r="AT291" s="13">
        <v>4.863321</v>
      </c>
      <c r="AU291" s="13">
        <f t="shared" si="431"/>
        <v>0</v>
      </c>
      <c r="AV291" s="13">
        <f t="shared" si="422"/>
        <v>18.755400000000002</v>
      </c>
      <c r="AW291" s="13">
        <f t="shared" si="423"/>
        <v>18.755400000000002</v>
      </c>
      <c r="AX291" s="13">
        <f t="shared" si="424"/>
        <v>18.755400000000002</v>
      </c>
      <c r="AY291" s="13">
        <v>1001.510678</v>
      </c>
      <c r="AZ291" s="13">
        <f t="shared" si="425"/>
        <v>0</v>
      </c>
      <c r="BA291" s="13">
        <f t="shared" si="426"/>
        <v>0</v>
      </c>
      <c r="BB291" s="97">
        <f t="shared" si="427"/>
        <v>0</v>
      </c>
      <c r="BC291" s="499"/>
      <c r="BD291" s="499">
        <v>55.75</v>
      </c>
      <c r="BE291" s="499">
        <v>24.6951814516129</v>
      </c>
      <c r="BF291" s="499">
        <v>19.659379032258059</v>
      </c>
      <c r="BG291" s="499">
        <v>24.378525214496339</v>
      </c>
      <c r="BI291" s="499">
        <f t="shared" ref="BI291:BJ291" si="455">AS294</f>
        <v>225</v>
      </c>
      <c r="BJ291" s="499">
        <f t="shared" si="455"/>
        <v>4.9320740000000001</v>
      </c>
      <c r="BK291" s="5">
        <f t="shared" si="400"/>
        <v>0</v>
      </c>
      <c r="BL291" s="499">
        <f t="shared" si="401"/>
        <v>18.10463</v>
      </c>
      <c r="BM291" s="499">
        <f t="shared" si="402"/>
        <v>1002.0752639999999</v>
      </c>
      <c r="BO291" s="499">
        <f t="shared" si="403"/>
        <v>225</v>
      </c>
      <c r="BP291" s="499">
        <f t="shared" si="404"/>
        <v>4.9320740000000001</v>
      </c>
      <c r="BQ291" s="5">
        <f t="shared" si="397"/>
        <v>0</v>
      </c>
      <c r="BR291" s="499">
        <f t="shared" si="405"/>
        <v>18.10463</v>
      </c>
      <c r="BS291" s="499">
        <f t="shared" si="406"/>
        <v>1002.0752639999999</v>
      </c>
      <c r="BU291" s="499">
        <f t="shared" si="407"/>
        <v>225</v>
      </c>
      <c r="BV291" s="499">
        <f t="shared" si="408"/>
        <v>4.9320740000000001</v>
      </c>
      <c r="BW291" s="5">
        <f t="shared" si="398"/>
        <v>0</v>
      </c>
      <c r="BX291" s="499">
        <f t="shared" si="409"/>
        <v>18.10463</v>
      </c>
      <c r="BY291" s="499">
        <f t="shared" si="410"/>
        <v>1002.0752639999999</v>
      </c>
      <c r="CA291">
        <v>225</v>
      </c>
      <c r="CB291">
        <v>4.9320740000000001</v>
      </c>
      <c r="CC291">
        <v>0</v>
      </c>
      <c r="CD291">
        <v>18.10463</v>
      </c>
      <c r="CE291">
        <v>1002.0752639999999</v>
      </c>
      <c r="CG291" s="499">
        <f t="shared" si="411"/>
        <v>0</v>
      </c>
      <c r="CH291" s="499">
        <f t="shared" si="412"/>
        <v>0</v>
      </c>
      <c r="CI291" s="499">
        <f t="shared" si="413"/>
        <v>0</v>
      </c>
      <c r="CJ291" s="499">
        <f t="shared" si="414"/>
        <v>0</v>
      </c>
      <c r="CP291" s="499"/>
      <c r="CQ291" s="65">
        <f t="shared" si="416"/>
        <v>0.97885106306405179</v>
      </c>
      <c r="CR291" s="499">
        <f t="shared" si="417"/>
        <v>0.97885106306405179</v>
      </c>
      <c r="CS291" s="499">
        <f t="shared" si="418"/>
        <v>0.97885106306405179</v>
      </c>
      <c r="CT291" s="38">
        <f t="shared" si="419"/>
        <v>1</v>
      </c>
      <c r="CU291" s="498">
        <f t="shared" si="420"/>
        <v>1</v>
      </c>
    </row>
    <row r="292" spans="43:99">
      <c r="AQ292" s="499"/>
      <c r="AR292" s="228">
        <v>20.205466999999999</v>
      </c>
      <c r="AS292" s="13">
        <v>162</v>
      </c>
      <c r="AT292" s="13">
        <v>4.870984</v>
      </c>
      <c r="AU292" s="13">
        <f t="shared" si="431"/>
        <v>0</v>
      </c>
      <c r="AV292" s="13">
        <f t="shared" si="422"/>
        <v>20.205466999999999</v>
      </c>
      <c r="AW292" s="13">
        <f t="shared" si="423"/>
        <v>20.205466999999999</v>
      </c>
      <c r="AX292" s="13">
        <f t="shared" si="424"/>
        <v>20.205466999999999</v>
      </c>
      <c r="AY292" s="13">
        <v>1002.145849</v>
      </c>
      <c r="AZ292" s="13">
        <f t="shared" si="425"/>
        <v>0</v>
      </c>
      <c r="BA292" s="13">
        <f t="shared" si="426"/>
        <v>0</v>
      </c>
      <c r="BB292" s="97">
        <f t="shared" si="427"/>
        <v>0</v>
      </c>
      <c r="BC292" s="499"/>
      <c r="BD292" s="499">
        <v>55.55</v>
      </c>
      <c r="BE292" s="499">
        <v>24.858086491935488</v>
      </c>
      <c r="BF292" s="499">
        <v>19.726729233870969</v>
      </c>
      <c r="BG292" s="499">
        <v>24.514934900407503</v>
      </c>
      <c r="BI292" s="499">
        <f t="shared" ref="BI292:BJ292" si="456">AS295</f>
        <v>488</v>
      </c>
      <c r="BJ292" s="499">
        <f t="shared" si="456"/>
        <v>4.943346</v>
      </c>
      <c r="BK292" s="5">
        <f t="shared" si="400"/>
        <v>0</v>
      </c>
      <c r="BL292" s="499">
        <f t="shared" si="401"/>
        <v>20.205466999999999</v>
      </c>
      <c r="BM292" s="499">
        <f t="shared" si="402"/>
        <v>1001.3480070000001</v>
      </c>
      <c r="BO292" s="499">
        <f t="shared" si="403"/>
        <v>488</v>
      </c>
      <c r="BP292" s="499">
        <f t="shared" si="404"/>
        <v>4.943346</v>
      </c>
      <c r="BQ292" s="5">
        <f t="shared" si="397"/>
        <v>0</v>
      </c>
      <c r="BR292" s="499">
        <f t="shared" si="405"/>
        <v>20.205466999999999</v>
      </c>
      <c r="BS292" s="499">
        <f t="shared" si="406"/>
        <v>1001.3480070000001</v>
      </c>
      <c r="BU292" s="499">
        <f t="shared" si="407"/>
        <v>488</v>
      </c>
      <c r="BV292" s="499">
        <f t="shared" si="408"/>
        <v>4.943346</v>
      </c>
      <c r="BW292" s="5">
        <f t="shared" si="398"/>
        <v>0</v>
      </c>
      <c r="BX292" s="499">
        <f t="shared" si="409"/>
        <v>20.205466999999999</v>
      </c>
      <c r="BY292" s="499">
        <f t="shared" si="410"/>
        <v>1001.3480070000001</v>
      </c>
      <c r="CA292">
        <v>488</v>
      </c>
      <c r="CB292">
        <v>4.943346</v>
      </c>
      <c r="CC292">
        <v>0</v>
      </c>
      <c r="CD292">
        <v>20.205466999999999</v>
      </c>
      <c r="CE292">
        <v>1001.3480070000001</v>
      </c>
      <c r="CG292" s="499">
        <f t="shared" si="411"/>
        <v>0</v>
      </c>
      <c r="CH292" s="499">
        <f t="shared" si="412"/>
        <v>0</v>
      </c>
      <c r="CI292" s="499">
        <f t="shared" si="413"/>
        <v>0</v>
      </c>
      <c r="CJ292" s="499">
        <f t="shared" si="414"/>
        <v>0</v>
      </c>
      <c r="CP292" s="499"/>
      <c r="CQ292" s="65">
        <f t="shared" si="416"/>
        <v>0.97885602946664463</v>
      </c>
      <c r="CR292" s="499">
        <f t="shared" si="417"/>
        <v>0.97885602946664463</v>
      </c>
      <c r="CS292" s="499">
        <f t="shared" si="418"/>
        <v>0.97885602946664463</v>
      </c>
      <c r="CT292" s="38">
        <f t="shared" si="419"/>
        <v>1</v>
      </c>
      <c r="CU292" s="498">
        <f t="shared" si="420"/>
        <v>1</v>
      </c>
    </row>
    <row r="293" spans="43:99">
      <c r="AQ293" s="499"/>
      <c r="AR293" s="228">
        <v>18.512955999999999</v>
      </c>
      <c r="AS293" s="13">
        <v>276</v>
      </c>
      <c r="AT293" s="13">
        <v>4.9000820000000003</v>
      </c>
      <c r="AU293" s="13">
        <f t="shared" si="431"/>
        <v>0</v>
      </c>
      <c r="AV293" s="13">
        <f t="shared" si="422"/>
        <v>18.512955999999999</v>
      </c>
      <c r="AW293" s="13">
        <f t="shared" si="423"/>
        <v>18.512955999999999</v>
      </c>
      <c r="AX293" s="13">
        <f t="shared" si="424"/>
        <v>18.512955999999999</v>
      </c>
      <c r="AY293" s="13">
        <v>998.42692899999997</v>
      </c>
      <c r="AZ293" s="13">
        <f t="shared" si="425"/>
        <v>0</v>
      </c>
      <c r="BA293" s="13">
        <f t="shared" si="426"/>
        <v>0</v>
      </c>
      <c r="BB293" s="97">
        <f t="shared" si="427"/>
        <v>0</v>
      </c>
      <c r="BC293" s="499"/>
      <c r="BD293" s="499">
        <v>55.35</v>
      </c>
      <c r="BE293" s="499">
        <v>24.746474193548384</v>
      </c>
      <c r="BF293" s="499">
        <v>19.703184475806449</v>
      </c>
      <c r="BG293" s="499">
        <v>24.403298813058612</v>
      </c>
      <c r="BI293" s="499">
        <f t="shared" ref="BI293:BJ293" si="457">AS296</f>
        <v>321</v>
      </c>
      <c r="BJ293" s="499">
        <f t="shared" si="457"/>
        <v>4.9783270000000002</v>
      </c>
      <c r="BK293" s="5">
        <f t="shared" si="400"/>
        <v>0</v>
      </c>
      <c r="BL293" s="499">
        <f t="shared" si="401"/>
        <v>18.389130999999999</v>
      </c>
      <c r="BM293" s="499">
        <f t="shared" si="402"/>
        <v>1001.297101</v>
      </c>
      <c r="BO293" s="499">
        <f t="shared" si="403"/>
        <v>321</v>
      </c>
      <c r="BP293" s="499">
        <f t="shared" si="404"/>
        <v>4.9783270000000002</v>
      </c>
      <c r="BQ293" s="5">
        <f t="shared" si="397"/>
        <v>0</v>
      </c>
      <c r="BR293" s="499">
        <f t="shared" si="405"/>
        <v>18.389130999999999</v>
      </c>
      <c r="BS293" s="499">
        <f t="shared" si="406"/>
        <v>1001.297101</v>
      </c>
      <c r="BU293" s="499">
        <f t="shared" si="407"/>
        <v>321</v>
      </c>
      <c r="BV293" s="499">
        <f t="shared" si="408"/>
        <v>4.9783270000000002</v>
      </c>
      <c r="BW293" s="5">
        <f t="shared" si="398"/>
        <v>0</v>
      </c>
      <c r="BX293" s="499">
        <f t="shared" si="409"/>
        <v>18.389130999999999</v>
      </c>
      <c r="BY293" s="499">
        <f t="shared" si="410"/>
        <v>1001.297101</v>
      </c>
      <c r="CA293">
        <v>321</v>
      </c>
      <c r="CB293">
        <v>4.9783270000000002</v>
      </c>
      <c r="CC293">
        <v>0</v>
      </c>
      <c r="CD293">
        <v>18.389130999999999</v>
      </c>
      <c r="CE293">
        <v>1001.297101</v>
      </c>
      <c r="CG293" s="499">
        <f t="shared" si="411"/>
        <v>0</v>
      </c>
      <c r="CH293" s="499">
        <f t="shared" si="412"/>
        <v>0</v>
      </c>
      <c r="CI293" s="499">
        <f t="shared" si="413"/>
        <v>0</v>
      </c>
      <c r="CJ293" s="499">
        <f t="shared" si="414"/>
        <v>0</v>
      </c>
      <c r="CP293" s="499"/>
      <c r="CQ293" s="65">
        <f t="shared" si="416"/>
        <v>0.97860205001505518</v>
      </c>
      <c r="CR293" s="499">
        <f t="shared" si="417"/>
        <v>0.97860205001505518</v>
      </c>
      <c r="CS293" s="499">
        <f t="shared" si="418"/>
        <v>0.97860205001505518</v>
      </c>
      <c r="CT293" s="38">
        <f t="shared" si="419"/>
        <v>1</v>
      </c>
      <c r="CU293" s="498">
        <f t="shared" si="420"/>
        <v>1</v>
      </c>
    </row>
    <row r="294" spans="43:99">
      <c r="AQ294" s="499"/>
      <c r="AR294" s="228">
        <v>18.10463</v>
      </c>
      <c r="AS294" s="13">
        <v>225</v>
      </c>
      <c r="AT294" s="13">
        <v>4.9320740000000001</v>
      </c>
      <c r="AU294" s="13">
        <f t="shared" si="431"/>
        <v>0</v>
      </c>
      <c r="AV294" s="13">
        <f t="shared" si="422"/>
        <v>18.10463</v>
      </c>
      <c r="AW294" s="13">
        <f t="shared" si="423"/>
        <v>18.10463</v>
      </c>
      <c r="AX294" s="13">
        <f t="shared" si="424"/>
        <v>18.10463</v>
      </c>
      <c r="AY294" s="13">
        <v>1002.0752639999999</v>
      </c>
      <c r="AZ294" s="13">
        <f t="shared" si="425"/>
        <v>0</v>
      </c>
      <c r="BA294" s="13">
        <f t="shared" si="426"/>
        <v>0</v>
      </c>
      <c r="BB294" s="97">
        <f t="shared" si="427"/>
        <v>0</v>
      </c>
      <c r="BC294" s="499"/>
      <c r="BD294" s="499">
        <v>55.15</v>
      </c>
      <c r="BE294" s="499">
        <v>24.895776612903227</v>
      </c>
      <c r="BF294" s="499">
        <v>19.685229637096775</v>
      </c>
      <c r="BG294" s="499">
        <v>24.507254497261908</v>
      </c>
      <c r="BI294" s="499">
        <f t="shared" ref="BI294:BJ294" si="458">AS297</f>
        <v>128</v>
      </c>
      <c r="BJ294" s="499">
        <f t="shared" si="458"/>
        <v>4.9784050000000004</v>
      </c>
      <c r="BK294" s="5">
        <f t="shared" si="400"/>
        <v>1</v>
      </c>
      <c r="BL294" s="499">
        <f t="shared" si="401"/>
        <v>29.801126</v>
      </c>
      <c r="BM294" s="499">
        <f t="shared" si="402"/>
        <v>1001.452242</v>
      </c>
      <c r="BO294" s="499">
        <f t="shared" si="403"/>
        <v>128</v>
      </c>
      <c r="BP294" s="499">
        <f t="shared" si="404"/>
        <v>4.9784050000000004</v>
      </c>
      <c r="BQ294" s="5">
        <f t="shared" si="397"/>
        <v>1</v>
      </c>
      <c r="BR294" s="499">
        <f t="shared" si="405"/>
        <v>29.801126</v>
      </c>
      <c r="BS294" s="499">
        <f t="shared" si="406"/>
        <v>1001.452242</v>
      </c>
      <c r="BU294" s="499">
        <f t="shared" si="407"/>
        <v>128</v>
      </c>
      <c r="BV294" s="499">
        <f t="shared" si="408"/>
        <v>4.9784050000000004</v>
      </c>
      <c r="BW294" s="5">
        <f t="shared" si="398"/>
        <v>1</v>
      </c>
      <c r="BX294" s="499">
        <f t="shared" si="409"/>
        <v>29.801126</v>
      </c>
      <c r="BY294" s="499">
        <f t="shared" si="410"/>
        <v>1001.452242</v>
      </c>
      <c r="CA294">
        <v>128</v>
      </c>
      <c r="CB294">
        <v>4.9784050000000004</v>
      </c>
      <c r="CC294">
        <v>1</v>
      </c>
      <c r="CD294">
        <v>29.801126</v>
      </c>
      <c r="CE294">
        <v>1001.452242</v>
      </c>
      <c r="CG294" s="499">
        <f t="shared" si="411"/>
        <v>1</v>
      </c>
      <c r="CH294" s="499">
        <f t="shared" si="412"/>
        <v>1</v>
      </c>
      <c r="CI294" s="499">
        <f t="shared" si="413"/>
        <v>1</v>
      </c>
      <c r="CJ294" s="499">
        <f t="shared" si="414"/>
        <v>1</v>
      </c>
      <c r="CP294" s="499"/>
      <c r="CQ294" s="65">
        <f t="shared" si="416"/>
        <v>0.9788530121805159</v>
      </c>
      <c r="CR294" s="499">
        <f t="shared" si="417"/>
        <v>0.9788530121805159</v>
      </c>
      <c r="CS294" s="499">
        <f t="shared" si="418"/>
        <v>0.9788530121805159</v>
      </c>
      <c r="CT294" s="38">
        <f t="shared" si="419"/>
        <v>1</v>
      </c>
      <c r="CU294" s="498">
        <f t="shared" si="420"/>
        <v>1</v>
      </c>
    </row>
    <row r="295" spans="43:99">
      <c r="AQ295" s="499"/>
      <c r="AR295" s="228">
        <v>20.205466999999999</v>
      </c>
      <c r="AS295" s="13">
        <v>488</v>
      </c>
      <c r="AT295" s="13">
        <v>4.943346</v>
      </c>
      <c r="AU295" s="13">
        <f t="shared" si="431"/>
        <v>0</v>
      </c>
      <c r="AV295" s="13">
        <f t="shared" si="422"/>
        <v>20.205466999999999</v>
      </c>
      <c r="AW295" s="13">
        <f t="shared" si="423"/>
        <v>20.205466999999999</v>
      </c>
      <c r="AX295" s="13">
        <f t="shared" si="424"/>
        <v>20.205466999999999</v>
      </c>
      <c r="AY295" s="13">
        <v>1001.3480070000001</v>
      </c>
      <c r="AZ295" s="13">
        <f t="shared" si="425"/>
        <v>0</v>
      </c>
      <c r="BA295" s="13">
        <f t="shared" si="426"/>
        <v>0</v>
      </c>
      <c r="BB295" s="97">
        <f t="shared" si="427"/>
        <v>0</v>
      </c>
      <c r="BC295" s="499"/>
      <c r="BD295" s="499">
        <v>54.95</v>
      </c>
      <c r="BE295" s="499">
        <v>24.960229233870969</v>
      </c>
      <c r="BF295" s="499">
        <v>19.640832258064506</v>
      </c>
      <c r="BG295" s="499">
        <v>24.456919169317771</v>
      </c>
      <c r="BI295" s="499">
        <f t="shared" ref="BI295:BJ295" si="459">AS298</f>
        <v>382</v>
      </c>
      <c r="BJ295" s="499">
        <f t="shared" si="459"/>
        <v>5</v>
      </c>
      <c r="BK295" s="5">
        <f t="shared" si="400"/>
        <v>0</v>
      </c>
      <c r="BL295" s="499">
        <f t="shared" si="401"/>
        <v>22.100355</v>
      </c>
      <c r="BM295" s="499">
        <f t="shared" si="402"/>
        <v>1000.596362</v>
      </c>
      <c r="BO295" s="499">
        <f t="shared" si="403"/>
        <v>382</v>
      </c>
      <c r="BP295" s="499">
        <f t="shared" si="404"/>
        <v>5</v>
      </c>
      <c r="BQ295" s="5">
        <f t="shared" si="397"/>
        <v>0</v>
      </c>
      <c r="BR295" s="499">
        <f t="shared" si="405"/>
        <v>22.100355</v>
      </c>
      <c r="BS295" s="499">
        <f t="shared" si="406"/>
        <v>1000.596362</v>
      </c>
      <c r="BU295" s="499">
        <f t="shared" si="407"/>
        <v>382</v>
      </c>
      <c r="BV295" s="499">
        <f t="shared" si="408"/>
        <v>5</v>
      </c>
      <c r="BW295" s="5">
        <f t="shared" si="398"/>
        <v>0</v>
      </c>
      <c r="BX295" s="499">
        <f t="shared" si="409"/>
        <v>22.100355</v>
      </c>
      <c r="BY295" s="499">
        <f t="shared" si="410"/>
        <v>1000.596362</v>
      </c>
      <c r="CA295">
        <v>382</v>
      </c>
      <c r="CB295">
        <v>5</v>
      </c>
      <c r="CC295">
        <v>0</v>
      </c>
      <c r="CD295">
        <v>22.100355</v>
      </c>
      <c r="CE295">
        <v>1000.596362</v>
      </c>
      <c r="CG295" s="499">
        <f t="shared" si="411"/>
        <v>0</v>
      </c>
      <c r="CH295" s="499">
        <f t="shared" si="412"/>
        <v>0</v>
      </c>
      <c r="CI295" s="499">
        <f t="shared" si="413"/>
        <v>0</v>
      </c>
      <c r="CJ295" s="499">
        <f t="shared" si="414"/>
        <v>0</v>
      </c>
      <c r="CP295" s="499"/>
      <c r="CQ295" s="65">
        <f t="shared" si="416"/>
        <v>1.9487102756740737E-5</v>
      </c>
      <c r="CR295" s="499">
        <f t="shared" si="417"/>
        <v>1.9487102756740737E-5</v>
      </c>
      <c r="CS295" s="499">
        <f t="shared" si="418"/>
        <v>1.9487102756740737E-5</v>
      </c>
      <c r="CT295" s="38">
        <f t="shared" si="419"/>
        <v>1</v>
      </c>
      <c r="CU295" s="498">
        <f t="shared" si="420"/>
        <v>1</v>
      </c>
    </row>
    <row r="296" spans="43:99">
      <c r="AQ296" s="499"/>
      <c r="AR296" s="228">
        <v>18.389130999999999</v>
      </c>
      <c r="AS296" s="13">
        <v>321</v>
      </c>
      <c r="AT296" s="13">
        <v>4.9783270000000002</v>
      </c>
      <c r="AU296" s="13">
        <f t="shared" si="431"/>
        <v>0</v>
      </c>
      <c r="AV296" s="13">
        <f t="shared" si="422"/>
        <v>18.389130999999999</v>
      </c>
      <c r="AW296" s="13">
        <f t="shared" si="423"/>
        <v>18.389130999999999</v>
      </c>
      <c r="AX296" s="13">
        <f t="shared" si="424"/>
        <v>18.389130999999999</v>
      </c>
      <c r="AY296" s="13">
        <v>1001.297101</v>
      </c>
      <c r="AZ296" s="13">
        <f t="shared" si="425"/>
        <v>0</v>
      </c>
      <c r="BA296" s="13">
        <f t="shared" si="426"/>
        <v>0</v>
      </c>
      <c r="BB296" s="97">
        <f t="shared" si="427"/>
        <v>0</v>
      </c>
      <c r="BC296" s="499"/>
      <c r="BD296" s="499">
        <v>54.75</v>
      </c>
      <c r="BE296" s="499">
        <v>25.143293750000002</v>
      </c>
      <c r="BF296" s="499">
        <v>19.729193145161293</v>
      </c>
      <c r="BG296" s="499">
        <v>24.618279233786637</v>
      </c>
      <c r="BI296" s="499">
        <f t="shared" ref="BI296:BJ296" si="460">AS299</f>
        <v>368</v>
      </c>
      <c r="BJ296" s="499">
        <f t="shared" si="460"/>
        <v>5.0089959999999998</v>
      </c>
      <c r="BK296" s="5">
        <f t="shared" si="400"/>
        <v>1</v>
      </c>
      <c r="BL296" s="499">
        <f t="shared" si="401"/>
        <v>34.421334000000002</v>
      </c>
      <c r="BM296" s="499">
        <f t="shared" si="402"/>
        <v>775.74836200000004</v>
      </c>
      <c r="BO296" s="499">
        <f t="shared" si="403"/>
        <v>368</v>
      </c>
      <c r="BP296" s="499">
        <f t="shared" si="404"/>
        <v>5.0089959999999998</v>
      </c>
      <c r="BQ296" s="5">
        <f t="shared" si="397"/>
        <v>1</v>
      </c>
      <c r="BR296" s="499">
        <f t="shared" si="405"/>
        <v>34.421334000000002</v>
      </c>
      <c r="BS296" s="499">
        <f t="shared" si="406"/>
        <v>775.74836200000004</v>
      </c>
      <c r="BU296" s="499">
        <f t="shared" si="407"/>
        <v>368</v>
      </c>
      <c r="BV296" s="499">
        <f t="shared" si="408"/>
        <v>5.0089959999999998</v>
      </c>
      <c r="BW296" s="5">
        <f t="shared" si="398"/>
        <v>1</v>
      </c>
      <c r="BX296" s="499">
        <f t="shared" si="409"/>
        <v>34.421334000000002</v>
      </c>
      <c r="BY296" s="499">
        <f t="shared" si="410"/>
        <v>775.74836200000004</v>
      </c>
      <c r="CA296">
        <v>368</v>
      </c>
      <c r="CB296">
        <v>5.0089959999999998</v>
      </c>
      <c r="CC296">
        <v>1</v>
      </c>
      <c r="CD296">
        <v>34.421334000000002</v>
      </c>
      <c r="CE296">
        <v>775.74836200000004</v>
      </c>
      <c r="CG296" s="499">
        <f t="shared" si="411"/>
        <v>1</v>
      </c>
      <c r="CH296" s="499">
        <f t="shared" si="412"/>
        <v>1</v>
      </c>
      <c r="CI296" s="499">
        <f t="shared" si="413"/>
        <v>1</v>
      </c>
      <c r="CJ296" s="499">
        <f t="shared" si="414"/>
        <v>1</v>
      </c>
      <c r="CP296" s="499"/>
      <c r="CQ296" s="65">
        <f t="shared" si="416"/>
        <v>0.96784906373826307</v>
      </c>
      <c r="CR296" s="499">
        <f t="shared" si="417"/>
        <v>0.96784906373826307</v>
      </c>
      <c r="CS296" s="499">
        <f t="shared" si="418"/>
        <v>0.96784906373826307</v>
      </c>
      <c r="CT296" s="38">
        <f t="shared" si="419"/>
        <v>1</v>
      </c>
      <c r="CU296" s="498">
        <f t="shared" si="420"/>
        <v>1</v>
      </c>
    </row>
    <row r="297" spans="43:99">
      <c r="AQ297" s="499"/>
      <c r="AR297" s="228">
        <v>29.801126</v>
      </c>
      <c r="AS297" s="13">
        <v>128</v>
      </c>
      <c r="AT297" s="13">
        <v>4.9784050000000004</v>
      </c>
      <c r="AU297" s="13">
        <f t="shared" si="431"/>
        <v>1</v>
      </c>
      <c r="AV297" s="13">
        <f t="shared" si="422"/>
        <v>29.801126</v>
      </c>
      <c r="AW297" s="13">
        <f t="shared" si="423"/>
        <v>29.801126</v>
      </c>
      <c r="AX297" s="13">
        <f t="shared" si="424"/>
        <v>29.801126</v>
      </c>
      <c r="AY297" s="13">
        <v>1001.452242</v>
      </c>
      <c r="AZ297" s="13">
        <f t="shared" si="425"/>
        <v>0</v>
      </c>
      <c r="BA297" s="13">
        <f t="shared" si="426"/>
        <v>0</v>
      </c>
      <c r="BB297" s="97">
        <f t="shared" si="427"/>
        <v>0</v>
      </c>
      <c r="BC297" s="499"/>
      <c r="BD297" s="499">
        <v>54.55</v>
      </c>
      <c r="BE297" s="499">
        <v>25.340067540322586</v>
      </c>
      <c r="BF297" s="499">
        <v>19.810698790322583</v>
      </c>
      <c r="BG297" s="499">
        <v>24.806470517271066</v>
      </c>
      <c r="BI297" s="499">
        <f t="shared" ref="BI297:BJ297" si="461">AS300</f>
        <v>213</v>
      </c>
      <c r="BJ297" s="499">
        <f t="shared" si="461"/>
        <v>5.0149999999999997</v>
      </c>
      <c r="BK297" s="5">
        <f t="shared" si="400"/>
        <v>1</v>
      </c>
      <c r="BL297" s="499">
        <f t="shared" si="401"/>
        <v>24.738108</v>
      </c>
      <c r="BM297" s="499">
        <f t="shared" si="402"/>
        <v>970.00176499999998</v>
      </c>
      <c r="BO297" s="499">
        <f t="shared" si="403"/>
        <v>213</v>
      </c>
      <c r="BP297" s="499">
        <f t="shared" si="404"/>
        <v>5.0149999999999997</v>
      </c>
      <c r="BQ297" s="5">
        <f t="shared" si="397"/>
        <v>1</v>
      </c>
      <c r="BR297" s="499">
        <f t="shared" si="405"/>
        <v>24.738108</v>
      </c>
      <c r="BS297" s="499">
        <f t="shared" si="406"/>
        <v>970.00176499999998</v>
      </c>
      <c r="BU297" s="499">
        <f t="shared" si="407"/>
        <v>213</v>
      </c>
      <c r="BV297" s="499">
        <f t="shared" si="408"/>
        <v>5.0149999999999997</v>
      </c>
      <c r="BW297" s="5">
        <f t="shared" si="398"/>
        <v>1</v>
      </c>
      <c r="BX297" s="499">
        <f t="shared" si="409"/>
        <v>24.738108</v>
      </c>
      <c r="BY297" s="499">
        <f t="shared" si="410"/>
        <v>970.00176499999998</v>
      </c>
      <c r="CA297">
        <v>213</v>
      </c>
      <c r="CB297">
        <v>5.0149999999999997</v>
      </c>
      <c r="CC297">
        <v>1</v>
      </c>
      <c r="CD297">
        <v>24.738108</v>
      </c>
      <c r="CE297">
        <v>970.00176499999998</v>
      </c>
      <c r="CG297" s="499">
        <f t="shared" si="411"/>
        <v>1</v>
      </c>
      <c r="CH297" s="499">
        <f t="shared" si="412"/>
        <v>1</v>
      </c>
      <c r="CI297" s="499">
        <f t="shared" si="413"/>
        <v>1</v>
      </c>
      <c r="CJ297" s="499">
        <f t="shared" si="414"/>
        <v>1</v>
      </c>
      <c r="CP297" s="499"/>
      <c r="CQ297" s="65">
        <f t="shared" si="416"/>
        <v>2.0091242025397049E-9</v>
      </c>
      <c r="CR297" s="499">
        <f t="shared" si="417"/>
        <v>2.0091242025397049E-9</v>
      </c>
      <c r="CS297" s="499">
        <f t="shared" si="418"/>
        <v>2.0091242025397049E-9</v>
      </c>
      <c r="CT297" s="38">
        <f t="shared" si="419"/>
        <v>1</v>
      </c>
      <c r="CU297" s="498">
        <f t="shared" si="420"/>
        <v>1</v>
      </c>
    </row>
    <row r="298" spans="43:99">
      <c r="AQ298" s="499"/>
      <c r="AR298" s="228">
        <v>22.100355</v>
      </c>
      <c r="AS298" s="13">
        <v>382</v>
      </c>
      <c r="AT298" s="13">
        <v>5</v>
      </c>
      <c r="AU298" s="13">
        <f t="shared" si="431"/>
        <v>0</v>
      </c>
      <c r="AV298" s="13">
        <f t="shared" si="422"/>
        <v>22.100355</v>
      </c>
      <c r="AW298" s="13">
        <f t="shared" si="423"/>
        <v>22.100355</v>
      </c>
      <c r="AX298" s="13">
        <f t="shared" si="424"/>
        <v>22.100355</v>
      </c>
      <c r="AY298" s="13">
        <v>1000.596362</v>
      </c>
      <c r="AZ298" s="13">
        <f t="shared" si="425"/>
        <v>0</v>
      </c>
      <c r="BA298" s="13">
        <f t="shared" si="426"/>
        <v>0</v>
      </c>
      <c r="BB298" s="97">
        <f t="shared" si="427"/>
        <v>0</v>
      </c>
      <c r="BC298" s="499"/>
      <c r="BD298" s="499">
        <v>54.35</v>
      </c>
      <c r="BE298" s="499">
        <v>25.534388306451621</v>
      </c>
      <c r="BF298" s="499">
        <v>19.831600201612908</v>
      </c>
      <c r="BG298" s="499">
        <v>25.014498809949625</v>
      </c>
      <c r="BI298" s="499">
        <f t="shared" ref="BI298:BJ298" si="462">AS301</f>
        <v>267</v>
      </c>
      <c r="BJ298" s="499">
        <f t="shared" si="462"/>
        <v>5.0149999999999997</v>
      </c>
      <c r="BK298" s="5">
        <f t="shared" si="400"/>
        <v>1</v>
      </c>
      <c r="BL298" s="499">
        <f t="shared" si="401"/>
        <v>25.715824999999999</v>
      </c>
      <c r="BM298" s="499">
        <f t="shared" si="402"/>
        <v>969.09942599999999</v>
      </c>
      <c r="BO298" s="499">
        <f t="shared" si="403"/>
        <v>267</v>
      </c>
      <c r="BP298" s="499">
        <f t="shared" si="404"/>
        <v>5.0149999999999997</v>
      </c>
      <c r="BQ298" s="5">
        <f t="shared" si="397"/>
        <v>1</v>
      </c>
      <c r="BR298" s="499">
        <f t="shared" si="405"/>
        <v>25.715824999999999</v>
      </c>
      <c r="BS298" s="499">
        <f t="shared" si="406"/>
        <v>969.09942599999999</v>
      </c>
      <c r="BU298" s="499">
        <f t="shared" si="407"/>
        <v>267</v>
      </c>
      <c r="BV298" s="499">
        <f t="shared" si="408"/>
        <v>5.0149999999999997</v>
      </c>
      <c r="BW298" s="5">
        <f t="shared" si="398"/>
        <v>1</v>
      </c>
      <c r="BX298" s="499">
        <f t="shared" si="409"/>
        <v>25.715824999999999</v>
      </c>
      <c r="BY298" s="499">
        <f t="shared" si="410"/>
        <v>969.09942599999999</v>
      </c>
      <c r="CA298">
        <v>267</v>
      </c>
      <c r="CB298">
        <v>5.0149999999999997</v>
      </c>
      <c r="CC298">
        <v>1</v>
      </c>
      <c r="CD298">
        <v>25.715824999999999</v>
      </c>
      <c r="CE298">
        <v>969.09942599999999</v>
      </c>
      <c r="CG298" s="499">
        <f t="shared" si="411"/>
        <v>1</v>
      </c>
      <c r="CH298" s="499">
        <f t="shared" si="412"/>
        <v>1</v>
      </c>
      <c r="CI298" s="499">
        <f t="shared" si="413"/>
        <v>1</v>
      </c>
      <c r="CJ298" s="499">
        <f t="shared" si="414"/>
        <v>1</v>
      </c>
      <c r="CP298" s="499"/>
      <c r="CQ298" s="65">
        <f t="shared" si="416"/>
        <v>0.31090597946661935</v>
      </c>
      <c r="CR298" s="499">
        <f t="shared" si="417"/>
        <v>0.31090597946661935</v>
      </c>
      <c r="CS298" s="499">
        <f t="shared" si="418"/>
        <v>0.31090597946661935</v>
      </c>
      <c r="CT298" s="38">
        <f t="shared" si="419"/>
        <v>1</v>
      </c>
      <c r="CU298" s="498">
        <f t="shared" si="420"/>
        <v>1</v>
      </c>
    </row>
    <row r="299" spans="43:99">
      <c r="AQ299" s="499"/>
      <c r="AR299" s="228">
        <v>34.421334000000002</v>
      </c>
      <c r="AS299" s="13">
        <v>368</v>
      </c>
      <c r="AT299" s="13">
        <v>5.0089959999999998</v>
      </c>
      <c r="AU299" s="13">
        <f t="shared" si="431"/>
        <v>1</v>
      </c>
      <c r="AV299" s="13">
        <f t="shared" si="422"/>
        <v>34.421334000000002</v>
      </c>
      <c r="AW299" s="13">
        <f t="shared" si="423"/>
        <v>34.421334000000002</v>
      </c>
      <c r="AX299" s="13">
        <f t="shared" si="424"/>
        <v>34.421334000000002</v>
      </c>
      <c r="AY299" s="13">
        <v>775.74836200000004</v>
      </c>
      <c r="AZ299" s="13">
        <f t="shared" si="425"/>
        <v>0</v>
      </c>
      <c r="BA299" s="13">
        <f t="shared" si="426"/>
        <v>0</v>
      </c>
      <c r="BB299" s="97">
        <f t="shared" si="427"/>
        <v>0</v>
      </c>
      <c r="BC299" s="499"/>
      <c r="BD299" s="499">
        <v>54.15</v>
      </c>
      <c r="BE299" s="499">
        <v>25.643019959677424</v>
      </c>
      <c r="BF299" s="499">
        <v>19.930211290322578</v>
      </c>
      <c r="BG299" s="499">
        <v>25.193045188891947</v>
      </c>
      <c r="BI299" s="499">
        <f t="shared" ref="BI299:BJ299" si="463">AS302</f>
        <v>140</v>
      </c>
      <c r="BJ299" s="499">
        <f t="shared" si="463"/>
        <v>5.0622429999999996</v>
      </c>
      <c r="BK299" s="5">
        <f t="shared" si="400"/>
        <v>1</v>
      </c>
      <c r="BL299" s="499">
        <f t="shared" si="401"/>
        <v>26.731535999999998</v>
      </c>
      <c r="BM299" s="499">
        <f t="shared" si="402"/>
        <v>1000.623879</v>
      </c>
      <c r="BO299" s="499">
        <f t="shared" si="403"/>
        <v>140</v>
      </c>
      <c r="BP299" s="499">
        <f t="shared" si="404"/>
        <v>5.0622429999999996</v>
      </c>
      <c r="BQ299" s="5">
        <f t="shared" si="397"/>
        <v>1</v>
      </c>
      <c r="BR299" s="499">
        <f t="shared" si="405"/>
        <v>26.731535999999998</v>
      </c>
      <c r="BS299" s="499">
        <f t="shared" si="406"/>
        <v>1000.623879</v>
      </c>
      <c r="BU299" s="499">
        <f t="shared" si="407"/>
        <v>140</v>
      </c>
      <c r="BV299" s="499">
        <f t="shared" si="408"/>
        <v>5.0622429999999996</v>
      </c>
      <c r="BW299" s="5">
        <f t="shared" si="398"/>
        <v>1</v>
      </c>
      <c r="BX299" s="499">
        <f t="shared" si="409"/>
        <v>26.731535999999998</v>
      </c>
      <c r="BY299" s="499">
        <f t="shared" si="410"/>
        <v>1000.623879</v>
      </c>
      <c r="CA299">
        <v>140</v>
      </c>
      <c r="CB299">
        <v>5.0622429999999996</v>
      </c>
      <c r="CC299">
        <v>1</v>
      </c>
      <c r="CD299">
        <v>26.731535999999998</v>
      </c>
      <c r="CE299">
        <v>1000.623879</v>
      </c>
      <c r="CG299" s="499">
        <f t="shared" si="411"/>
        <v>1</v>
      </c>
      <c r="CH299" s="499">
        <f t="shared" si="412"/>
        <v>1</v>
      </c>
      <c r="CI299" s="499">
        <f t="shared" si="413"/>
        <v>1</v>
      </c>
      <c r="CJ299" s="499">
        <f t="shared" si="414"/>
        <v>1</v>
      </c>
      <c r="CP299" s="499"/>
      <c r="CQ299" s="65">
        <f t="shared" si="416"/>
        <v>6.1219407583993517E-2</v>
      </c>
      <c r="CR299" s="499">
        <f t="shared" si="417"/>
        <v>6.1219407583993517E-2</v>
      </c>
      <c r="CS299" s="499">
        <f t="shared" si="418"/>
        <v>6.1219407583993517E-2</v>
      </c>
      <c r="CT299" s="38">
        <f t="shared" si="419"/>
        <v>1</v>
      </c>
      <c r="CU299" s="498">
        <f t="shared" si="420"/>
        <v>1</v>
      </c>
    </row>
    <row r="300" spans="43:99">
      <c r="AQ300" s="499"/>
      <c r="AR300" s="228">
        <v>24.738108</v>
      </c>
      <c r="AS300" s="13">
        <v>213</v>
      </c>
      <c r="AT300" s="13">
        <v>5.0149999999999997</v>
      </c>
      <c r="AU300" s="13">
        <f t="shared" si="431"/>
        <v>1</v>
      </c>
      <c r="AV300" s="13">
        <f t="shared" si="422"/>
        <v>24.738108</v>
      </c>
      <c r="AW300" s="13">
        <f t="shared" si="423"/>
        <v>24.738108</v>
      </c>
      <c r="AX300" s="13">
        <f t="shared" si="424"/>
        <v>24.738108</v>
      </c>
      <c r="AY300" s="13">
        <v>970.00176499999998</v>
      </c>
      <c r="AZ300" s="13">
        <f t="shared" si="425"/>
        <v>0</v>
      </c>
      <c r="BA300" s="13">
        <f t="shared" si="426"/>
        <v>0</v>
      </c>
      <c r="BB300" s="97">
        <f t="shared" si="427"/>
        <v>0</v>
      </c>
      <c r="BC300" s="499"/>
      <c r="BD300" s="499">
        <v>53.95</v>
      </c>
      <c r="BE300" s="499">
        <v>25.789693346774193</v>
      </c>
      <c r="BF300" s="499">
        <v>20.01248810483871</v>
      </c>
      <c r="BG300" s="499">
        <v>25.375052964922165</v>
      </c>
      <c r="BI300" s="499">
        <f t="shared" ref="BI300:BJ300" si="464">AS303</f>
        <v>360</v>
      </c>
      <c r="BJ300" s="499">
        <f t="shared" si="464"/>
        <v>5.0674760000000001</v>
      </c>
      <c r="BK300" s="5">
        <f t="shared" si="400"/>
        <v>0</v>
      </c>
      <c r="BL300" s="499">
        <f t="shared" si="401"/>
        <v>17.775928</v>
      </c>
      <c r="BM300" s="499">
        <f t="shared" si="402"/>
        <v>1013.202407</v>
      </c>
      <c r="BO300" s="499">
        <f t="shared" si="403"/>
        <v>360</v>
      </c>
      <c r="BP300" s="499">
        <f t="shared" si="404"/>
        <v>5.0674760000000001</v>
      </c>
      <c r="BQ300" s="5">
        <f t="shared" si="397"/>
        <v>0</v>
      </c>
      <c r="BR300" s="499">
        <f t="shared" si="405"/>
        <v>17.775928</v>
      </c>
      <c r="BS300" s="499">
        <f t="shared" si="406"/>
        <v>1013.202407</v>
      </c>
      <c r="BU300" s="499">
        <f t="shared" si="407"/>
        <v>360</v>
      </c>
      <c r="BV300" s="499">
        <f t="shared" si="408"/>
        <v>5.0674760000000001</v>
      </c>
      <c r="BW300" s="5">
        <f t="shared" si="398"/>
        <v>0</v>
      </c>
      <c r="BX300" s="499">
        <f t="shared" si="409"/>
        <v>17.775928</v>
      </c>
      <c r="BY300" s="499">
        <f t="shared" si="410"/>
        <v>1013.202407</v>
      </c>
      <c r="CA300">
        <v>360</v>
      </c>
      <c r="CB300">
        <v>5.0674760000000001</v>
      </c>
      <c r="CC300">
        <v>0</v>
      </c>
      <c r="CD300">
        <v>17.775928</v>
      </c>
      <c r="CE300">
        <v>1013.202407</v>
      </c>
      <c r="CG300" s="499">
        <f t="shared" si="411"/>
        <v>0</v>
      </c>
      <c r="CH300" s="499">
        <f t="shared" si="412"/>
        <v>0</v>
      </c>
      <c r="CI300" s="499">
        <f t="shared" si="413"/>
        <v>0</v>
      </c>
      <c r="CJ300" s="499">
        <f t="shared" si="414"/>
        <v>0</v>
      </c>
      <c r="CP300" s="499"/>
      <c r="CQ300" s="65">
        <f t="shared" si="416"/>
        <v>8.6030506193787194E-3</v>
      </c>
      <c r="CR300" s="499">
        <f t="shared" si="417"/>
        <v>8.6030506193787194E-3</v>
      </c>
      <c r="CS300" s="499">
        <f t="shared" si="418"/>
        <v>8.6030506193787194E-3</v>
      </c>
      <c r="CT300" s="38">
        <f t="shared" si="419"/>
        <v>1</v>
      </c>
      <c r="CU300" s="498">
        <f t="shared" si="420"/>
        <v>1</v>
      </c>
    </row>
    <row r="301" spans="43:99">
      <c r="AQ301" s="499"/>
      <c r="AR301" s="228">
        <v>25.715824999999999</v>
      </c>
      <c r="AS301" s="13">
        <v>267</v>
      </c>
      <c r="AT301" s="13">
        <v>5.0149999999999997</v>
      </c>
      <c r="AU301" s="13">
        <f t="shared" si="431"/>
        <v>1</v>
      </c>
      <c r="AV301" s="13">
        <f t="shared" si="422"/>
        <v>25.715824999999999</v>
      </c>
      <c r="AW301" s="13">
        <f t="shared" si="423"/>
        <v>25.715824999999999</v>
      </c>
      <c r="AX301" s="13">
        <f t="shared" si="424"/>
        <v>25.715824999999999</v>
      </c>
      <c r="AY301" s="13">
        <v>969.09942599999999</v>
      </c>
      <c r="AZ301" s="13">
        <f t="shared" si="425"/>
        <v>0</v>
      </c>
      <c r="BA301" s="13">
        <f t="shared" si="426"/>
        <v>0</v>
      </c>
      <c r="BB301" s="97">
        <f t="shared" si="427"/>
        <v>0</v>
      </c>
      <c r="BC301" s="499"/>
      <c r="BD301" s="499">
        <v>53.75</v>
      </c>
      <c r="BE301" s="499">
        <v>25.918472782258057</v>
      </c>
      <c r="BF301" s="499">
        <v>20.037035080645161</v>
      </c>
      <c r="BG301" s="499">
        <v>25.518094482225283</v>
      </c>
      <c r="BI301" s="499">
        <f t="shared" ref="BI301:BJ301" si="465">AS304</f>
        <v>87</v>
      </c>
      <c r="BJ301" s="499">
        <f t="shared" si="465"/>
        <v>5.0917349999999999</v>
      </c>
      <c r="BK301" s="5">
        <f t="shared" si="400"/>
        <v>1</v>
      </c>
      <c r="BL301" s="499">
        <f t="shared" si="401"/>
        <v>24.407140999999999</v>
      </c>
      <c r="BM301" s="499">
        <f t="shared" si="402"/>
        <v>1000.094811</v>
      </c>
      <c r="BO301" s="499">
        <f t="shared" si="403"/>
        <v>87</v>
      </c>
      <c r="BP301" s="499">
        <f t="shared" si="404"/>
        <v>5.0917349999999999</v>
      </c>
      <c r="BQ301" s="5">
        <f t="shared" si="397"/>
        <v>1</v>
      </c>
      <c r="BR301" s="499">
        <f t="shared" si="405"/>
        <v>24.407140999999999</v>
      </c>
      <c r="BS301" s="499">
        <f t="shared" si="406"/>
        <v>1000.094811</v>
      </c>
      <c r="BU301" s="499">
        <f t="shared" si="407"/>
        <v>87</v>
      </c>
      <c r="BV301" s="499">
        <f t="shared" si="408"/>
        <v>5.0917349999999999</v>
      </c>
      <c r="BW301" s="5">
        <f t="shared" si="398"/>
        <v>1</v>
      </c>
      <c r="BX301" s="499">
        <f t="shared" si="409"/>
        <v>24.407140999999999</v>
      </c>
      <c r="BY301" s="499">
        <f t="shared" si="410"/>
        <v>1000.094811</v>
      </c>
      <c r="CA301">
        <v>87</v>
      </c>
      <c r="CB301">
        <v>5.0917349999999999</v>
      </c>
      <c r="CC301">
        <v>1</v>
      </c>
      <c r="CD301">
        <v>24.407140999999999</v>
      </c>
      <c r="CE301">
        <v>1000.094811</v>
      </c>
      <c r="CG301" s="499">
        <f t="shared" si="411"/>
        <v>1</v>
      </c>
      <c r="CH301" s="499">
        <f t="shared" si="412"/>
        <v>1</v>
      </c>
      <c r="CI301" s="499">
        <f t="shared" si="413"/>
        <v>1</v>
      </c>
      <c r="CJ301" s="499">
        <f t="shared" si="414"/>
        <v>1</v>
      </c>
      <c r="CP301" s="499"/>
      <c r="CQ301" s="65">
        <f t="shared" si="416"/>
        <v>0.97885793359828033</v>
      </c>
      <c r="CR301" s="499">
        <f t="shared" si="417"/>
        <v>0.97885793359828033</v>
      </c>
      <c r="CS301" s="499">
        <f t="shared" si="418"/>
        <v>0.97885793359828033</v>
      </c>
      <c r="CT301" s="38">
        <f t="shared" si="419"/>
        <v>1</v>
      </c>
      <c r="CU301" s="498">
        <f t="shared" si="420"/>
        <v>1</v>
      </c>
    </row>
    <row r="302" spans="43:99">
      <c r="AQ302" s="499"/>
      <c r="AR302" s="228">
        <v>26.731535999999998</v>
      </c>
      <c r="AS302" s="13">
        <v>140</v>
      </c>
      <c r="AT302" s="13">
        <v>5.0622429999999996</v>
      </c>
      <c r="AU302" s="13">
        <f t="shared" si="431"/>
        <v>1</v>
      </c>
      <c r="AV302" s="13">
        <f t="shared" si="422"/>
        <v>26.731535999999998</v>
      </c>
      <c r="AW302" s="13">
        <f t="shared" si="423"/>
        <v>26.731535999999998</v>
      </c>
      <c r="AX302" s="13">
        <f t="shared" si="424"/>
        <v>26.731535999999998</v>
      </c>
      <c r="AY302" s="13">
        <v>1000.623879</v>
      </c>
      <c r="AZ302" s="13">
        <f t="shared" si="425"/>
        <v>0</v>
      </c>
      <c r="BA302" s="13">
        <f t="shared" si="426"/>
        <v>0</v>
      </c>
      <c r="BB302" s="97">
        <f t="shared" si="427"/>
        <v>0</v>
      </c>
      <c r="BC302" s="499"/>
      <c r="BD302" s="499">
        <v>53.55</v>
      </c>
      <c r="BE302" s="499">
        <v>26.064679032258066</v>
      </c>
      <c r="BF302" s="499">
        <v>20.118781653225806</v>
      </c>
      <c r="BG302" s="499">
        <v>25.692722367394687</v>
      </c>
      <c r="BI302" s="499">
        <f t="shared" ref="BI302:BJ302" si="466">AS305</f>
        <v>31</v>
      </c>
      <c r="BJ302" s="499">
        <f t="shared" si="466"/>
        <v>5.0950150000000001</v>
      </c>
      <c r="BK302" s="5">
        <f t="shared" si="400"/>
        <v>0</v>
      </c>
      <c r="BL302" s="499">
        <f t="shared" si="401"/>
        <v>18.10463</v>
      </c>
      <c r="BM302" s="499">
        <f t="shared" si="402"/>
        <v>1002.306302</v>
      </c>
      <c r="BO302" s="499">
        <f t="shared" si="403"/>
        <v>31</v>
      </c>
      <c r="BP302" s="499">
        <f t="shared" si="404"/>
        <v>5.0950150000000001</v>
      </c>
      <c r="BQ302" s="5">
        <f t="shared" si="397"/>
        <v>0</v>
      </c>
      <c r="BR302" s="499">
        <f t="shared" si="405"/>
        <v>18.10463</v>
      </c>
      <c r="BS302" s="499">
        <f t="shared" si="406"/>
        <v>1002.306302</v>
      </c>
      <c r="BU302" s="499">
        <f t="shared" si="407"/>
        <v>31</v>
      </c>
      <c r="BV302" s="499">
        <f t="shared" si="408"/>
        <v>5.0950150000000001</v>
      </c>
      <c r="BW302" s="5">
        <f t="shared" si="398"/>
        <v>0</v>
      </c>
      <c r="BX302" s="499">
        <f t="shared" si="409"/>
        <v>18.10463</v>
      </c>
      <c r="BY302" s="499">
        <f t="shared" si="410"/>
        <v>1002.306302</v>
      </c>
      <c r="CA302">
        <v>31</v>
      </c>
      <c r="CB302">
        <v>5.0950150000000001</v>
      </c>
      <c r="CC302">
        <v>0</v>
      </c>
      <c r="CD302">
        <v>18.10463</v>
      </c>
      <c r="CE302">
        <v>1002.306302</v>
      </c>
      <c r="CG302" s="499">
        <f t="shared" si="411"/>
        <v>0</v>
      </c>
      <c r="CH302" s="499">
        <f t="shared" si="412"/>
        <v>0</v>
      </c>
      <c r="CI302" s="499">
        <f t="shared" si="413"/>
        <v>0</v>
      </c>
      <c r="CJ302" s="499">
        <f t="shared" si="414"/>
        <v>0</v>
      </c>
      <c r="CP302" s="499"/>
      <c r="CQ302" s="65">
        <f t="shared" si="416"/>
        <v>0.46323752866303308</v>
      </c>
      <c r="CR302" s="499">
        <f t="shared" si="417"/>
        <v>0.46323752866303308</v>
      </c>
      <c r="CS302" s="499">
        <f t="shared" si="418"/>
        <v>0.46323752866303308</v>
      </c>
      <c r="CT302" s="38">
        <f t="shared" si="419"/>
        <v>1</v>
      </c>
      <c r="CU302" s="498">
        <f t="shared" si="420"/>
        <v>1</v>
      </c>
    </row>
    <row r="303" spans="43:99">
      <c r="AQ303" s="499"/>
      <c r="AR303" s="228">
        <v>17.775928</v>
      </c>
      <c r="AS303" s="13">
        <v>360</v>
      </c>
      <c r="AT303" s="13">
        <v>5.0674760000000001</v>
      </c>
      <c r="AU303" s="13">
        <f t="shared" si="431"/>
        <v>0</v>
      </c>
      <c r="AV303" s="13">
        <f t="shared" si="422"/>
        <v>17.775928</v>
      </c>
      <c r="AW303" s="13">
        <f t="shared" si="423"/>
        <v>17.775928</v>
      </c>
      <c r="AX303" s="13">
        <f t="shared" si="424"/>
        <v>17.775928</v>
      </c>
      <c r="AY303" s="13">
        <v>1013.202407</v>
      </c>
      <c r="AZ303" s="13">
        <f t="shared" si="425"/>
        <v>0</v>
      </c>
      <c r="BA303" s="13">
        <f t="shared" si="426"/>
        <v>0</v>
      </c>
      <c r="BB303" s="97">
        <f t="shared" si="427"/>
        <v>0</v>
      </c>
      <c r="BC303" s="499"/>
      <c r="BD303" s="499">
        <v>53.35</v>
      </c>
      <c r="BE303" s="499">
        <v>26.299698185483873</v>
      </c>
      <c r="BF303" s="499">
        <v>20.255142137096776</v>
      </c>
      <c r="BG303" s="499">
        <v>25.933838127239021</v>
      </c>
      <c r="BI303" s="499">
        <f t="shared" ref="BI303:BJ303" si="467">AS306</f>
        <v>376</v>
      </c>
      <c r="BJ303" s="499">
        <f t="shared" si="467"/>
        <v>5.1074299999999999</v>
      </c>
      <c r="BK303" s="5">
        <f t="shared" si="400"/>
        <v>1</v>
      </c>
      <c r="BL303" s="499">
        <f t="shared" si="401"/>
        <v>32.011701000000002</v>
      </c>
      <c r="BM303" s="499">
        <f t="shared" si="402"/>
        <v>1278.288681</v>
      </c>
      <c r="BO303" s="499">
        <f t="shared" si="403"/>
        <v>376</v>
      </c>
      <c r="BP303" s="499">
        <f t="shared" si="404"/>
        <v>5.1074299999999999</v>
      </c>
      <c r="BQ303" s="5">
        <f t="shared" si="397"/>
        <v>1</v>
      </c>
      <c r="BR303" s="499">
        <f t="shared" si="405"/>
        <v>32.011701000000002</v>
      </c>
      <c r="BS303" s="499">
        <f t="shared" si="406"/>
        <v>1278.288681</v>
      </c>
      <c r="BU303" s="499">
        <f t="shared" si="407"/>
        <v>376</v>
      </c>
      <c r="BV303" s="499">
        <f t="shared" si="408"/>
        <v>5.1074299999999999</v>
      </c>
      <c r="BW303" s="5">
        <f t="shared" si="398"/>
        <v>1</v>
      </c>
      <c r="BX303" s="499">
        <f t="shared" si="409"/>
        <v>32.011701000000002</v>
      </c>
      <c r="BY303" s="499">
        <f t="shared" si="410"/>
        <v>1278.288681</v>
      </c>
      <c r="CA303">
        <v>376</v>
      </c>
      <c r="CB303">
        <v>5.1074299999999999</v>
      </c>
      <c r="CC303">
        <v>1</v>
      </c>
      <c r="CD303">
        <v>32.011701000000002</v>
      </c>
      <c r="CE303">
        <v>1278.288681</v>
      </c>
      <c r="CG303" s="499">
        <f t="shared" si="411"/>
        <v>1</v>
      </c>
      <c r="CH303" s="499">
        <f t="shared" si="412"/>
        <v>1</v>
      </c>
      <c r="CI303" s="499">
        <f t="shared" si="413"/>
        <v>1</v>
      </c>
      <c r="CJ303" s="499">
        <f t="shared" si="414"/>
        <v>1</v>
      </c>
      <c r="CP303" s="499"/>
      <c r="CQ303" s="65">
        <f t="shared" si="416"/>
        <v>0.97885602946664463</v>
      </c>
      <c r="CR303" s="499">
        <f t="shared" si="417"/>
        <v>0.97885602946664463</v>
      </c>
      <c r="CS303" s="499">
        <f t="shared" si="418"/>
        <v>0.97885602946664463</v>
      </c>
      <c r="CT303" s="38">
        <f t="shared" si="419"/>
        <v>1</v>
      </c>
      <c r="CU303" s="498">
        <f t="shared" si="420"/>
        <v>1</v>
      </c>
    </row>
    <row r="304" spans="43:99">
      <c r="AQ304" s="499"/>
      <c r="AR304" s="228">
        <v>24.407140999999999</v>
      </c>
      <c r="AS304" s="13">
        <v>87</v>
      </c>
      <c r="AT304" s="13">
        <v>5.0917349999999999</v>
      </c>
      <c r="AU304" s="13">
        <f t="shared" si="431"/>
        <v>1</v>
      </c>
      <c r="AV304" s="13">
        <f t="shared" si="422"/>
        <v>24.407140999999999</v>
      </c>
      <c r="AW304" s="13">
        <f t="shared" si="423"/>
        <v>24.407140999999999</v>
      </c>
      <c r="AX304" s="13">
        <f t="shared" si="424"/>
        <v>24.407140999999999</v>
      </c>
      <c r="AY304" s="13">
        <v>1000.094811</v>
      </c>
      <c r="AZ304" s="13">
        <f t="shared" si="425"/>
        <v>0</v>
      </c>
      <c r="BA304" s="13">
        <f t="shared" si="426"/>
        <v>0</v>
      </c>
      <c r="BB304" s="97">
        <f t="shared" si="427"/>
        <v>0</v>
      </c>
      <c r="BC304" s="499"/>
      <c r="BD304" s="499">
        <v>53.15</v>
      </c>
      <c r="BE304" s="499">
        <v>26.49628548387096</v>
      </c>
      <c r="BF304" s="499">
        <v>20.341155040322587</v>
      </c>
      <c r="BG304" s="499">
        <v>26.118617862944141</v>
      </c>
      <c r="BI304" s="499">
        <f t="shared" ref="BI304:BJ304" si="468">AS307</f>
        <v>134</v>
      </c>
      <c r="BJ304" s="499">
        <f t="shared" si="468"/>
        <v>5.1085770000000004</v>
      </c>
      <c r="BK304" s="5">
        <f t="shared" si="400"/>
        <v>0</v>
      </c>
      <c r="BL304" s="499">
        <f t="shared" si="401"/>
        <v>17.726417999999999</v>
      </c>
      <c r="BM304" s="499">
        <f t="shared" si="402"/>
        <v>1000.73619</v>
      </c>
      <c r="BO304" s="499">
        <f t="shared" si="403"/>
        <v>134</v>
      </c>
      <c r="BP304" s="499">
        <f t="shared" si="404"/>
        <v>5.1085770000000004</v>
      </c>
      <c r="BQ304" s="5">
        <f t="shared" si="397"/>
        <v>0</v>
      </c>
      <c r="BR304" s="499">
        <f t="shared" si="405"/>
        <v>17.726417999999999</v>
      </c>
      <c r="BS304" s="499">
        <f t="shared" si="406"/>
        <v>1000.73619</v>
      </c>
      <c r="BU304" s="499">
        <f t="shared" si="407"/>
        <v>134</v>
      </c>
      <c r="BV304" s="499">
        <f t="shared" si="408"/>
        <v>5.1085770000000004</v>
      </c>
      <c r="BW304" s="5">
        <f t="shared" si="398"/>
        <v>0</v>
      </c>
      <c r="BX304" s="499">
        <f t="shared" si="409"/>
        <v>17.726417999999999</v>
      </c>
      <c r="BY304" s="499">
        <f t="shared" si="410"/>
        <v>1000.73619</v>
      </c>
      <c r="CA304">
        <v>134</v>
      </c>
      <c r="CB304">
        <v>5.1085770000000004</v>
      </c>
      <c r="CC304">
        <v>0</v>
      </c>
      <c r="CD304">
        <v>17.726417999999999</v>
      </c>
      <c r="CE304">
        <v>1000.73619</v>
      </c>
      <c r="CG304" s="499">
        <f t="shared" si="411"/>
        <v>0</v>
      </c>
      <c r="CH304" s="499">
        <f t="shared" si="412"/>
        <v>0</v>
      </c>
      <c r="CI304" s="499">
        <f t="shared" si="413"/>
        <v>0</v>
      </c>
      <c r="CJ304" s="499">
        <f t="shared" si="414"/>
        <v>0</v>
      </c>
      <c r="CP304" s="499"/>
      <c r="CQ304" s="65">
        <f t="shared" si="416"/>
        <v>2.4113719801722675E-7</v>
      </c>
      <c r="CR304" s="499">
        <f t="shared" si="417"/>
        <v>2.4113719801722675E-7</v>
      </c>
      <c r="CS304" s="499">
        <f t="shared" si="418"/>
        <v>2.4113719801722675E-7</v>
      </c>
      <c r="CT304" s="38">
        <f t="shared" si="419"/>
        <v>1</v>
      </c>
      <c r="CU304" s="498">
        <f t="shared" si="420"/>
        <v>1</v>
      </c>
    </row>
    <row r="305" spans="43:99">
      <c r="AQ305" s="499"/>
      <c r="AR305" s="228">
        <v>18.10463</v>
      </c>
      <c r="AS305" s="13">
        <v>31</v>
      </c>
      <c r="AT305" s="13">
        <v>5.0950150000000001</v>
      </c>
      <c r="AU305" s="13">
        <f t="shared" si="431"/>
        <v>0</v>
      </c>
      <c r="AV305" s="13">
        <f t="shared" si="422"/>
        <v>18.10463</v>
      </c>
      <c r="AW305" s="13">
        <f t="shared" si="423"/>
        <v>18.10463</v>
      </c>
      <c r="AX305" s="13">
        <f t="shared" si="424"/>
        <v>18.10463</v>
      </c>
      <c r="AY305" s="13">
        <v>1002.306302</v>
      </c>
      <c r="AZ305" s="13">
        <f t="shared" si="425"/>
        <v>0</v>
      </c>
      <c r="BA305" s="13">
        <f t="shared" si="426"/>
        <v>0</v>
      </c>
      <c r="BB305" s="97">
        <f t="shared" si="427"/>
        <v>0</v>
      </c>
      <c r="BC305" s="499"/>
      <c r="BD305" s="499">
        <v>52.95</v>
      </c>
      <c r="BE305" s="499">
        <v>26.619403629032263</v>
      </c>
      <c r="BF305" s="499">
        <v>20.343084879032268</v>
      </c>
      <c r="BG305" s="499">
        <v>26.238270550700555</v>
      </c>
      <c r="BI305" s="499">
        <f t="shared" ref="BI305:BJ305" si="469">AS308</f>
        <v>54</v>
      </c>
      <c r="BJ305" s="499">
        <f t="shared" si="469"/>
        <v>5.1357949999999999</v>
      </c>
      <c r="BK305" s="5">
        <f t="shared" si="400"/>
        <v>0</v>
      </c>
      <c r="BL305" s="499">
        <f t="shared" si="401"/>
        <v>18.10463</v>
      </c>
      <c r="BM305" s="499">
        <f t="shared" si="402"/>
        <v>1001.733178</v>
      </c>
      <c r="BO305" s="499">
        <f t="shared" si="403"/>
        <v>54</v>
      </c>
      <c r="BP305" s="499">
        <f t="shared" si="404"/>
        <v>5.1357949999999999</v>
      </c>
      <c r="BQ305" s="5">
        <f t="shared" si="397"/>
        <v>0</v>
      </c>
      <c r="BR305" s="499">
        <f t="shared" si="405"/>
        <v>18.10463</v>
      </c>
      <c r="BS305" s="499">
        <f t="shared" si="406"/>
        <v>1001.733178</v>
      </c>
      <c r="BU305" s="499">
        <f t="shared" si="407"/>
        <v>54</v>
      </c>
      <c r="BV305" s="499">
        <f t="shared" si="408"/>
        <v>5.1357949999999999</v>
      </c>
      <c r="BW305" s="5">
        <f t="shared" si="398"/>
        <v>0</v>
      </c>
      <c r="BX305" s="499">
        <f t="shared" si="409"/>
        <v>18.10463</v>
      </c>
      <c r="BY305" s="499">
        <f t="shared" si="410"/>
        <v>1001.733178</v>
      </c>
      <c r="CA305">
        <v>54</v>
      </c>
      <c r="CB305">
        <v>5.1357949999999999</v>
      </c>
      <c r="CC305">
        <v>0</v>
      </c>
      <c r="CD305">
        <v>18.10463</v>
      </c>
      <c r="CE305">
        <v>1001.733178</v>
      </c>
      <c r="CG305" s="499">
        <f t="shared" si="411"/>
        <v>0</v>
      </c>
      <c r="CH305" s="499">
        <f t="shared" si="412"/>
        <v>0</v>
      </c>
      <c r="CI305" s="499">
        <f t="shared" si="413"/>
        <v>0</v>
      </c>
      <c r="CJ305" s="499">
        <f t="shared" si="414"/>
        <v>0</v>
      </c>
      <c r="CP305" s="499"/>
      <c r="CQ305" s="65">
        <f t="shared" si="416"/>
        <v>0.97885812719325305</v>
      </c>
      <c r="CR305" s="499">
        <f t="shared" si="417"/>
        <v>0.97885812719325305</v>
      </c>
      <c r="CS305" s="499">
        <f t="shared" si="418"/>
        <v>0.97885812719325305</v>
      </c>
      <c r="CT305" s="38">
        <f t="shared" si="419"/>
        <v>1</v>
      </c>
      <c r="CU305" s="498">
        <f t="shared" si="420"/>
        <v>1</v>
      </c>
    </row>
    <row r="306" spans="43:99">
      <c r="AQ306" s="499"/>
      <c r="AR306" s="228">
        <v>32.011701000000002</v>
      </c>
      <c r="AS306" s="13">
        <v>376</v>
      </c>
      <c r="AT306" s="13">
        <v>5.1074299999999999</v>
      </c>
      <c r="AU306" s="13">
        <f t="shared" si="431"/>
        <v>1</v>
      </c>
      <c r="AV306" s="13">
        <f t="shared" si="422"/>
        <v>32.011701000000002</v>
      </c>
      <c r="AW306" s="13">
        <f t="shared" si="423"/>
        <v>32.011701000000002</v>
      </c>
      <c r="AX306" s="13">
        <f t="shared" si="424"/>
        <v>32.011701000000002</v>
      </c>
      <c r="AY306" s="13">
        <v>1278.288681</v>
      </c>
      <c r="AZ306" s="13">
        <f t="shared" si="425"/>
        <v>0</v>
      </c>
      <c r="BA306" s="13">
        <f t="shared" si="426"/>
        <v>0</v>
      </c>
      <c r="BB306" s="97">
        <f t="shared" si="427"/>
        <v>0</v>
      </c>
      <c r="BC306" s="499"/>
      <c r="BD306" s="499">
        <v>52.75</v>
      </c>
      <c r="BE306" s="499">
        <v>26.700382862903222</v>
      </c>
      <c r="BF306" s="499">
        <v>20.389708669354839</v>
      </c>
      <c r="BG306" s="499">
        <v>26.327091920842491</v>
      </c>
      <c r="BI306" s="499">
        <f t="shared" ref="BI306:BJ306" si="470">AS309</f>
        <v>237</v>
      </c>
      <c r="BJ306" s="499">
        <f t="shared" si="470"/>
        <v>5.148218</v>
      </c>
      <c r="BK306" s="5">
        <f t="shared" si="400"/>
        <v>0</v>
      </c>
      <c r="BL306" s="499">
        <f t="shared" si="401"/>
        <v>19.790199999999999</v>
      </c>
      <c r="BM306" s="499">
        <f t="shared" si="402"/>
        <v>555.97514999999999</v>
      </c>
      <c r="BO306" s="499">
        <f t="shared" si="403"/>
        <v>237</v>
      </c>
      <c r="BP306" s="499">
        <f t="shared" si="404"/>
        <v>5.148218</v>
      </c>
      <c r="BQ306" s="5">
        <f t="shared" si="397"/>
        <v>0</v>
      </c>
      <c r="BR306" s="499">
        <f t="shared" si="405"/>
        <v>19.790199999999999</v>
      </c>
      <c r="BS306" s="499">
        <f t="shared" si="406"/>
        <v>555.97514999999999</v>
      </c>
      <c r="BU306" s="499">
        <f t="shared" si="407"/>
        <v>237</v>
      </c>
      <c r="BV306" s="499">
        <f t="shared" si="408"/>
        <v>5.148218</v>
      </c>
      <c r="BW306" s="5">
        <f t="shared" si="398"/>
        <v>0</v>
      </c>
      <c r="BX306" s="499">
        <f t="shared" si="409"/>
        <v>19.790199999999999</v>
      </c>
      <c r="BY306" s="499">
        <f t="shared" si="410"/>
        <v>555.97514999999999</v>
      </c>
      <c r="CA306">
        <v>237</v>
      </c>
      <c r="CB306">
        <v>5.148218</v>
      </c>
      <c r="CC306">
        <v>0</v>
      </c>
      <c r="CD306">
        <v>19.790199999999999</v>
      </c>
      <c r="CE306">
        <v>555.97514999999999</v>
      </c>
      <c r="CG306" s="499">
        <f t="shared" si="411"/>
        <v>0</v>
      </c>
      <c r="CH306" s="499">
        <f t="shared" si="412"/>
        <v>0</v>
      </c>
      <c r="CI306" s="499">
        <f t="shared" si="413"/>
        <v>0</v>
      </c>
      <c r="CJ306" s="499">
        <f t="shared" si="414"/>
        <v>0</v>
      </c>
      <c r="CP306" s="499"/>
      <c r="CQ306" s="65">
        <f t="shared" si="416"/>
        <v>0.97885602946664463</v>
      </c>
      <c r="CR306" s="499">
        <f t="shared" si="417"/>
        <v>0.97885602946664463</v>
      </c>
      <c r="CS306" s="499">
        <f t="shared" si="418"/>
        <v>0.97885602946664463</v>
      </c>
      <c r="CT306" s="38">
        <f t="shared" si="419"/>
        <v>1</v>
      </c>
      <c r="CU306" s="498">
        <f t="shared" si="420"/>
        <v>1</v>
      </c>
    </row>
    <row r="307" spans="43:99">
      <c r="AQ307" s="499"/>
      <c r="AR307" s="228">
        <v>17.726417999999999</v>
      </c>
      <c r="AS307" s="13">
        <v>134</v>
      </c>
      <c r="AT307" s="13">
        <v>5.1085770000000004</v>
      </c>
      <c r="AU307" s="13">
        <f t="shared" si="431"/>
        <v>0</v>
      </c>
      <c r="AV307" s="13">
        <f t="shared" si="422"/>
        <v>17.726417999999999</v>
      </c>
      <c r="AW307" s="13">
        <f t="shared" si="423"/>
        <v>17.726417999999999</v>
      </c>
      <c r="AX307" s="13">
        <f t="shared" si="424"/>
        <v>17.726417999999999</v>
      </c>
      <c r="AY307" s="13">
        <v>1000.73619</v>
      </c>
      <c r="AZ307" s="13">
        <f t="shared" si="425"/>
        <v>0</v>
      </c>
      <c r="BA307" s="13">
        <f t="shared" si="426"/>
        <v>0</v>
      </c>
      <c r="BB307" s="97">
        <f t="shared" si="427"/>
        <v>0</v>
      </c>
      <c r="BC307" s="499"/>
      <c r="BD307" s="499">
        <v>52.55</v>
      </c>
      <c r="BE307" s="499">
        <v>26.754695161290329</v>
      </c>
      <c r="BF307" s="499">
        <v>20.478357862903241</v>
      </c>
      <c r="BG307" s="499">
        <v>26.395115528891946</v>
      </c>
      <c r="BI307" s="499">
        <f t="shared" ref="BI307:BJ307" si="471">AS310</f>
        <v>468</v>
      </c>
      <c r="BJ307" s="499">
        <f t="shared" si="471"/>
        <v>5.170077</v>
      </c>
      <c r="BK307" s="5">
        <f t="shared" si="400"/>
        <v>0</v>
      </c>
      <c r="BL307" s="499">
        <f t="shared" si="401"/>
        <v>24.237175000000001</v>
      </c>
      <c r="BM307" s="499">
        <f t="shared" si="402"/>
        <v>590.48803899999996</v>
      </c>
      <c r="BO307" s="499">
        <f t="shared" si="403"/>
        <v>468</v>
      </c>
      <c r="BP307" s="499">
        <f t="shared" si="404"/>
        <v>5.170077</v>
      </c>
      <c r="BQ307" s="5">
        <f t="shared" si="397"/>
        <v>0</v>
      </c>
      <c r="BR307" s="499">
        <f t="shared" si="405"/>
        <v>24.237175000000001</v>
      </c>
      <c r="BS307" s="499">
        <f t="shared" si="406"/>
        <v>590.48803899999996</v>
      </c>
      <c r="BU307" s="499">
        <f t="shared" si="407"/>
        <v>468</v>
      </c>
      <c r="BV307" s="499">
        <f t="shared" si="408"/>
        <v>5.170077</v>
      </c>
      <c r="BW307" s="5">
        <f t="shared" si="398"/>
        <v>0</v>
      </c>
      <c r="BX307" s="499">
        <f t="shared" si="409"/>
        <v>24.237175000000001</v>
      </c>
      <c r="BY307" s="499">
        <f t="shared" si="410"/>
        <v>590.48803899999996</v>
      </c>
      <c r="CA307">
        <v>468</v>
      </c>
      <c r="CB307">
        <v>5.170077</v>
      </c>
      <c r="CC307">
        <v>0</v>
      </c>
      <c r="CD307">
        <v>24.237175000000001</v>
      </c>
      <c r="CE307">
        <v>590.48803899999996</v>
      </c>
      <c r="CG307" s="499">
        <f t="shared" si="411"/>
        <v>0</v>
      </c>
      <c r="CH307" s="499">
        <f t="shared" si="412"/>
        <v>0</v>
      </c>
      <c r="CI307" s="499">
        <f t="shared" si="413"/>
        <v>0</v>
      </c>
      <c r="CJ307" s="499">
        <f t="shared" si="414"/>
        <v>0</v>
      </c>
      <c r="CP307" s="499"/>
      <c r="CQ307" s="65">
        <f t="shared" si="416"/>
        <v>0.97874695054805438</v>
      </c>
      <c r="CR307" s="499">
        <f t="shared" si="417"/>
        <v>0.97874695054805438</v>
      </c>
      <c r="CS307" s="499">
        <f t="shared" si="418"/>
        <v>0.97874695054805438</v>
      </c>
      <c r="CT307" s="38">
        <f t="shared" si="419"/>
        <v>1</v>
      </c>
      <c r="CU307" s="498">
        <f t="shared" si="420"/>
        <v>1</v>
      </c>
    </row>
    <row r="308" spans="43:99">
      <c r="AQ308" s="499"/>
      <c r="AR308" s="228">
        <v>18.10463</v>
      </c>
      <c r="AS308" s="13">
        <v>54</v>
      </c>
      <c r="AT308" s="13">
        <v>5.1357949999999999</v>
      </c>
      <c r="AU308" s="13">
        <f t="shared" si="431"/>
        <v>0</v>
      </c>
      <c r="AV308" s="13">
        <f t="shared" si="422"/>
        <v>18.10463</v>
      </c>
      <c r="AW308" s="13">
        <f t="shared" si="423"/>
        <v>18.10463</v>
      </c>
      <c r="AX308" s="13">
        <f t="shared" si="424"/>
        <v>18.10463</v>
      </c>
      <c r="AY308" s="13">
        <v>1001.733178</v>
      </c>
      <c r="AZ308" s="13">
        <f t="shared" si="425"/>
        <v>0</v>
      </c>
      <c r="BA308" s="13">
        <f t="shared" si="426"/>
        <v>0</v>
      </c>
      <c r="BB308" s="97">
        <f t="shared" si="427"/>
        <v>0</v>
      </c>
      <c r="BC308" s="499"/>
      <c r="BD308" s="499">
        <v>52.35</v>
      </c>
      <c r="BE308" s="499">
        <v>26.821924798387098</v>
      </c>
      <c r="BF308" s="499">
        <v>20.569517741935485</v>
      </c>
      <c r="BG308" s="499">
        <v>26.474480197335161</v>
      </c>
      <c r="BI308" s="499">
        <f t="shared" ref="BI308:BJ308" si="472">AS311</f>
        <v>139</v>
      </c>
      <c r="BJ308" s="499">
        <f t="shared" si="472"/>
        <v>5.1777939999999996</v>
      </c>
      <c r="BK308" s="5">
        <f t="shared" si="400"/>
        <v>0</v>
      </c>
      <c r="BL308" s="499">
        <f t="shared" si="401"/>
        <v>21.454315999999999</v>
      </c>
      <c r="BM308" s="499">
        <f t="shared" si="402"/>
        <v>927.29477999999995</v>
      </c>
      <c r="BO308" s="499">
        <f t="shared" si="403"/>
        <v>139</v>
      </c>
      <c r="BP308" s="499">
        <f t="shared" si="404"/>
        <v>5.1777939999999996</v>
      </c>
      <c r="BQ308" s="5">
        <f t="shared" si="397"/>
        <v>0</v>
      </c>
      <c r="BR308" s="499">
        <f t="shared" si="405"/>
        <v>21.454315999999999</v>
      </c>
      <c r="BS308" s="499">
        <f t="shared" si="406"/>
        <v>927.29477999999995</v>
      </c>
      <c r="BU308" s="499">
        <f t="shared" si="407"/>
        <v>139</v>
      </c>
      <c r="BV308" s="499">
        <f t="shared" si="408"/>
        <v>5.1777939999999996</v>
      </c>
      <c r="BW308" s="5">
        <f t="shared" si="398"/>
        <v>0</v>
      </c>
      <c r="BX308" s="499">
        <f t="shared" si="409"/>
        <v>21.454315999999999</v>
      </c>
      <c r="BY308" s="499">
        <f t="shared" si="410"/>
        <v>927.29477999999995</v>
      </c>
      <c r="CA308">
        <v>139</v>
      </c>
      <c r="CB308">
        <v>5.1777939999999996</v>
      </c>
      <c r="CC308">
        <v>0</v>
      </c>
      <c r="CD308">
        <v>21.454315999999999</v>
      </c>
      <c r="CE308">
        <v>927.29477999999995</v>
      </c>
      <c r="CG308" s="499">
        <f t="shared" si="411"/>
        <v>0</v>
      </c>
      <c r="CH308" s="499">
        <f t="shared" si="412"/>
        <v>0</v>
      </c>
      <c r="CI308" s="499">
        <f t="shared" si="413"/>
        <v>0</v>
      </c>
      <c r="CJ308" s="499">
        <f t="shared" si="414"/>
        <v>0</v>
      </c>
      <c r="CP308" s="499"/>
      <c r="CQ308" s="65">
        <f t="shared" si="416"/>
        <v>0.54560486670960284</v>
      </c>
      <c r="CR308" s="499">
        <f t="shared" si="417"/>
        <v>0.54560486670960284</v>
      </c>
      <c r="CS308" s="499">
        <f t="shared" si="418"/>
        <v>0.54560486670960284</v>
      </c>
      <c r="CT308" s="38">
        <f t="shared" si="419"/>
        <v>1</v>
      </c>
      <c r="CU308" s="498">
        <f t="shared" si="420"/>
        <v>1</v>
      </c>
    </row>
    <row r="309" spans="43:99">
      <c r="AQ309" s="499"/>
      <c r="AR309" s="228">
        <v>19.790199999999999</v>
      </c>
      <c r="AS309" s="13">
        <v>237</v>
      </c>
      <c r="AT309" s="13">
        <v>5.148218</v>
      </c>
      <c r="AU309" s="13">
        <f t="shared" si="431"/>
        <v>0</v>
      </c>
      <c r="AV309" s="13">
        <f t="shared" si="422"/>
        <v>19.790199999999999</v>
      </c>
      <c r="AW309" s="13">
        <f t="shared" si="423"/>
        <v>19.790199999999999</v>
      </c>
      <c r="AX309" s="13">
        <f t="shared" si="424"/>
        <v>19.790199999999999</v>
      </c>
      <c r="AY309" s="13">
        <v>555.97514999999999</v>
      </c>
      <c r="AZ309" s="13">
        <f t="shared" si="425"/>
        <v>0</v>
      </c>
      <c r="BA309" s="13">
        <f t="shared" si="426"/>
        <v>0</v>
      </c>
      <c r="BB309" s="97">
        <f t="shared" si="427"/>
        <v>0</v>
      </c>
      <c r="BC309" s="499"/>
      <c r="BD309" s="499">
        <v>52.15</v>
      </c>
      <c r="BE309" s="499">
        <v>26.871639717741935</v>
      </c>
      <c r="BF309" s="499">
        <v>20.567894556451613</v>
      </c>
      <c r="BG309" s="499">
        <v>26.534819061556778</v>
      </c>
      <c r="BI309" s="499">
        <f t="shared" ref="BI309:BJ309" si="473">AS312</f>
        <v>45</v>
      </c>
      <c r="BJ309" s="499">
        <f t="shared" si="473"/>
        <v>5.2</v>
      </c>
      <c r="BK309" s="5">
        <f t="shared" si="400"/>
        <v>0</v>
      </c>
      <c r="BL309" s="499">
        <f t="shared" si="401"/>
        <v>23.00826</v>
      </c>
      <c r="BM309" s="499">
        <f t="shared" si="402"/>
        <v>999.58258499999999</v>
      </c>
      <c r="BO309" s="499">
        <f t="shared" si="403"/>
        <v>45</v>
      </c>
      <c r="BP309" s="499">
        <f t="shared" si="404"/>
        <v>5.2</v>
      </c>
      <c r="BQ309" s="5">
        <f t="shared" si="397"/>
        <v>0</v>
      </c>
      <c r="BR309" s="499">
        <f t="shared" si="405"/>
        <v>23.00826</v>
      </c>
      <c r="BS309" s="499">
        <f t="shared" si="406"/>
        <v>999.58258499999999</v>
      </c>
      <c r="BU309" s="499">
        <f t="shared" si="407"/>
        <v>45</v>
      </c>
      <c r="BV309" s="499">
        <f t="shared" si="408"/>
        <v>5.2</v>
      </c>
      <c r="BW309" s="5">
        <f t="shared" si="398"/>
        <v>0</v>
      </c>
      <c r="BX309" s="499">
        <f t="shared" si="409"/>
        <v>23.00826</v>
      </c>
      <c r="BY309" s="499">
        <f t="shared" si="410"/>
        <v>999.58258499999999</v>
      </c>
      <c r="CA309">
        <v>45</v>
      </c>
      <c r="CB309">
        <v>5.2</v>
      </c>
      <c r="CC309">
        <v>0</v>
      </c>
      <c r="CD309">
        <v>23.00826</v>
      </c>
      <c r="CE309">
        <v>999.58258499999999</v>
      </c>
      <c r="CG309" s="499">
        <f t="shared" si="411"/>
        <v>0</v>
      </c>
      <c r="CH309" s="499">
        <f t="shared" si="412"/>
        <v>0</v>
      </c>
      <c r="CI309" s="499">
        <f t="shared" si="413"/>
        <v>0</v>
      </c>
      <c r="CJ309" s="499">
        <f t="shared" si="414"/>
        <v>0</v>
      </c>
      <c r="CP309" s="499"/>
      <c r="CQ309" s="65">
        <f t="shared" si="416"/>
        <v>0.97578455852815038</v>
      </c>
      <c r="CR309" s="499">
        <f t="shared" si="417"/>
        <v>0.97578455852815038</v>
      </c>
      <c r="CS309" s="499">
        <f t="shared" si="418"/>
        <v>0.97578455852815038</v>
      </c>
      <c r="CT309" s="38">
        <f t="shared" si="419"/>
        <v>1</v>
      </c>
      <c r="CU309" s="498">
        <f t="shared" si="420"/>
        <v>1</v>
      </c>
    </row>
    <row r="310" spans="43:99">
      <c r="AQ310" s="499"/>
      <c r="AR310" s="228">
        <v>24.237175000000001</v>
      </c>
      <c r="AS310" s="13">
        <v>468</v>
      </c>
      <c r="AT310" s="13">
        <v>5.170077</v>
      </c>
      <c r="AU310" s="13">
        <f t="shared" si="431"/>
        <v>0</v>
      </c>
      <c r="AV310" s="13">
        <f t="shared" si="422"/>
        <v>24.237175000000001</v>
      </c>
      <c r="AW310" s="13">
        <f t="shared" si="423"/>
        <v>24.237175000000001</v>
      </c>
      <c r="AX310" s="13">
        <f t="shared" si="424"/>
        <v>24.237175000000001</v>
      </c>
      <c r="AY310" s="13">
        <v>590.48803899999996</v>
      </c>
      <c r="AZ310" s="13">
        <f t="shared" si="425"/>
        <v>0</v>
      </c>
      <c r="BA310" s="13">
        <f t="shared" si="426"/>
        <v>0</v>
      </c>
      <c r="BB310" s="97">
        <f t="shared" si="427"/>
        <v>0</v>
      </c>
      <c r="BC310" s="499"/>
      <c r="BD310" s="499">
        <v>51.95</v>
      </c>
      <c r="BE310" s="499">
        <v>26.935019959677415</v>
      </c>
      <c r="BF310" s="499">
        <v>20.562584072580645</v>
      </c>
      <c r="BG310" s="499">
        <v>26.599741868983507</v>
      </c>
      <c r="BI310" s="499">
        <f t="shared" ref="BI310:BJ310" si="474">AS313</f>
        <v>166</v>
      </c>
      <c r="BJ310" s="499">
        <f t="shared" si="474"/>
        <v>5.2246800000000002</v>
      </c>
      <c r="BK310" s="5">
        <f t="shared" si="400"/>
        <v>0</v>
      </c>
      <c r="BL310" s="499">
        <f t="shared" si="401"/>
        <v>23.517500999999999</v>
      </c>
      <c r="BM310" s="499">
        <f t="shared" si="402"/>
        <v>1001.205212</v>
      </c>
      <c r="BO310" s="499">
        <f t="shared" si="403"/>
        <v>166</v>
      </c>
      <c r="BP310" s="499">
        <f t="shared" si="404"/>
        <v>5.2246800000000002</v>
      </c>
      <c r="BQ310" s="5">
        <f t="shared" si="397"/>
        <v>0</v>
      </c>
      <c r="BR310" s="499">
        <f t="shared" si="405"/>
        <v>23.517500999999999</v>
      </c>
      <c r="BS310" s="499">
        <f t="shared" si="406"/>
        <v>1001.205212</v>
      </c>
      <c r="BU310" s="499">
        <f t="shared" si="407"/>
        <v>166</v>
      </c>
      <c r="BV310" s="499">
        <f t="shared" si="408"/>
        <v>5.2246800000000002</v>
      </c>
      <c r="BW310" s="5">
        <f t="shared" si="398"/>
        <v>0</v>
      </c>
      <c r="BX310" s="499">
        <f t="shared" si="409"/>
        <v>23.517500999999999</v>
      </c>
      <c r="BY310" s="499">
        <f t="shared" si="410"/>
        <v>1001.205212</v>
      </c>
      <c r="CA310">
        <v>166</v>
      </c>
      <c r="CB310">
        <v>5.2246800000000002</v>
      </c>
      <c r="CC310">
        <v>0</v>
      </c>
      <c r="CD310">
        <v>23.517500999999999</v>
      </c>
      <c r="CE310">
        <v>1001.205212</v>
      </c>
      <c r="CG310" s="499">
        <f t="shared" si="411"/>
        <v>0</v>
      </c>
      <c r="CH310" s="499">
        <f t="shared" si="412"/>
        <v>0</v>
      </c>
      <c r="CI310" s="499">
        <f t="shared" si="413"/>
        <v>0</v>
      </c>
      <c r="CJ310" s="499">
        <f t="shared" si="414"/>
        <v>0</v>
      </c>
      <c r="CP310" s="499"/>
      <c r="CQ310" s="65">
        <f t="shared" si="416"/>
        <v>0.91559742967530799</v>
      </c>
      <c r="CR310" s="499">
        <f t="shared" si="417"/>
        <v>0.91559742967530799</v>
      </c>
      <c r="CS310" s="499">
        <f t="shared" si="418"/>
        <v>0.91559742967530799</v>
      </c>
      <c r="CT310" s="38">
        <f t="shared" si="419"/>
        <v>1</v>
      </c>
      <c r="CU310" s="498">
        <f t="shared" si="420"/>
        <v>1</v>
      </c>
    </row>
    <row r="311" spans="43:99">
      <c r="AQ311" s="499"/>
      <c r="AR311" s="228">
        <v>21.454315999999999</v>
      </c>
      <c r="AS311" s="13">
        <v>139</v>
      </c>
      <c r="AT311" s="13">
        <v>5.1777939999999996</v>
      </c>
      <c r="AU311" s="13">
        <f t="shared" si="431"/>
        <v>0</v>
      </c>
      <c r="AV311" s="13">
        <f t="shared" si="422"/>
        <v>21.454315999999999</v>
      </c>
      <c r="AW311" s="13">
        <f t="shared" si="423"/>
        <v>21.454315999999999</v>
      </c>
      <c r="AX311" s="13">
        <f t="shared" si="424"/>
        <v>21.454315999999999</v>
      </c>
      <c r="AY311" s="13">
        <v>927.29477999999995</v>
      </c>
      <c r="AZ311" s="13">
        <f t="shared" si="425"/>
        <v>0</v>
      </c>
      <c r="BA311" s="13">
        <f t="shared" si="426"/>
        <v>0</v>
      </c>
      <c r="BB311" s="97">
        <f t="shared" si="427"/>
        <v>0</v>
      </c>
      <c r="BC311" s="499"/>
      <c r="BD311" s="499">
        <v>51.75</v>
      </c>
      <c r="BE311" s="499">
        <v>26.976247379032262</v>
      </c>
      <c r="BF311" s="499">
        <v>20.576488911290326</v>
      </c>
      <c r="BG311" s="499">
        <v>26.65416072800824</v>
      </c>
      <c r="BI311" s="499">
        <f t="shared" ref="BI311:BJ311" si="475">AS314</f>
        <v>208</v>
      </c>
      <c r="BJ311" s="499">
        <f t="shared" si="475"/>
        <v>5.2489299999999997</v>
      </c>
      <c r="BK311" s="5">
        <f t="shared" si="400"/>
        <v>0</v>
      </c>
      <c r="BL311" s="499">
        <f t="shared" si="401"/>
        <v>18.755400000000002</v>
      </c>
      <c r="BM311" s="499">
        <f t="shared" si="402"/>
        <v>1002.407493</v>
      </c>
      <c r="BO311" s="499">
        <f t="shared" si="403"/>
        <v>208</v>
      </c>
      <c r="BP311" s="499">
        <f t="shared" si="404"/>
        <v>5.2489299999999997</v>
      </c>
      <c r="BQ311" s="5">
        <f t="shared" si="397"/>
        <v>0</v>
      </c>
      <c r="BR311" s="499">
        <f t="shared" si="405"/>
        <v>18.755400000000002</v>
      </c>
      <c r="BS311" s="499">
        <f t="shared" si="406"/>
        <v>1002.407493</v>
      </c>
      <c r="BU311" s="499">
        <f t="shared" si="407"/>
        <v>208</v>
      </c>
      <c r="BV311" s="499">
        <f t="shared" si="408"/>
        <v>5.2489299999999997</v>
      </c>
      <c r="BW311" s="5">
        <f t="shared" si="398"/>
        <v>0</v>
      </c>
      <c r="BX311" s="499">
        <f t="shared" si="409"/>
        <v>18.755400000000002</v>
      </c>
      <c r="BY311" s="499">
        <f t="shared" si="410"/>
        <v>1002.407493</v>
      </c>
      <c r="CA311">
        <v>208</v>
      </c>
      <c r="CB311">
        <v>5.2489299999999997</v>
      </c>
      <c r="CC311">
        <v>0</v>
      </c>
      <c r="CD311">
        <v>18.755400000000002</v>
      </c>
      <c r="CE311">
        <v>1002.407493</v>
      </c>
      <c r="CG311" s="499">
        <f t="shared" si="411"/>
        <v>0</v>
      </c>
      <c r="CH311" s="499">
        <f t="shared" si="412"/>
        <v>0</v>
      </c>
      <c r="CI311" s="499">
        <f t="shared" si="413"/>
        <v>0</v>
      </c>
      <c r="CJ311" s="499">
        <f t="shared" si="414"/>
        <v>0</v>
      </c>
      <c r="CP311" s="499"/>
      <c r="CQ311" s="65">
        <f t="shared" si="416"/>
        <v>0.82253828109983784</v>
      </c>
      <c r="CR311" s="499">
        <f t="shared" si="417"/>
        <v>0.82253828109983784</v>
      </c>
      <c r="CS311" s="499">
        <f t="shared" si="418"/>
        <v>0.82253828109983784</v>
      </c>
      <c r="CT311" s="38">
        <f t="shared" si="419"/>
        <v>1</v>
      </c>
      <c r="CU311" s="498">
        <f t="shared" si="420"/>
        <v>1</v>
      </c>
    </row>
    <row r="312" spans="43:99">
      <c r="AQ312" s="499"/>
      <c r="AR312" s="228">
        <v>23.00826</v>
      </c>
      <c r="AS312" s="13">
        <v>45</v>
      </c>
      <c r="AT312" s="13">
        <v>5.2</v>
      </c>
      <c r="AU312" s="13">
        <f t="shared" si="431"/>
        <v>0</v>
      </c>
      <c r="AV312" s="13">
        <f t="shared" si="422"/>
        <v>23.00826</v>
      </c>
      <c r="AW312" s="13">
        <f t="shared" si="423"/>
        <v>23.00826</v>
      </c>
      <c r="AX312" s="13">
        <f t="shared" si="424"/>
        <v>23.00826</v>
      </c>
      <c r="AY312" s="13">
        <v>999.58258499999999</v>
      </c>
      <c r="AZ312" s="13">
        <f t="shared" si="425"/>
        <v>0</v>
      </c>
      <c r="BA312" s="13">
        <f t="shared" si="426"/>
        <v>0</v>
      </c>
      <c r="BB312" s="97">
        <f t="shared" si="427"/>
        <v>0</v>
      </c>
      <c r="BC312" s="499"/>
      <c r="BD312" s="499">
        <v>51.55</v>
      </c>
      <c r="BE312" s="499">
        <v>27.001066733870971</v>
      </c>
      <c r="BF312" s="499">
        <v>20.582704032258068</v>
      </c>
      <c r="BG312" s="499">
        <v>26.690773011913915</v>
      </c>
      <c r="BI312" s="499">
        <f t="shared" ref="BI312:BJ312" si="476">AS315</f>
        <v>417</v>
      </c>
      <c r="BJ312" s="499">
        <f t="shared" si="476"/>
        <v>5.2910909999999998</v>
      </c>
      <c r="BK312" s="5">
        <f t="shared" si="400"/>
        <v>0</v>
      </c>
      <c r="BL312" s="499">
        <f t="shared" si="401"/>
        <v>18.275617</v>
      </c>
      <c r="BM312" s="499">
        <f t="shared" si="402"/>
        <v>1000.174259</v>
      </c>
      <c r="BO312" s="499">
        <f t="shared" si="403"/>
        <v>417</v>
      </c>
      <c r="BP312" s="499">
        <f t="shared" si="404"/>
        <v>5.2910909999999998</v>
      </c>
      <c r="BQ312" s="5">
        <f t="shared" si="397"/>
        <v>0</v>
      </c>
      <c r="BR312" s="499">
        <f t="shared" si="405"/>
        <v>18.275617</v>
      </c>
      <c r="BS312" s="499">
        <f t="shared" si="406"/>
        <v>1000.174259</v>
      </c>
      <c r="BU312" s="499">
        <f t="shared" si="407"/>
        <v>417</v>
      </c>
      <c r="BV312" s="499">
        <f t="shared" si="408"/>
        <v>5.2910909999999998</v>
      </c>
      <c r="BW312" s="5">
        <f t="shared" si="398"/>
        <v>0</v>
      </c>
      <c r="BX312" s="499">
        <f t="shared" si="409"/>
        <v>18.275617</v>
      </c>
      <c r="BY312" s="499">
        <f t="shared" si="410"/>
        <v>1000.174259</v>
      </c>
      <c r="CA312">
        <v>417</v>
      </c>
      <c r="CB312">
        <v>5.2910909999999998</v>
      </c>
      <c r="CC312">
        <v>0</v>
      </c>
      <c r="CD312">
        <v>18.275617</v>
      </c>
      <c r="CE312">
        <v>1000.174259</v>
      </c>
      <c r="CG312" s="499">
        <f t="shared" si="411"/>
        <v>0</v>
      </c>
      <c r="CH312" s="499">
        <f t="shared" si="412"/>
        <v>0</v>
      </c>
      <c r="CI312" s="499">
        <f t="shared" si="413"/>
        <v>0</v>
      </c>
      <c r="CJ312" s="499">
        <f t="shared" si="414"/>
        <v>0</v>
      </c>
      <c r="CP312" s="499"/>
      <c r="CQ312" s="65">
        <f t="shared" si="416"/>
        <v>0.97884553262856699</v>
      </c>
      <c r="CR312" s="499">
        <f t="shared" si="417"/>
        <v>0.97884553262856699</v>
      </c>
      <c r="CS312" s="499">
        <f t="shared" si="418"/>
        <v>0.97884553262856699</v>
      </c>
      <c r="CT312" s="38">
        <f t="shared" si="419"/>
        <v>1</v>
      </c>
      <c r="CU312" s="498">
        <f t="shared" si="420"/>
        <v>1</v>
      </c>
    </row>
    <row r="313" spans="43:99">
      <c r="AQ313" s="499"/>
      <c r="AR313" s="228">
        <v>23.517500999999999</v>
      </c>
      <c r="AS313" s="13">
        <v>166</v>
      </c>
      <c r="AT313" s="13">
        <v>5.2246800000000002</v>
      </c>
      <c r="AU313" s="13">
        <f t="shared" si="431"/>
        <v>0</v>
      </c>
      <c r="AV313" s="13">
        <f t="shared" si="422"/>
        <v>23.517500999999999</v>
      </c>
      <c r="AW313" s="13">
        <f t="shared" si="423"/>
        <v>23.517500999999999</v>
      </c>
      <c r="AX313" s="13">
        <f t="shared" si="424"/>
        <v>23.517500999999999</v>
      </c>
      <c r="AY313" s="13">
        <v>1001.205212</v>
      </c>
      <c r="AZ313" s="13">
        <f t="shared" si="425"/>
        <v>0</v>
      </c>
      <c r="BA313" s="13">
        <f t="shared" si="426"/>
        <v>0</v>
      </c>
      <c r="BB313" s="97">
        <f t="shared" si="427"/>
        <v>0</v>
      </c>
      <c r="BC313" s="499"/>
      <c r="BD313" s="499">
        <v>51.35</v>
      </c>
      <c r="BE313" s="499">
        <v>26.99628185483871</v>
      </c>
      <c r="BF313" s="499">
        <v>20.635932459677417</v>
      </c>
      <c r="BG313" s="499">
        <v>26.697631015695976</v>
      </c>
      <c r="BI313" s="499">
        <f t="shared" ref="BI313:BJ313" si="477">AS316</f>
        <v>443</v>
      </c>
      <c r="BJ313" s="499">
        <f t="shared" si="477"/>
        <v>5.3222009999999997</v>
      </c>
      <c r="BK313" s="5">
        <f t="shared" si="400"/>
        <v>1</v>
      </c>
      <c r="BL313" s="499">
        <f t="shared" si="401"/>
        <v>28.477941000000001</v>
      </c>
      <c r="BM313" s="499">
        <f t="shared" si="402"/>
        <v>583.59952399999997</v>
      </c>
      <c r="BO313" s="499">
        <f t="shared" si="403"/>
        <v>443</v>
      </c>
      <c r="BP313" s="499">
        <f t="shared" si="404"/>
        <v>5.3222009999999997</v>
      </c>
      <c r="BQ313" s="5">
        <f t="shared" si="397"/>
        <v>1</v>
      </c>
      <c r="BR313" s="499">
        <f t="shared" si="405"/>
        <v>28.477941000000001</v>
      </c>
      <c r="BS313" s="499">
        <f t="shared" si="406"/>
        <v>583.59952399999997</v>
      </c>
      <c r="BU313" s="499">
        <f t="shared" si="407"/>
        <v>443</v>
      </c>
      <c r="BV313" s="499">
        <f t="shared" si="408"/>
        <v>5.3222009999999997</v>
      </c>
      <c r="BW313" s="5">
        <f t="shared" si="398"/>
        <v>1</v>
      </c>
      <c r="BX313" s="499">
        <f t="shared" si="409"/>
        <v>28.477941000000001</v>
      </c>
      <c r="BY313" s="499">
        <f t="shared" si="410"/>
        <v>583.59952399999997</v>
      </c>
      <c r="CA313">
        <v>443</v>
      </c>
      <c r="CB313">
        <v>5.3222009999999997</v>
      </c>
      <c r="CC313">
        <v>1</v>
      </c>
      <c r="CD313">
        <v>28.477941000000001</v>
      </c>
      <c r="CE313">
        <v>583.59952399999997</v>
      </c>
      <c r="CG313" s="499">
        <f t="shared" si="411"/>
        <v>1</v>
      </c>
      <c r="CH313" s="499">
        <f t="shared" si="412"/>
        <v>1</v>
      </c>
      <c r="CI313" s="499">
        <f t="shared" si="413"/>
        <v>1</v>
      </c>
      <c r="CJ313" s="499">
        <f t="shared" si="414"/>
        <v>1</v>
      </c>
      <c r="CP313" s="499"/>
      <c r="CQ313" s="65">
        <f t="shared" si="416"/>
        <v>0.97885442311397053</v>
      </c>
      <c r="CR313" s="499">
        <f t="shared" si="417"/>
        <v>0.97885442311397053</v>
      </c>
      <c r="CS313" s="499">
        <f t="shared" si="418"/>
        <v>0.97885442311397053</v>
      </c>
      <c r="CT313" s="38">
        <f t="shared" si="419"/>
        <v>1</v>
      </c>
      <c r="CU313" s="498">
        <f t="shared" si="420"/>
        <v>1</v>
      </c>
    </row>
    <row r="314" spans="43:99">
      <c r="AQ314" s="499"/>
      <c r="AR314" s="228">
        <v>18.755400000000002</v>
      </c>
      <c r="AS314" s="13">
        <v>208</v>
      </c>
      <c r="AT314" s="13">
        <v>5.2489299999999997</v>
      </c>
      <c r="AU314" s="13">
        <f t="shared" si="431"/>
        <v>0</v>
      </c>
      <c r="AV314" s="13">
        <f t="shared" si="422"/>
        <v>18.755400000000002</v>
      </c>
      <c r="AW314" s="13">
        <f t="shared" si="423"/>
        <v>18.755400000000002</v>
      </c>
      <c r="AX314" s="13">
        <f t="shared" si="424"/>
        <v>18.755400000000002</v>
      </c>
      <c r="AY314" s="13">
        <v>1002.407493</v>
      </c>
      <c r="AZ314" s="13">
        <f t="shared" si="425"/>
        <v>0</v>
      </c>
      <c r="BA314" s="13">
        <f t="shared" si="426"/>
        <v>0</v>
      </c>
      <c r="BB314" s="97">
        <f t="shared" si="427"/>
        <v>0</v>
      </c>
      <c r="BC314" s="499"/>
      <c r="BD314" s="499">
        <v>51.15</v>
      </c>
      <c r="BE314" s="499">
        <v>26.905194758064518</v>
      </c>
      <c r="BF314" s="499">
        <v>20.688596169354842</v>
      </c>
      <c r="BG314" s="499">
        <v>26.610339027825088</v>
      </c>
      <c r="BI314" s="499">
        <f t="shared" ref="BI314:BJ314" si="478">AS317</f>
        <v>164</v>
      </c>
      <c r="BJ314" s="499">
        <f t="shared" si="478"/>
        <v>5.3274119999999998</v>
      </c>
      <c r="BK314" s="5">
        <f t="shared" si="400"/>
        <v>0</v>
      </c>
      <c r="BL314" s="499">
        <f t="shared" si="401"/>
        <v>18.10463</v>
      </c>
      <c r="BM314" s="499">
        <f t="shared" si="402"/>
        <v>1001.014872</v>
      </c>
      <c r="BO314" s="499">
        <f t="shared" si="403"/>
        <v>164</v>
      </c>
      <c r="BP314" s="499">
        <f t="shared" si="404"/>
        <v>5.3274119999999998</v>
      </c>
      <c r="BQ314" s="5">
        <f t="shared" si="397"/>
        <v>0</v>
      </c>
      <c r="BR314" s="499">
        <f t="shared" si="405"/>
        <v>18.10463</v>
      </c>
      <c r="BS314" s="499">
        <f t="shared" si="406"/>
        <v>1001.014872</v>
      </c>
      <c r="BU314" s="499">
        <f t="shared" si="407"/>
        <v>164</v>
      </c>
      <c r="BV314" s="499">
        <f t="shared" si="408"/>
        <v>5.3274119999999998</v>
      </c>
      <c r="BW314" s="5">
        <f t="shared" si="398"/>
        <v>0</v>
      </c>
      <c r="BX314" s="499">
        <f t="shared" si="409"/>
        <v>18.10463</v>
      </c>
      <c r="BY314" s="499">
        <f t="shared" si="410"/>
        <v>1001.014872</v>
      </c>
      <c r="CA314">
        <v>164</v>
      </c>
      <c r="CB314">
        <v>5.3274119999999998</v>
      </c>
      <c r="CC314">
        <v>0</v>
      </c>
      <c r="CD314">
        <v>18.10463</v>
      </c>
      <c r="CE314">
        <v>1001.014872</v>
      </c>
      <c r="CG314" s="499">
        <f t="shared" si="411"/>
        <v>0</v>
      </c>
      <c r="CH314" s="499">
        <f t="shared" si="412"/>
        <v>0</v>
      </c>
      <c r="CI314" s="499">
        <f t="shared" si="413"/>
        <v>0</v>
      </c>
      <c r="CJ314" s="499">
        <f t="shared" si="414"/>
        <v>0</v>
      </c>
      <c r="CP314" s="499"/>
      <c r="CQ314" s="65">
        <f t="shared" si="416"/>
        <v>2.7002521431144594E-4</v>
      </c>
      <c r="CR314" s="499">
        <f t="shared" si="417"/>
        <v>2.7002521431144594E-4</v>
      </c>
      <c r="CS314" s="499">
        <f t="shared" si="418"/>
        <v>2.7002521431144594E-4</v>
      </c>
      <c r="CT314" s="38">
        <f t="shared" si="419"/>
        <v>1</v>
      </c>
      <c r="CU314" s="498">
        <f t="shared" si="420"/>
        <v>1</v>
      </c>
    </row>
    <row r="315" spans="43:99">
      <c r="AQ315" s="499"/>
      <c r="AR315" s="228">
        <v>18.275617</v>
      </c>
      <c r="AS315" s="13">
        <v>417</v>
      </c>
      <c r="AT315" s="13">
        <v>5.2910909999999998</v>
      </c>
      <c r="AU315" s="13">
        <f t="shared" si="431"/>
        <v>0</v>
      </c>
      <c r="AV315" s="13">
        <f t="shared" si="422"/>
        <v>18.275617</v>
      </c>
      <c r="AW315" s="13">
        <f t="shared" si="423"/>
        <v>18.275617</v>
      </c>
      <c r="AX315" s="13">
        <f t="shared" si="424"/>
        <v>18.275617</v>
      </c>
      <c r="AY315" s="13">
        <v>1000.174259</v>
      </c>
      <c r="AZ315" s="13">
        <f t="shared" si="425"/>
        <v>0</v>
      </c>
      <c r="BA315" s="13">
        <f t="shared" si="426"/>
        <v>0</v>
      </c>
      <c r="BB315" s="97">
        <f t="shared" si="427"/>
        <v>0</v>
      </c>
      <c r="BC315" s="499"/>
      <c r="BD315" s="499">
        <v>50.95</v>
      </c>
      <c r="BE315" s="499">
        <v>26.669572782258061</v>
      </c>
      <c r="BF315" s="499">
        <v>20.678152217741921</v>
      </c>
      <c r="BG315" s="499">
        <v>26.395530086891025</v>
      </c>
      <c r="BI315" s="499">
        <f t="shared" ref="BI315:BJ315" si="479">AS318</f>
        <v>350</v>
      </c>
      <c r="BJ315" s="499">
        <f t="shared" si="479"/>
        <v>5.3389290000000003</v>
      </c>
      <c r="BK315" s="5">
        <f t="shared" si="400"/>
        <v>0</v>
      </c>
      <c r="BL315" s="499">
        <f t="shared" si="401"/>
        <v>22.255262999999999</v>
      </c>
      <c r="BM315" s="499">
        <f t="shared" si="402"/>
        <v>1000.877802</v>
      </c>
      <c r="BO315" s="499">
        <f t="shared" si="403"/>
        <v>350</v>
      </c>
      <c r="BP315" s="499">
        <f t="shared" si="404"/>
        <v>5.3389290000000003</v>
      </c>
      <c r="BQ315" s="5">
        <f t="shared" si="397"/>
        <v>0</v>
      </c>
      <c r="BR315" s="499">
        <f t="shared" si="405"/>
        <v>22.255262999999999</v>
      </c>
      <c r="BS315" s="499">
        <f t="shared" si="406"/>
        <v>1000.877802</v>
      </c>
      <c r="BU315" s="499">
        <f t="shared" si="407"/>
        <v>350</v>
      </c>
      <c r="BV315" s="499">
        <f t="shared" si="408"/>
        <v>5.3389290000000003</v>
      </c>
      <c r="BW315" s="5">
        <f t="shared" si="398"/>
        <v>0</v>
      </c>
      <c r="BX315" s="499">
        <f t="shared" si="409"/>
        <v>22.255262999999999</v>
      </c>
      <c r="BY315" s="499">
        <f t="shared" si="410"/>
        <v>1000.877802</v>
      </c>
      <c r="CA315">
        <v>350</v>
      </c>
      <c r="CB315">
        <v>5.3389290000000003</v>
      </c>
      <c r="CC315">
        <v>0</v>
      </c>
      <c r="CD315">
        <v>22.255262999999999</v>
      </c>
      <c r="CE315">
        <v>1000.877802</v>
      </c>
      <c r="CG315" s="499">
        <f t="shared" si="411"/>
        <v>0</v>
      </c>
      <c r="CH315" s="499">
        <f t="shared" si="412"/>
        <v>0</v>
      </c>
      <c r="CI315" s="499">
        <f t="shared" si="413"/>
        <v>0</v>
      </c>
      <c r="CJ315" s="499">
        <f t="shared" si="414"/>
        <v>0</v>
      </c>
      <c r="CP315" s="499"/>
      <c r="CQ315" s="65">
        <f t="shared" si="416"/>
        <v>0.97885602946664463</v>
      </c>
      <c r="CR315" s="499">
        <f t="shared" si="417"/>
        <v>0.97885602946664463</v>
      </c>
      <c r="CS315" s="499">
        <f t="shared" si="418"/>
        <v>0.97885602946664463</v>
      </c>
      <c r="CT315" s="38">
        <f t="shared" si="419"/>
        <v>1</v>
      </c>
      <c r="CU315" s="498">
        <f t="shared" si="420"/>
        <v>1</v>
      </c>
    </row>
    <row r="316" spans="43:99">
      <c r="AQ316" s="499"/>
      <c r="AR316" s="228">
        <v>28.477941000000001</v>
      </c>
      <c r="AS316" s="13">
        <v>443</v>
      </c>
      <c r="AT316" s="13">
        <v>5.3222009999999997</v>
      </c>
      <c r="AU316" s="13">
        <f t="shared" si="431"/>
        <v>1</v>
      </c>
      <c r="AV316" s="13">
        <f t="shared" si="422"/>
        <v>28.477941000000001</v>
      </c>
      <c r="AW316" s="13">
        <f t="shared" si="423"/>
        <v>28.477941000000001</v>
      </c>
      <c r="AX316" s="13">
        <f t="shared" si="424"/>
        <v>28.477941000000001</v>
      </c>
      <c r="AY316" s="13">
        <v>583.59952399999997</v>
      </c>
      <c r="AZ316" s="13">
        <f t="shared" si="425"/>
        <v>0</v>
      </c>
      <c r="BA316" s="13">
        <f t="shared" si="426"/>
        <v>0</v>
      </c>
      <c r="BB316" s="97">
        <f t="shared" si="427"/>
        <v>0</v>
      </c>
      <c r="BC316" s="499"/>
      <c r="BD316" s="499">
        <v>50.75</v>
      </c>
      <c r="BE316" s="499">
        <v>26.682136895161285</v>
      </c>
      <c r="BF316" s="499">
        <v>20.657284274193557</v>
      </c>
      <c r="BG316" s="499">
        <v>26.40125649766026</v>
      </c>
      <c r="BI316" s="499">
        <f t="shared" ref="BI316:BJ316" si="480">AS319</f>
        <v>304</v>
      </c>
      <c r="BJ316" s="499">
        <f t="shared" si="480"/>
        <v>5.3652350000000002</v>
      </c>
      <c r="BK316" s="5">
        <f t="shared" si="400"/>
        <v>0</v>
      </c>
      <c r="BL316" s="499">
        <f t="shared" si="401"/>
        <v>21.51849</v>
      </c>
      <c r="BM316" s="499">
        <f t="shared" si="402"/>
        <v>1019.994973</v>
      </c>
      <c r="BO316" s="499">
        <f t="shared" si="403"/>
        <v>304</v>
      </c>
      <c r="BP316" s="499">
        <f t="shared" si="404"/>
        <v>5.3652350000000002</v>
      </c>
      <c r="BQ316" s="5">
        <f t="shared" si="397"/>
        <v>0</v>
      </c>
      <c r="BR316" s="499">
        <f t="shared" si="405"/>
        <v>21.51849</v>
      </c>
      <c r="BS316" s="499">
        <f t="shared" si="406"/>
        <v>1019.994973</v>
      </c>
      <c r="BU316" s="499">
        <f t="shared" si="407"/>
        <v>304</v>
      </c>
      <c r="BV316" s="499">
        <f t="shared" si="408"/>
        <v>5.3652350000000002</v>
      </c>
      <c r="BW316" s="5">
        <f t="shared" si="398"/>
        <v>0</v>
      </c>
      <c r="BX316" s="499">
        <f t="shared" si="409"/>
        <v>21.51849</v>
      </c>
      <c r="BY316" s="499">
        <f t="shared" si="410"/>
        <v>1019.994973</v>
      </c>
      <c r="CA316">
        <v>304</v>
      </c>
      <c r="CB316">
        <v>5.3652350000000002</v>
      </c>
      <c r="CC316">
        <v>0</v>
      </c>
      <c r="CD316">
        <v>21.51849</v>
      </c>
      <c r="CE316">
        <v>1019.994973</v>
      </c>
      <c r="CG316" s="499">
        <f t="shared" si="411"/>
        <v>0</v>
      </c>
      <c r="CH316" s="499">
        <f t="shared" si="412"/>
        <v>0</v>
      </c>
      <c r="CI316" s="499">
        <f t="shared" si="413"/>
        <v>0</v>
      </c>
      <c r="CJ316" s="499">
        <f t="shared" si="414"/>
        <v>0</v>
      </c>
      <c r="CP316" s="499"/>
      <c r="CQ316" s="65">
        <f t="shared" si="416"/>
        <v>0.96394111785859049</v>
      </c>
      <c r="CR316" s="499">
        <f t="shared" si="417"/>
        <v>0.96394111785859049</v>
      </c>
      <c r="CS316" s="499">
        <f t="shared" si="418"/>
        <v>0.96394111785859049</v>
      </c>
      <c r="CT316" s="38">
        <f t="shared" si="419"/>
        <v>1</v>
      </c>
      <c r="CU316" s="498">
        <f t="shared" si="420"/>
        <v>1</v>
      </c>
    </row>
    <row r="317" spans="43:99">
      <c r="AQ317" s="499"/>
      <c r="AR317" s="228">
        <v>18.10463</v>
      </c>
      <c r="AS317" s="13">
        <v>164</v>
      </c>
      <c r="AT317" s="13">
        <v>5.3274119999999998</v>
      </c>
      <c r="AU317" s="13">
        <f t="shared" si="431"/>
        <v>0</v>
      </c>
      <c r="AV317" s="13">
        <f t="shared" si="422"/>
        <v>18.10463</v>
      </c>
      <c r="AW317" s="13">
        <f t="shared" si="423"/>
        <v>18.10463</v>
      </c>
      <c r="AX317" s="13">
        <f t="shared" si="424"/>
        <v>18.10463</v>
      </c>
      <c r="AY317" s="13">
        <v>1001.014872</v>
      </c>
      <c r="AZ317" s="13">
        <f t="shared" si="425"/>
        <v>0</v>
      </c>
      <c r="BA317" s="13">
        <f t="shared" si="426"/>
        <v>0</v>
      </c>
      <c r="BB317" s="97">
        <f t="shared" si="427"/>
        <v>0</v>
      </c>
      <c r="BC317" s="499"/>
      <c r="BD317" s="499">
        <v>50.55</v>
      </c>
      <c r="BE317" s="499">
        <v>26.696323185483863</v>
      </c>
      <c r="BF317" s="499">
        <v>20.614363709677423</v>
      </c>
      <c r="BG317" s="499">
        <v>26.39075414845696</v>
      </c>
      <c r="BI317" s="499">
        <f t="shared" ref="BI317:BJ317" si="481">AS320</f>
        <v>197</v>
      </c>
      <c r="BJ317" s="499">
        <f t="shared" si="481"/>
        <v>5.3883070000000002</v>
      </c>
      <c r="BK317" s="5">
        <f t="shared" si="400"/>
        <v>1</v>
      </c>
      <c r="BL317" s="499">
        <f t="shared" si="401"/>
        <v>24.844049999999999</v>
      </c>
      <c r="BM317" s="499">
        <f t="shared" si="402"/>
        <v>853.611897</v>
      </c>
      <c r="BO317" s="499">
        <f t="shared" si="403"/>
        <v>197</v>
      </c>
      <c r="BP317" s="499">
        <f t="shared" si="404"/>
        <v>5.3883070000000002</v>
      </c>
      <c r="BQ317" s="5">
        <f t="shared" si="397"/>
        <v>1</v>
      </c>
      <c r="BR317" s="499">
        <f t="shared" si="405"/>
        <v>24.844049999999999</v>
      </c>
      <c r="BS317" s="499">
        <f t="shared" si="406"/>
        <v>853.611897</v>
      </c>
      <c r="BU317" s="499">
        <f t="shared" si="407"/>
        <v>197</v>
      </c>
      <c r="BV317" s="499">
        <f t="shared" si="408"/>
        <v>5.3883070000000002</v>
      </c>
      <c r="BW317" s="5">
        <f t="shared" si="398"/>
        <v>1</v>
      </c>
      <c r="BX317" s="499">
        <f t="shared" si="409"/>
        <v>24.844049999999999</v>
      </c>
      <c r="BY317" s="499">
        <f t="shared" si="410"/>
        <v>853.611897</v>
      </c>
      <c r="CA317">
        <v>197</v>
      </c>
      <c r="CB317">
        <v>5.3883070000000002</v>
      </c>
      <c r="CC317">
        <v>1</v>
      </c>
      <c r="CD317">
        <v>24.844049999999999</v>
      </c>
      <c r="CE317">
        <v>853.611897</v>
      </c>
      <c r="CG317" s="499">
        <f t="shared" si="411"/>
        <v>1</v>
      </c>
      <c r="CH317" s="499">
        <f t="shared" si="412"/>
        <v>1</v>
      </c>
      <c r="CI317" s="499">
        <f t="shared" si="413"/>
        <v>1</v>
      </c>
      <c r="CJ317" s="499">
        <f t="shared" si="414"/>
        <v>1</v>
      </c>
      <c r="CP317" s="499"/>
      <c r="CQ317" s="65">
        <f t="shared" si="416"/>
        <v>0.97536781456578381</v>
      </c>
      <c r="CR317" s="499">
        <f t="shared" si="417"/>
        <v>0.97536781456578381</v>
      </c>
      <c r="CS317" s="499">
        <f t="shared" si="418"/>
        <v>0.97536781456578381</v>
      </c>
      <c r="CT317" s="38">
        <f t="shared" si="419"/>
        <v>1</v>
      </c>
      <c r="CU317" s="498">
        <f t="shared" si="420"/>
        <v>1</v>
      </c>
    </row>
    <row r="318" spans="43:99">
      <c r="AQ318" s="499"/>
      <c r="AR318" s="228">
        <v>22.255262999999999</v>
      </c>
      <c r="AS318" s="13">
        <v>350</v>
      </c>
      <c r="AT318" s="13">
        <v>5.3389290000000003</v>
      </c>
      <c r="AU318" s="13">
        <f t="shared" si="431"/>
        <v>0</v>
      </c>
      <c r="AV318" s="13">
        <f t="shared" si="422"/>
        <v>22.255262999999999</v>
      </c>
      <c r="AW318" s="13">
        <f t="shared" si="423"/>
        <v>22.255262999999999</v>
      </c>
      <c r="AX318" s="13">
        <f t="shared" si="424"/>
        <v>22.255262999999999</v>
      </c>
      <c r="AY318" s="13">
        <v>1000.877802</v>
      </c>
      <c r="AZ318" s="13">
        <f t="shared" si="425"/>
        <v>0</v>
      </c>
      <c r="BA318" s="13">
        <f t="shared" si="426"/>
        <v>0</v>
      </c>
      <c r="BB318" s="97">
        <f t="shared" si="427"/>
        <v>0</v>
      </c>
      <c r="BC318" s="499"/>
      <c r="BD318" s="499">
        <v>50.35</v>
      </c>
      <c r="BE318" s="499">
        <v>26.727299596774206</v>
      </c>
      <c r="BF318" s="499">
        <v>20.562689717741936</v>
      </c>
      <c r="BG318" s="499">
        <v>26.405603439615387</v>
      </c>
      <c r="BI318" s="499">
        <f t="shared" ref="BI318:BJ318" si="482">AS321</f>
        <v>424</v>
      </c>
      <c r="BJ318" s="499">
        <f t="shared" si="482"/>
        <v>5.390631</v>
      </c>
      <c r="BK318" s="5">
        <f t="shared" si="400"/>
        <v>0</v>
      </c>
      <c r="BL318" s="499">
        <f t="shared" si="401"/>
        <v>19.040206999999999</v>
      </c>
      <c r="BM318" s="499">
        <f t="shared" si="402"/>
        <v>1001.321795</v>
      </c>
      <c r="BO318" s="499">
        <f t="shared" si="403"/>
        <v>424</v>
      </c>
      <c r="BP318" s="499">
        <f t="shared" si="404"/>
        <v>5.390631</v>
      </c>
      <c r="BQ318" s="5">
        <f t="shared" si="397"/>
        <v>0</v>
      </c>
      <c r="BR318" s="499">
        <f t="shared" si="405"/>
        <v>19.040206999999999</v>
      </c>
      <c r="BS318" s="499">
        <f t="shared" si="406"/>
        <v>1001.321795</v>
      </c>
      <c r="BU318" s="499">
        <f t="shared" si="407"/>
        <v>424</v>
      </c>
      <c r="BV318" s="499">
        <f t="shared" si="408"/>
        <v>5.390631</v>
      </c>
      <c r="BW318" s="5">
        <f t="shared" si="398"/>
        <v>0</v>
      </c>
      <c r="BX318" s="499">
        <f t="shared" si="409"/>
        <v>19.040206999999999</v>
      </c>
      <c r="BY318" s="499">
        <f t="shared" si="410"/>
        <v>1001.321795</v>
      </c>
      <c r="CA318">
        <v>424</v>
      </c>
      <c r="CB318">
        <v>5.390631</v>
      </c>
      <c r="CC318">
        <v>0</v>
      </c>
      <c r="CD318">
        <v>19.040206999999999</v>
      </c>
      <c r="CE318">
        <v>1001.321795</v>
      </c>
      <c r="CG318" s="499">
        <f t="shared" si="411"/>
        <v>0</v>
      </c>
      <c r="CH318" s="499">
        <f t="shared" si="412"/>
        <v>0</v>
      </c>
      <c r="CI318" s="499">
        <f t="shared" si="413"/>
        <v>0</v>
      </c>
      <c r="CJ318" s="499">
        <f t="shared" si="414"/>
        <v>0</v>
      </c>
      <c r="CP318" s="499"/>
      <c r="CQ318" s="65">
        <f t="shared" si="416"/>
        <v>0.26805157856004791</v>
      </c>
      <c r="CR318" s="499">
        <f t="shared" si="417"/>
        <v>0.26805157856004791</v>
      </c>
      <c r="CS318" s="499">
        <f t="shared" si="418"/>
        <v>0.26805157856004791</v>
      </c>
      <c r="CT318" s="38">
        <f t="shared" si="419"/>
        <v>1</v>
      </c>
      <c r="CU318" s="498">
        <f t="shared" si="420"/>
        <v>1</v>
      </c>
    </row>
    <row r="319" spans="43:99">
      <c r="AQ319" s="499"/>
      <c r="AR319" s="228">
        <v>21.51849</v>
      </c>
      <c r="AS319" s="13">
        <v>304</v>
      </c>
      <c r="AT319" s="13">
        <v>5.3652350000000002</v>
      </c>
      <c r="AU319" s="13">
        <f t="shared" si="431"/>
        <v>0</v>
      </c>
      <c r="AV319" s="13">
        <f t="shared" si="422"/>
        <v>21.51849</v>
      </c>
      <c r="AW319" s="13">
        <f t="shared" si="423"/>
        <v>21.51849</v>
      </c>
      <c r="AX319" s="13">
        <f t="shared" si="424"/>
        <v>21.51849</v>
      </c>
      <c r="AY319" s="13">
        <v>1019.994973</v>
      </c>
      <c r="AZ319" s="13">
        <f t="shared" si="425"/>
        <v>0</v>
      </c>
      <c r="BA319" s="13">
        <f t="shared" si="426"/>
        <v>0</v>
      </c>
      <c r="BB319" s="97">
        <f t="shared" si="427"/>
        <v>0</v>
      </c>
      <c r="BC319" s="499"/>
      <c r="BD319" s="499">
        <v>50.15</v>
      </c>
      <c r="BE319" s="499">
        <v>26.781083669354835</v>
      </c>
      <c r="BF319" s="499">
        <v>20.530116129032244</v>
      </c>
      <c r="BG319" s="499">
        <v>26.434479439803116</v>
      </c>
      <c r="BI319" s="499">
        <f t="shared" ref="BI319:BJ319" si="483">AS322</f>
        <v>251</v>
      </c>
      <c r="BJ319" s="499">
        <f t="shared" si="483"/>
        <v>5.4575740000000001</v>
      </c>
      <c r="BK319" s="5">
        <f t="shared" si="400"/>
        <v>0</v>
      </c>
      <c r="BL319" s="499">
        <f t="shared" si="401"/>
        <v>18.572163</v>
      </c>
      <c r="BM319" s="499">
        <f t="shared" si="402"/>
        <v>1079.5243009999999</v>
      </c>
      <c r="BO319" s="499">
        <f t="shared" si="403"/>
        <v>251</v>
      </c>
      <c r="BP319" s="499">
        <f t="shared" si="404"/>
        <v>5.4575740000000001</v>
      </c>
      <c r="BQ319" s="5">
        <f t="shared" si="397"/>
        <v>0</v>
      </c>
      <c r="BR319" s="499">
        <f t="shared" si="405"/>
        <v>18.572163</v>
      </c>
      <c r="BS319" s="499">
        <f t="shared" si="406"/>
        <v>1079.5243009999999</v>
      </c>
      <c r="BU319" s="499">
        <f t="shared" si="407"/>
        <v>251</v>
      </c>
      <c r="BV319" s="499">
        <f t="shared" si="408"/>
        <v>5.4575740000000001</v>
      </c>
      <c r="BW319" s="5">
        <f t="shared" si="398"/>
        <v>0</v>
      </c>
      <c r="BX319" s="499">
        <f t="shared" si="409"/>
        <v>18.572163</v>
      </c>
      <c r="BY319" s="499">
        <f t="shared" si="410"/>
        <v>1079.5243009999999</v>
      </c>
      <c r="CA319">
        <v>251</v>
      </c>
      <c r="CB319">
        <v>5.4575740000000001</v>
      </c>
      <c r="CC319">
        <v>0</v>
      </c>
      <c r="CD319">
        <v>18.572163</v>
      </c>
      <c r="CE319">
        <v>1079.5243009999999</v>
      </c>
      <c r="CG319" s="499">
        <f t="shared" si="411"/>
        <v>0</v>
      </c>
      <c r="CH319" s="499">
        <f t="shared" si="412"/>
        <v>0</v>
      </c>
      <c r="CI319" s="499">
        <f t="shared" si="413"/>
        <v>0</v>
      </c>
      <c r="CJ319" s="499">
        <f t="shared" si="414"/>
        <v>0</v>
      </c>
      <c r="CP319" s="499"/>
      <c r="CQ319" s="65">
        <f t="shared" si="416"/>
        <v>0.9788345233125133</v>
      </c>
      <c r="CR319" s="499">
        <f t="shared" si="417"/>
        <v>0.9788345233125133</v>
      </c>
      <c r="CS319" s="499">
        <f t="shared" si="418"/>
        <v>0.9788345233125133</v>
      </c>
      <c r="CT319" s="38">
        <f t="shared" si="419"/>
        <v>1</v>
      </c>
      <c r="CU319" s="498">
        <f t="shared" si="420"/>
        <v>1</v>
      </c>
    </row>
    <row r="320" spans="43:99">
      <c r="AQ320" s="499"/>
      <c r="AR320" s="228">
        <v>24.844049999999999</v>
      </c>
      <c r="AS320" s="13">
        <v>197</v>
      </c>
      <c r="AT320" s="13">
        <v>5.3883070000000002</v>
      </c>
      <c r="AU320" s="13">
        <f t="shared" si="431"/>
        <v>1</v>
      </c>
      <c r="AV320" s="13">
        <f t="shared" si="422"/>
        <v>24.844049999999999</v>
      </c>
      <c r="AW320" s="13">
        <f t="shared" si="423"/>
        <v>24.844049999999999</v>
      </c>
      <c r="AX320" s="13">
        <f t="shared" si="424"/>
        <v>24.844049999999999</v>
      </c>
      <c r="AY320" s="13">
        <v>853.611897</v>
      </c>
      <c r="AZ320" s="13">
        <f t="shared" si="425"/>
        <v>0</v>
      </c>
      <c r="BA320" s="13">
        <f t="shared" si="426"/>
        <v>0</v>
      </c>
      <c r="BB320" s="97">
        <f t="shared" si="427"/>
        <v>0</v>
      </c>
      <c r="BC320" s="499"/>
      <c r="BD320" s="499">
        <v>49.95</v>
      </c>
      <c r="BE320" s="499">
        <v>26.852830645161283</v>
      </c>
      <c r="BF320" s="499">
        <v>20.575236491935481</v>
      </c>
      <c r="BG320" s="499">
        <v>26.4460029916163</v>
      </c>
      <c r="BI320" s="499">
        <f t="shared" ref="BI320:BJ320" si="484">AS323</f>
        <v>266</v>
      </c>
      <c r="BJ320" s="499">
        <f t="shared" si="484"/>
        <v>5.4794010000000002</v>
      </c>
      <c r="BK320" s="5">
        <f t="shared" si="400"/>
        <v>1</v>
      </c>
      <c r="BL320" s="499">
        <f t="shared" si="401"/>
        <v>24.619980999999999</v>
      </c>
      <c r="BM320" s="499">
        <f t="shared" si="402"/>
        <v>999.73983499999997</v>
      </c>
      <c r="BO320" s="499">
        <f t="shared" si="403"/>
        <v>266</v>
      </c>
      <c r="BP320" s="499">
        <f t="shared" si="404"/>
        <v>5.4794010000000002</v>
      </c>
      <c r="BQ320" s="5">
        <f t="shared" si="397"/>
        <v>1</v>
      </c>
      <c r="BR320" s="499">
        <f t="shared" si="405"/>
        <v>24.619980999999999</v>
      </c>
      <c r="BS320" s="499">
        <f t="shared" si="406"/>
        <v>999.73983499999997</v>
      </c>
      <c r="BU320" s="499">
        <f t="shared" si="407"/>
        <v>266</v>
      </c>
      <c r="BV320" s="499">
        <f t="shared" si="408"/>
        <v>5.4794010000000002</v>
      </c>
      <c r="BW320" s="5">
        <f t="shared" si="398"/>
        <v>1</v>
      </c>
      <c r="BX320" s="499">
        <f t="shared" si="409"/>
        <v>24.619980999999999</v>
      </c>
      <c r="BY320" s="499">
        <f t="shared" si="410"/>
        <v>999.73983499999997</v>
      </c>
      <c r="CA320">
        <v>266</v>
      </c>
      <c r="CB320">
        <v>5.4794010000000002</v>
      </c>
      <c r="CC320">
        <v>1</v>
      </c>
      <c r="CD320">
        <v>24.619980999999999</v>
      </c>
      <c r="CE320">
        <v>999.73983499999997</v>
      </c>
      <c r="CG320" s="499">
        <f t="shared" si="411"/>
        <v>1</v>
      </c>
      <c r="CH320" s="499">
        <f t="shared" si="412"/>
        <v>1</v>
      </c>
      <c r="CI320" s="499">
        <f t="shared" si="413"/>
        <v>1</v>
      </c>
      <c r="CJ320" s="499">
        <f t="shared" si="414"/>
        <v>1</v>
      </c>
      <c r="CP320" s="499"/>
      <c r="CQ320" s="65">
        <f t="shared" si="416"/>
        <v>0.97884994742070874</v>
      </c>
      <c r="CR320" s="499">
        <f t="shared" si="417"/>
        <v>0.97884994742070874</v>
      </c>
      <c r="CS320" s="499">
        <f t="shared" si="418"/>
        <v>0.97884994742070874</v>
      </c>
      <c r="CT320" s="38">
        <f t="shared" si="419"/>
        <v>1</v>
      </c>
      <c r="CU320" s="498">
        <f t="shared" si="420"/>
        <v>1</v>
      </c>
    </row>
    <row r="321" spans="43:99">
      <c r="AQ321" s="499"/>
      <c r="AR321" s="228">
        <v>19.040206999999999</v>
      </c>
      <c r="AS321" s="13">
        <v>424</v>
      </c>
      <c r="AT321" s="13">
        <v>5.390631</v>
      </c>
      <c r="AU321" s="13">
        <f t="shared" si="431"/>
        <v>0</v>
      </c>
      <c r="AV321" s="13">
        <f t="shared" si="422"/>
        <v>19.040206999999999</v>
      </c>
      <c r="AW321" s="13">
        <f t="shared" si="423"/>
        <v>19.040206999999999</v>
      </c>
      <c r="AX321" s="13">
        <f t="shared" si="424"/>
        <v>19.040206999999999</v>
      </c>
      <c r="AY321" s="13">
        <v>1001.321795</v>
      </c>
      <c r="AZ321" s="13">
        <f t="shared" si="425"/>
        <v>0</v>
      </c>
      <c r="BA321" s="13">
        <f t="shared" si="426"/>
        <v>0</v>
      </c>
      <c r="BB321" s="97">
        <f t="shared" si="427"/>
        <v>0</v>
      </c>
      <c r="BC321" s="499"/>
      <c r="BD321" s="499">
        <v>49.75</v>
      </c>
      <c r="BE321" s="499">
        <v>26.927094153225809</v>
      </c>
      <c r="BF321" s="499">
        <v>20.56311975806452</v>
      </c>
      <c r="BG321" s="499">
        <v>26.377140535302193</v>
      </c>
      <c r="BI321" s="499">
        <f t="shared" ref="BI321:BJ321" si="485">AS324</f>
        <v>411</v>
      </c>
      <c r="BJ321" s="499">
        <f t="shared" si="485"/>
        <v>5.5</v>
      </c>
      <c r="BK321" s="5">
        <f t="shared" si="400"/>
        <v>0</v>
      </c>
      <c r="BL321" s="499">
        <f t="shared" si="401"/>
        <v>23.622644999999999</v>
      </c>
      <c r="BM321" s="499">
        <f t="shared" si="402"/>
        <v>1000.032631</v>
      </c>
      <c r="BO321" s="499">
        <f t="shared" si="403"/>
        <v>411</v>
      </c>
      <c r="BP321" s="499">
        <f t="shared" si="404"/>
        <v>5.5</v>
      </c>
      <c r="BQ321" s="5">
        <f t="shared" si="397"/>
        <v>0</v>
      </c>
      <c r="BR321" s="499">
        <f t="shared" si="405"/>
        <v>23.622644999999999</v>
      </c>
      <c r="BS321" s="499">
        <f t="shared" si="406"/>
        <v>1000.032631</v>
      </c>
      <c r="BU321" s="499">
        <f t="shared" si="407"/>
        <v>411</v>
      </c>
      <c r="BV321" s="499">
        <f t="shared" si="408"/>
        <v>5.5</v>
      </c>
      <c r="BW321" s="5">
        <f t="shared" si="398"/>
        <v>0</v>
      </c>
      <c r="BX321" s="499">
        <f t="shared" si="409"/>
        <v>23.622644999999999</v>
      </c>
      <c r="BY321" s="499">
        <f t="shared" si="410"/>
        <v>1000.032631</v>
      </c>
      <c r="CA321">
        <v>411</v>
      </c>
      <c r="CB321">
        <v>5.5</v>
      </c>
      <c r="CC321">
        <v>0</v>
      </c>
      <c r="CD321">
        <v>23.622644999999999</v>
      </c>
      <c r="CE321">
        <v>1000.032631</v>
      </c>
      <c r="CG321" s="499">
        <f t="shared" si="411"/>
        <v>0</v>
      </c>
      <c r="CH321" s="499">
        <f t="shared" si="412"/>
        <v>0</v>
      </c>
      <c r="CI321" s="499">
        <f t="shared" si="413"/>
        <v>0</v>
      </c>
      <c r="CJ321" s="499">
        <f t="shared" si="414"/>
        <v>0</v>
      </c>
      <c r="CP321" s="499"/>
      <c r="CQ321" s="65">
        <f t="shared" si="416"/>
        <v>0.36267871767726745</v>
      </c>
      <c r="CR321" s="499">
        <f t="shared" si="417"/>
        <v>0.36267871767726745</v>
      </c>
      <c r="CS321" s="499">
        <f t="shared" si="418"/>
        <v>0.36267871767726745</v>
      </c>
      <c r="CT321" s="38">
        <f t="shared" si="419"/>
        <v>1</v>
      </c>
      <c r="CU321" s="498">
        <f t="shared" si="420"/>
        <v>1</v>
      </c>
    </row>
    <row r="322" spans="43:99">
      <c r="AQ322" s="499"/>
      <c r="AR322" s="228">
        <v>18.572163</v>
      </c>
      <c r="AS322" s="13">
        <v>251</v>
      </c>
      <c r="AT322" s="13">
        <v>5.4575740000000001</v>
      </c>
      <c r="AU322" s="13">
        <f t="shared" si="431"/>
        <v>0</v>
      </c>
      <c r="AV322" s="13">
        <f t="shared" si="422"/>
        <v>18.572163</v>
      </c>
      <c r="AW322" s="13">
        <f t="shared" si="423"/>
        <v>18.572163</v>
      </c>
      <c r="AX322" s="13">
        <f t="shared" si="424"/>
        <v>18.572163</v>
      </c>
      <c r="AY322" s="13">
        <v>1079.5243009999999</v>
      </c>
      <c r="AZ322" s="13">
        <f t="shared" si="425"/>
        <v>0</v>
      </c>
      <c r="BA322" s="13">
        <f t="shared" si="426"/>
        <v>0</v>
      </c>
      <c r="BB322" s="97">
        <f t="shared" si="427"/>
        <v>0</v>
      </c>
      <c r="BC322" s="499"/>
      <c r="BD322" s="499">
        <v>49.55</v>
      </c>
      <c r="BE322" s="499">
        <v>26.980413306451613</v>
      </c>
      <c r="BF322" s="499">
        <v>20.570448991935493</v>
      </c>
      <c r="BG322" s="499">
        <v>26.369845904578753</v>
      </c>
      <c r="BI322" s="499">
        <f t="shared" ref="BI322:BJ322" si="486">AS325</f>
        <v>418</v>
      </c>
      <c r="BJ322" s="499">
        <f t="shared" si="486"/>
        <v>5.538106</v>
      </c>
      <c r="BK322" s="5">
        <f t="shared" si="400"/>
        <v>0</v>
      </c>
      <c r="BL322" s="499">
        <f t="shared" si="401"/>
        <v>19.297452</v>
      </c>
      <c r="BM322" s="499">
        <f t="shared" si="402"/>
        <v>1000.816812</v>
      </c>
      <c r="BO322" s="499">
        <f t="shared" si="403"/>
        <v>418</v>
      </c>
      <c r="BP322" s="499">
        <f t="shared" si="404"/>
        <v>5.538106</v>
      </c>
      <c r="BQ322" s="5">
        <f t="shared" si="397"/>
        <v>0</v>
      </c>
      <c r="BR322" s="499">
        <f t="shared" si="405"/>
        <v>19.297452</v>
      </c>
      <c r="BS322" s="499">
        <f t="shared" si="406"/>
        <v>1000.816812</v>
      </c>
      <c r="BU322" s="499">
        <f t="shared" si="407"/>
        <v>418</v>
      </c>
      <c r="BV322" s="499">
        <f t="shared" si="408"/>
        <v>5.538106</v>
      </c>
      <c r="BW322" s="5">
        <f t="shared" si="398"/>
        <v>0</v>
      </c>
      <c r="BX322" s="499">
        <f t="shared" si="409"/>
        <v>19.297452</v>
      </c>
      <c r="BY322" s="499">
        <f t="shared" si="410"/>
        <v>1000.816812</v>
      </c>
      <c r="CA322">
        <v>418</v>
      </c>
      <c r="CB322">
        <v>5.538106</v>
      </c>
      <c r="CC322">
        <v>0</v>
      </c>
      <c r="CD322">
        <v>19.297452</v>
      </c>
      <c r="CE322">
        <v>1000.816812</v>
      </c>
      <c r="CG322" s="499">
        <f t="shared" si="411"/>
        <v>0</v>
      </c>
      <c r="CH322" s="499">
        <f t="shared" si="412"/>
        <v>0</v>
      </c>
      <c r="CI322" s="499">
        <f t="shared" si="413"/>
        <v>0</v>
      </c>
      <c r="CJ322" s="499">
        <f t="shared" si="414"/>
        <v>0</v>
      </c>
      <c r="CP322" s="499"/>
      <c r="CQ322" s="65">
        <f t="shared" si="416"/>
        <v>0.79311141444347999</v>
      </c>
      <c r="CR322" s="499">
        <f t="shared" si="417"/>
        <v>0.79311141444347999</v>
      </c>
      <c r="CS322" s="499">
        <f t="shared" si="418"/>
        <v>0.79311141444347999</v>
      </c>
      <c r="CT322" s="38">
        <f t="shared" si="419"/>
        <v>1</v>
      </c>
      <c r="CU322" s="498">
        <f t="shared" si="420"/>
        <v>1</v>
      </c>
    </row>
    <row r="323" spans="43:99">
      <c r="AQ323" s="499"/>
      <c r="AR323" s="228">
        <v>24.619980999999999</v>
      </c>
      <c r="AS323" s="13">
        <v>266</v>
      </c>
      <c r="AT323" s="13">
        <v>5.4794010000000002</v>
      </c>
      <c r="AU323" s="13">
        <f t="shared" si="431"/>
        <v>1</v>
      </c>
      <c r="AV323" s="13">
        <f t="shared" si="422"/>
        <v>24.619980999999999</v>
      </c>
      <c r="AW323" s="13">
        <f t="shared" si="423"/>
        <v>24.619980999999999</v>
      </c>
      <c r="AX323" s="13">
        <f t="shared" si="424"/>
        <v>24.619980999999999</v>
      </c>
      <c r="AY323" s="13">
        <v>999.73983499999997</v>
      </c>
      <c r="AZ323" s="13">
        <f t="shared" si="425"/>
        <v>0</v>
      </c>
      <c r="BA323" s="13">
        <f t="shared" si="426"/>
        <v>0</v>
      </c>
      <c r="BB323" s="97">
        <f t="shared" si="427"/>
        <v>0</v>
      </c>
      <c r="BC323" s="499"/>
      <c r="BD323" s="499">
        <v>49.35</v>
      </c>
      <c r="BE323" s="499">
        <v>27.025288709677419</v>
      </c>
      <c r="BF323" s="499">
        <v>20.594128629032266</v>
      </c>
      <c r="BG323" s="499">
        <v>26.426328780851648</v>
      </c>
      <c r="BI323" s="499">
        <f t="shared" ref="BI323:BJ323" si="487">AS326</f>
        <v>403</v>
      </c>
      <c r="BJ323" s="499">
        <f t="shared" si="487"/>
        <v>5.5436199999999998</v>
      </c>
      <c r="BK323" s="5">
        <f t="shared" si="400"/>
        <v>0</v>
      </c>
      <c r="BL323" s="499">
        <f t="shared" si="401"/>
        <v>18.478860999999998</v>
      </c>
      <c r="BM323" s="499">
        <f t="shared" si="402"/>
        <v>1001.340763</v>
      </c>
      <c r="BO323" s="499">
        <f t="shared" si="403"/>
        <v>403</v>
      </c>
      <c r="BP323" s="499">
        <f t="shared" si="404"/>
        <v>5.5436199999999998</v>
      </c>
      <c r="BQ323" s="5">
        <f t="shared" si="397"/>
        <v>0</v>
      </c>
      <c r="BR323" s="499">
        <f t="shared" si="405"/>
        <v>18.478860999999998</v>
      </c>
      <c r="BS323" s="499">
        <f t="shared" si="406"/>
        <v>1001.340763</v>
      </c>
      <c r="BU323" s="499">
        <f t="shared" si="407"/>
        <v>403</v>
      </c>
      <c r="BV323" s="499">
        <f t="shared" si="408"/>
        <v>5.5436199999999998</v>
      </c>
      <c r="BW323" s="5">
        <f t="shared" si="398"/>
        <v>0</v>
      </c>
      <c r="BX323" s="499">
        <f t="shared" si="409"/>
        <v>18.478860999999998</v>
      </c>
      <c r="BY323" s="499">
        <f t="shared" si="410"/>
        <v>1001.340763</v>
      </c>
      <c r="CA323">
        <v>403</v>
      </c>
      <c r="CB323">
        <v>5.5436199999999998</v>
      </c>
      <c r="CC323">
        <v>0</v>
      </c>
      <c r="CD323">
        <v>18.478860999999998</v>
      </c>
      <c r="CE323">
        <v>1001.340763</v>
      </c>
      <c r="CG323" s="499">
        <f t="shared" si="411"/>
        <v>0</v>
      </c>
      <c r="CH323" s="499">
        <f t="shared" si="412"/>
        <v>0</v>
      </c>
      <c r="CI323" s="499">
        <f t="shared" si="413"/>
        <v>0</v>
      </c>
      <c r="CJ323" s="499">
        <f t="shared" si="414"/>
        <v>0</v>
      </c>
      <c r="CP323" s="499"/>
      <c r="CQ323" s="65">
        <f t="shared" si="416"/>
        <v>0.97881752723341475</v>
      </c>
      <c r="CR323" s="499">
        <f t="shared" si="417"/>
        <v>0.97881752723341475</v>
      </c>
      <c r="CS323" s="499">
        <f t="shared" si="418"/>
        <v>0.97881752723341475</v>
      </c>
      <c r="CT323" s="38">
        <f t="shared" si="419"/>
        <v>1</v>
      </c>
      <c r="CU323" s="498">
        <f t="shared" si="420"/>
        <v>1</v>
      </c>
    </row>
    <row r="324" spans="43:99">
      <c r="AQ324" s="499"/>
      <c r="AR324" s="228">
        <v>23.622644999999999</v>
      </c>
      <c r="AS324" s="13">
        <v>411</v>
      </c>
      <c r="AT324" s="13">
        <v>5.5</v>
      </c>
      <c r="AU324" s="13">
        <f t="shared" si="431"/>
        <v>0</v>
      </c>
      <c r="AV324" s="13">
        <f t="shared" si="422"/>
        <v>23.622644999999999</v>
      </c>
      <c r="AW324" s="13">
        <f t="shared" si="423"/>
        <v>23.622644999999999</v>
      </c>
      <c r="AX324" s="13">
        <f t="shared" si="424"/>
        <v>23.622644999999999</v>
      </c>
      <c r="AY324" s="13">
        <v>1000.032631</v>
      </c>
      <c r="AZ324" s="13">
        <f t="shared" si="425"/>
        <v>0</v>
      </c>
      <c r="BA324" s="13">
        <f t="shared" si="426"/>
        <v>0</v>
      </c>
      <c r="BB324" s="97">
        <f t="shared" si="427"/>
        <v>0</v>
      </c>
      <c r="BC324" s="499"/>
      <c r="BD324" s="499">
        <v>49.15</v>
      </c>
      <c r="BE324" s="499">
        <v>27.055326008064515</v>
      </c>
      <c r="BF324" s="499">
        <v>20.612335483870968</v>
      </c>
      <c r="BG324" s="499">
        <v>26.476116908685906</v>
      </c>
      <c r="BI324" s="499">
        <f t="shared" ref="BI324:BJ324" si="488">AS327</f>
        <v>347</v>
      </c>
      <c r="BJ324" s="499">
        <f t="shared" si="488"/>
        <v>5.55504</v>
      </c>
      <c r="BK324" s="5">
        <f t="shared" si="400"/>
        <v>0</v>
      </c>
      <c r="BL324" s="499">
        <f t="shared" si="401"/>
        <v>18.929959</v>
      </c>
      <c r="BM324" s="499">
        <f t="shared" si="402"/>
        <v>1001.265976</v>
      </c>
      <c r="BO324" s="499">
        <f t="shared" si="403"/>
        <v>347</v>
      </c>
      <c r="BP324" s="499">
        <f t="shared" si="404"/>
        <v>5.55504</v>
      </c>
      <c r="BQ324" s="5">
        <f t="shared" si="397"/>
        <v>0</v>
      </c>
      <c r="BR324" s="499">
        <f t="shared" si="405"/>
        <v>18.929959</v>
      </c>
      <c r="BS324" s="499">
        <f t="shared" si="406"/>
        <v>1001.265976</v>
      </c>
      <c r="BU324" s="499">
        <f t="shared" si="407"/>
        <v>347</v>
      </c>
      <c r="BV324" s="499">
        <f t="shared" si="408"/>
        <v>5.55504</v>
      </c>
      <c r="BW324" s="5">
        <f t="shared" si="398"/>
        <v>0</v>
      </c>
      <c r="BX324" s="499">
        <f t="shared" si="409"/>
        <v>18.929959</v>
      </c>
      <c r="BY324" s="499">
        <f t="shared" si="410"/>
        <v>1001.265976</v>
      </c>
      <c r="CA324">
        <v>347</v>
      </c>
      <c r="CB324">
        <v>5.55504</v>
      </c>
      <c r="CC324">
        <v>0</v>
      </c>
      <c r="CD324">
        <v>18.929959</v>
      </c>
      <c r="CE324">
        <v>1001.265976</v>
      </c>
      <c r="CG324" s="499">
        <f t="shared" si="411"/>
        <v>0</v>
      </c>
      <c r="CH324" s="499">
        <f t="shared" si="412"/>
        <v>0</v>
      </c>
      <c r="CI324" s="499">
        <f t="shared" si="413"/>
        <v>0</v>
      </c>
      <c r="CJ324" s="499">
        <f t="shared" si="414"/>
        <v>0</v>
      </c>
      <c r="CP324" s="499"/>
      <c r="CQ324" s="65">
        <f t="shared" si="416"/>
        <v>0.97885164842205497</v>
      </c>
      <c r="CR324" s="499">
        <f t="shared" si="417"/>
        <v>0.97885164842205497</v>
      </c>
      <c r="CS324" s="499">
        <f t="shared" si="418"/>
        <v>0.97885164842205497</v>
      </c>
      <c r="CT324" s="38">
        <f t="shared" si="419"/>
        <v>1</v>
      </c>
      <c r="CU324" s="498">
        <f t="shared" si="420"/>
        <v>1</v>
      </c>
    </row>
    <row r="325" spans="43:99">
      <c r="AQ325" s="499"/>
      <c r="AR325" s="228">
        <v>19.297452</v>
      </c>
      <c r="AS325" s="13">
        <v>418</v>
      </c>
      <c r="AT325" s="13">
        <v>5.538106</v>
      </c>
      <c r="AU325" s="13">
        <f t="shared" si="431"/>
        <v>0</v>
      </c>
      <c r="AV325" s="13">
        <f t="shared" si="422"/>
        <v>19.297452</v>
      </c>
      <c r="AW325" s="13">
        <f t="shared" si="423"/>
        <v>19.297452</v>
      </c>
      <c r="AX325" s="13">
        <f t="shared" si="424"/>
        <v>19.297452</v>
      </c>
      <c r="AY325" s="13">
        <v>1000.816812</v>
      </c>
      <c r="AZ325" s="13">
        <f t="shared" si="425"/>
        <v>0</v>
      </c>
      <c r="BA325" s="13">
        <f t="shared" si="426"/>
        <v>0</v>
      </c>
      <c r="BB325" s="97">
        <f t="shared" si="427"/>
        <v>0</v>
      </c>
      <c r="BC325" s="499"/>
      <c r="BD325" s="499">
        <v>48.95</v>
      </c>
      <c r="BE325" s="499">
        <v>27.004582258064517</v>
      </c>
      <c r="BF325" s="499">
        <v>20.582995564516136</v>
      </c>
      <c r="BG325" s="499">
        <v>26.516277037793031</v>
      </c>
      <c r="BI325" s="499">
        <f t="shared" ref="BI325:BJ325" si="489">AS328</f>
        <v>138</v>
      </c>
      <c r="BJ325" s="499">
        <f t="shared" si="489"/>
        <v>5.572336</v>
      </c>
      <c r="BK325" s="5">
        <f t="shared" si="400"/>
        <v>0</v>
      </c>
      <c r="BL325" s="499">
        <f t="shared" si="401"/>
        <v>24.237175000000001</v>
      </c>
      <c r="BM325" s="499">
        <f t="shared" si="402"/>
        <v>656.19972800000005</v>
      </c>
      <c r="BO325" s="499">
        <f t="shared" si="403"/>
        <v>138</v>
      </c>
      <c r="BP325" s="499">
        <f t="shared" si="404"/>
        <v>5.572336</v>
      </c>
      <c r="BQ325" s="5">
        <f t="shared" ref="BQ325:BQ388" si="490">IF(BR325&gt;=24.4,1,0)</f>
        <v>0</v>
      </c>
      <c r="BR325" s="499">
        <f t="shared" si="405"/>
        <v>24.237175000000001</v>
      </c>
      <c r="BS325" s="499">
        <f t="shared" si="406"/>
        <v>656.19972800000005</v>
      </c>
      <c r="BU325" s="499">
        <f t="shared" si="407"/>
        <v>138</v>
      </c>
      <c r="BV325" s="499">
        <f t="shared" si="408"/>
        <v>5.572336</v>
      </c>
      <c r="BW325" s="5">
        <f t="shared" ref="BW325:BW388" si="491">IF(BX325&gt;=24.4,1,0)</f>
        <v>0</v>
      </c>
      <c r="BX325" s="499">
        <f t="shared" si="409"/>
        <v>24.237175000000001</v>
      </c>
      <c r="BY325" s="499">
        <f t="shared" si="410"/>
        <v>656.19972800000005</v>
      </c>
      <c r="CA325">
        <v>138</v>
      </c>
      <c r="CB325">
        <v>5.572336</v>
      </c>
      <c r="CC325">
        <v>0</v>
      </c>
      <c r="CD325">
        <v>24.237175000000001</v>
      </c>
      <c r="CE325">
        <v>656.19972800000005</v>
      </c>
      <c r="CG325" s="499">
        <f t="shared" si="411"/>
        <v>0</v>
      </c>
      <c r="CH325" s="499">
        <f t="shared" si="412"/>
        <v>0</v>
      </c>
      <c r="CI325" s="499">
        <f t="shared" si="413"/>
        <v>0</v>
      </c>
      <c r="CJ325" s="499">
        <f t="shared" si="414"/>
        <v>0</v>
      </c>
      <c r="CP325" s="499"/>
      <c r="CQ325" s="65">
        <f t="shared" si="416"/>
        <v>0.97883953494761722</v>
      </c>
      <c r="CR325" s="499">
        <f t="shared" si="417"/>
        <v>0.97883953494761722</v>
      </c>
      <c r="CS325" s="499">
        <f t="shared" si="418"/>
        <v>0.97883953494761722</v>
      </c>
      <c r="CT325" s="38">
        <f t="shared" si="419"/>
        <v>1</v>
      </c>
      <c r="CU325" s="498">
        <f t="shared" si="420"/>
        <v>1</v>
      </c>
    </row>
    <row r="326" spans="43:99">
      <c r="AQ326" s="499"/>
      <c r="AR326" s="228">
        <v>18.478860999999998</v>
      </c>
      <c r="AS326" s="13">
        <v>403</v>
      </c>
      <c r="AT326" s="13">
        <v>5.5436199999999998</v>
      </c>
      <c r="AU326" s="13">
        <f t="shared" si="431"/>
        <v>0</v>
      </c>
      <c r="AV326" s="13">
        <f t="shared" si="422"/>
        <v>18.478860999999998</v>
      </c>
      <c r="AW326" s="13">
        <f t="shared" si="423"/>
        <v>18.478860999999998</v>
      </c>
      <c r="AX326" s="13">
        <f t="shared" si="424"/>
        <v>18.478860999999998</v>
      </c>
      <c r="AY326" s="13">
        <v>1001.340763</v>
      </c>
      <c r="AZ326" s="13">
        <f t="shared" si="425"/>
        <v>0</v>
      </c>
      <c r="BA326" s="13">
        <f t="shared" si="426"/>
        <v>0</v>
      </c>
      <c r="BB326" s="97">
        <f t="shared" si="427"/>
        <v>0</v>
      </c>
      <c r="BC326" s="499"/>
      <c r="BD326" s="499">
        <v>48.75</v>
      </c>
      <c r="BE326" s="499">
        <v>26.921128225806452</v>
      </c>
      <c r="BF326" s="499">
        <v>20.556769959677432</v>
      </c>
      <c r="BG326" s="499">
        <v>26.469153083640109</v>
      </c>
      <c r="BI326" s="499">
        <f t="shared" ref="BI326:BJ326" si="492">AS329</f>
        <v>280</v>
      </c>
      <c r="BJ326" s="499">
        <f t="shared" si="492"/>
        <v>5.5758349999999997</v>
      </c>
      <c r="BK326" s="5">
        <f t="shared" ref="BK326:BK389" si="493">IF(BL326&gt;=24.4,1,0)</f>
        <v>0</v>
      </c>
      <c r="BL326" s="499">
        <f t="shared" ref="BL326:BL389" si="494">AR329</f>
        <v>18.587986000000001</v>
      </c>
      <c r="BM326" s="499">
        <f t="shared" ref="BM326:BM389" si="495">AY329</f>
        <v>1000.969874</v>
      </c>
      <c r="BO326" s="499">
        <f t="shared" ref="BO326:BO389" si="496">BI326</f>
        <v>280</v>
      </c>
      <c r="BP326" s="499">
        <f t="shared" ref="BP326:BP389" si="497">BJ326</f>
        <v>5.5758349999999997</v>
      </c>
      <c r="BQ326" s="5">
        <f t="shared" si="490"/>
        <v>0</v>
      </c>
      <c r="BR326" s="499">
        <f t="shared" ref="BR326:BR389" si="498">$BL326-AZ329</f>
        <v>18.587986000000001</v>
      </c>
      <c r="BS326" s="499">
        <f t="shared" ref="BS326:BS389" si="499">BM326</f>
        <v>1000.969874</v>
      </c>
      <c r="BU326" s="499">
        <f t="shared" ref="BU326:BU389" si="500">BI326</f>
        <v>280</v>
      </c>
      <c r="BV326" s="499">
        <f t="shared" ref="BV326:BV389" si="501">BJ326</f>
        <v>5.5758349999999997</v>
      </c>
      <c r="BW326" s="5">
        <f t="shared" si="491"/>
        <v>0</v>
      </c>
      <c r="BX326" s="499">
        <f t="shared" ref="BX326:BX389" si="502">$BL326-BA329</f>
        <v>18.587986000000001</v>
      </c>
      <c r="BY326" s="499">
        <f t="shared" ref="BY326:BY389" si="503">BM326</f>
        <v>1000.969874</v>
      </c>
      <c r="CA326">
        <v>280</v>
      </c>
      <c r="CB326">
        <v>5.5758349999999997</v>
      </c>
      <c r="CC326">
        <v>0</v>
      </c>
      <c r="CD326">
        <v>18.587986000000001</v>
      </c>
      <c r="CE326">
        <v>1000.969874</v>
      </c>
      <c r="CG326" s="499">
        <f t="shared" ref="CG326:CG389" si="504">BK326</f>
        <v>0</v>
      </c>
      <c r="CH326" s="499">
        <f t="shared" ref="CH326:CH389" si="505">BQ326</f>
        <v>0</v>
      </c>
      <c r="CI326" s="499">
        <f t="shared" ref="CI326:CI389" si="506">BW326</f>
        <v>0</v>
      </c>
      <c r="CJ326" s="499">
        <f t="shared" ref="CJ326:CJ389" si="507">CC326</f>
        <v>0</v>
      </c>
      <c r="CP326" s="499"/>
      <c r="CQ326" s="65">
        <f t="shared" si="416"/>
        <v>0.54560486670960284</v>
      </c>
      <c r="CR326" s="499">
        <f t="shared" si="417"/>
        <v>0.54560486670960284</v>
      </c>
      <c r="CS326" s="499">
        <f t="shared" si="418"/>
        <v>0.54560486670960284</v>
      </c>
      <c r="CT326" s="38">
        <f t="shared" si="419"/>
        <v>1</v>
      </c>
      <c r="CU326" s="498">
        <f t="shared" si="420"/>
        <v>1</v>
      </c>
    </row>
    <row r="327" spans="43:99">
      <c r="AQ327" s="499"/>
      <c r="AR327" s="228">
        <v>18.929959</v>
      </c>
      <c r="AS327" s="13">
        <v>347</v>
      </c>
      <c r="AT327" s="13">
        <v>5.55504</v>
      </c>
      <c r="AU327" s="13">
        <f t="shared" si="431"/>
        <v>0</v>
      </c>
      <c r="AV327" s="13">
        <f t="shared" si="422"/>
        <v>18.929959</v>
      </c>
      <c r="AW327" s="13">
        <f t="shared" si="423"/>
        <v>18.929959</v>
      </c>
      <c r="AX327" s="13">
        <f t="shared" si="424"/>
        <v>18.929959</v>
      </c>
      <c r="AY327" s="13">
        <v>1001.265976</v>
      </c>
      <c r="AZ327" s="13">
        <f t="shared" si="425"/>
        <v>0</v>
      </c>
      <c r="BA327" s="13">
        <f t="shared" si="426"/>
        <v>0</v>
      </c>
      <c r="BB327" s="97">
        <f t="shared" si="427"/>
        <v>0</v>
      </c>
      <c r="BC327" s="499"/>
      <c r="BD327" s="499">
        <v>48.55</v>
      </c>
      <c r="BE327" s="499">
        <v>26.952967741935471</v>
      </c>
      <c r="BF327" s="499">
        <v>20.531978225806451</v>
      </c>
      <c r="BG327" s="499">
        <v>26.505903218475272</v>
      </c>
      <c r="BI327" s="499">
        <f t="shared" ref="BI327:BJ327" si="508">AS330</f>
        <v>405</v>
      </c>
      <c r="BJ327" s="499">
        <f t="shared" si="508"/>
        <v>5.5770910000000002</v>
      </c>
      <c r="BK327" s="5">
        <f t="shared" si="493"/>
        <v>0</v>
      </c>
      <c r="BL327" s="499">
        <f t="shared" si="494"/>
        <v>17.726417999999999</v>
      </c>
      <c r="BM327" s="499">
        <f t="shared" si="495"/>
        <v>1001.170821</v>
      </c>
      <c r="BO327" s="499">
        <f t="shared" si="496"/>
        <v>405</v>
      </c>
      <c r="BP327" s="499">
        <f t="shared" si="497"/>
        <v>5.5770910000000002</v>
      </c>
      <c r="BQ327" s="5">
        <f t="shared" si="490"/>
        <v>0</v>
      </c>
      <c r="BR327" s="499">
        <f t="shared" si="498"/>
        <v>17.726417999999999</v>
      </c>
      <c r="BS327" s="499">
        <f t="shared" si="499"/>
        <v>1001.170821</v>
      </c>
      <c r="BU327" s="499">
        <f t="shared" si="500"/>
        <v>405</v>
      </c>
      <c r="BV327" s="499">
        <f t="shared" si="501"/>
        <v>5.5770910000000002</v>
      </c>
      <c r="BW327" s="5">
        <f t="shared" si="491"/>
        <v>0</v>
      </c>
      <c r="BX327" s="499">
        <f t="shared" si="502"/>
        <v>17.726417999999999</v>
      </c>
      <c r="BY327" s="499">
        <f t="shared" si="503"/>
        <v>1001.170821</v>
      </c>
      <c r="CA327">
        <v>405</v>
      </c>
      <c r="CB327">
        <v>5.5770910000000002</v>
      </c>
      <c r="CC327">
        <v>0</v>
      </c>
      <c r="CD327">
        <v>17.726417999999999</v>
      </c>
      <c r="CE327">
        <v>1001.170821</v>
      </c>
      <c r="CG327" s="499">
        <f t="shared" si="504"/>
        <v>0</v>
      </c>
      <c r="CH327" s="499">
        <f t="shared" si="505"/>
        <v>0</v>
      </c>
      <c r="CI327" s="499">
        <f t="shared" si="506"/>
        <v>0</v>
      </c>
      <c r="CJ327" s="499">
        <f t="shared" si="507"/>
        <v>0</v>
      </c>
      <c r="CP327" s="499"/>
      <c r="CQ327" s="65">
        <f t="shared" ref="CQ327:CQ390" si="509">(97.886/(1+EXP(-((BL326-24.35322)/-0.5033))))/100</f>
        <v>0.97884962636568318</v>
      </c>
      <c r="CR327" s="499">
        <f t="shared" ref="CR327:CR390" si="510">(97.886/(1+EXP(-((BR326-24.35322)/-0.5033))))/100</f>
        <v>0.97884962636568318</v>
      </c>
      <c r="CS327" s="499">
        <f t="shared" ref="CS327:CS390" si="511">(97.886/(1+EXP(-((BX326-24.35322)/-0.5033))))/100</f>
        <v>0.97884962636568318</v>
      </c>
      <c r="CT327" s="38">
        <f t="shared" ref="CT327:CT390" si="512">CR327/CQ327</f>
        <v>1</v>
      </c>
      <c r="CU327" s="498">
        <f t="shared" ref="CU327:CU390" si="513">CS327/CQ327</f>
        <v>1</v>
      </c>
    </row>
    <row r="328" spans="43:99">
      <c r="AQ328" s="499"/>
      <c r="AR328" s="228">
        <v>24.237175000000001</v>
      </c>
      <c r="AS328" s="13">
        <v>138</v>
      </c>
      <c r="AT328" s="13">
        <v>5.572336</v>
      </c>
      <c r="AU328" s="13">
        <f t="shared" si="431"/>
        <v>0</v>
      </c>
      <c r="AV328" s="13">
        <f t="shared" si="422"/>
        <v>24.237175000000001</v>
      </c>
      <c r="AW328" s="13">
        <f t="shared" si="423"/>
        <v>24.237175000000001</v>
      </c>
      <c r="AX328" s="13">
        <f t="shared" si="424"/>
        <v>24.237175000000001</v>
      </c>
      <c r="AY328" s="13">
        <v>656.19972800000005</v>
      </c>
      <c r="AZ328" s="13">
        <f t="shared" si="425"/>
        <v>0</v>
      </c>
      <c r="BA328" s="13">
        <f t="shared" si="426"/>
        <v>0</v>
      </c>
      <c r="BB328" s="97">
        <f t="shared" si="427"/>
        <v>0</v>
      </c>
      <c r="BC328" s="499"/>
      <c r="BD328" s="499">
        <v>48.35</v>
      </c>
      <c r="BE328" s="499">
        <v>26.956369354838724</v>
      </c>
      <c r="BF328" s="499">
        <v>20.523475806451614</v>
      </c>
      <c r="BG328" s="499">
        <v>26.534678697600736</v>
      </c>
      <c r="BI328" s="499">
        <f t="shared" ref="BI328:BJ328" si="514">AS331</f>
        <v>324</v>
      </c>
      <c r="BJ328" s="499">
        <f t="shared" si="514"/>
        <v>5.5840490000000003</v>
      </c>
      <c r="BK328" s="5">
        <f t="shared" si="493"/>
        <v>1</v>
      </c>
      <c r="BL328" s="499">
        <f t="shared" si="494"/>
        <v>28.618511999999999</v>
      </c>
      <c r="BM328" s="499">
        <f t="shared" si="495"/>
        <v>998.72445700000003</v>
      </c>
      <c r="BO328" s="499">
        <f t="shared" si="496"/>
        <v>324</v>
      </c>
      <c r="BP328" s="499">
        <f t="shared" si="497"/>
        <v>5.5840490000000003</v>
      </c>
      <c r="BQ328" s="5">
        <f t="shared" si="490"/>
        <v>1</v>
      </c>
      <c r="BR328" s="499">
        <f t="shared" si="498"/>
        <v>28.618511999999999</v>
      </c>
      <c r="BS328" s="499">
        <f t="shared" si="499"/>
        <v>998.72445700000003</v>
      </c>
      <c r="BU328" s="499">
        <f t="shared" si="500"/>
        <v>324</v>
      </c>
      <c r="BV328" s="499">
        <f t="shared" si="501"/>
        <v>5.5840490000000003</v>
      </c>
      <c r="BW328" s="5">
        <f t="shared" si="491"/>
        <v>1</v>
      </c>
      <c r="BX328" s="499">
        <f t="shared" si="502"/>
        <v>28.618511999999999</v>
      </c>
      <c r="BY328" s="499">
        <f t="shared" si="503"/>
        <v>998.72445700000003</v>
      </c>
      <c r="CA328">
        <v>324</v>
      </c>
      <c r="CB328">
        <v>5.5840490000000003</v>
      </c>
      <c r="CC328">
        <v>1</v>
      </c>
      <c r="CD328">
        <v>28.618511999999999</v>
      </c>
      <c r="CE328">
        <v>998.72445700000003</v>
      </c>
      <c r="CG328" s="499">
        <f t="shared" si="504"/>
        <v>1</v>
      </c>
      <c r="CH328" s="499">
        <f t="shared" si="505"/>
        <v>1</v>
      </c>
      <c r="CI328" s="499">
        <f t="shared" si="506"/>
        <v>1</v>
      </c>
      <c r="CJ328" s="499">
        <f t="shared" si="507"/>
        <v>1</v>
      </c>
      <c r="CP328" s="499"/>
      <c r="CQ328" s="65">
        <f t="shared" si="509"/>
        <v>0.97885812719325305</v>
      </c>
      <c r="CR328" s="499">
        <f t="shared" si="510"/>
        <v>0.97885812719325305</v>
      </c>
      <c r="CS328" s="499">
        <f t="shared" si="511"/>
        <v>0.97885812719325305</v>
      </c>
      <c r="CT328" s="38">
        <f t="shared" si="512"/>
        <v>1</v>
      </c>
      <c r="CU328" s="498">
        <f t="shared" si="513"/>
        <v>1</v>
      </c>
    </row>
    <row r="329" spans="43:99">
      <c r="AQ329" s="499"/>
      <c r="AR329" s="228">
        <v>18.587986000000001</v>
      </c>
      <c r="AS329" s="13">
        <v>280</v>
      </c>
      <c r="AT329" s="13">
        <v>5.5758349999999997</v>
      </c>
      <c r="AU329" s="13">
        <f t="shared" si="431"/>
        <v>0</v>
      </c>
      <c r="AV329" s="13">
        <f t="shared" ref="AV329:AV392" si="515">IF(ISERROR(VLOOKUP(AS329,B$3:AP$102,40,FALSE))=TRUE,AR329,VLOOKUP(AS329,B$3:AP$102,40,FALSE))</f>
        <v>18.587986000000001</v>
      </c>
      <c r="AW329" s="13">
        <f t="shared" ref="AW329:AW392" si="516">IF(ISERROR(VLOOKUP(AS329,B$3:AP$102,39,FALSE))=TRUE,AR329,VLOOKUP(AS329,B$3:AP$102,39,FALSE))</f>
        <v>18.587986000000001</v>
      </c>
      <c r="AX329" s="13">
        <f t="shared" ref="AX329:AX392" si="517">IF(ISERROR(VLOOKUP(AS329,B$3:AP$102,41,FALSE))=TRUE,AR329,VLOOKUP(AS329,B$3:AP$102,41,FALSE))</f>
        <v>18.587986000000001</v>
      </c>
      <c r="AY329" s="13">
        <v>1000.969874</v>
      </c>
      <c r="AZ329" s="13">
        <f t="shared" ref="AZ329:AZ392" si="518">IF($AV329=0,0,$AV329-AW329)</f>
        <v>0</v>
      </c>
      <c r="BA329" s="13">
        <f t="shared" ref="BA329:BA392" si="519">IF($AV329=0,0,$AV329-AX329)</f>
        <v>0</v>
      </c>
      <c r="BB329" s="97">
        <f t="shared" ref="BB329:BB392" si="520">IF(AV329=0,0,$AR329-AV329)</f>
        <v>0</v>
      </c>
      <c r="BC329" s="499"/>
      <c r="BD329" s="499">
        <v>48.15</v>
      </c>
      <c r="BE329" s="499">
        <v>26.875644153225807</v>
      </c>
      <c r="BF329" s="499">
        <v>20.539883870967746</v>
      </c>
      <c r="BG329" s="499">
        <v>26.520871444326929</v>
      </c>
      <c r="BI329" s="499">
        <f t="shared" ref="BI329:BJ329" si="521">AS332</f>
        <v>258</v>
      </c>
      <c r="BJ329" s="499">
        <f t="shared" si="521"/>
        <v>5.6786450000000004</v>
      </c>
      <c r="BK329" s="5">
        <f t="shared" si="493"/>
        <v>0</v>
      </c>
      <c r="BL329" s="499">
        <f t="shared" si="494"/>
        <v>23.884484</v>
      </c>
      <c r="BM329" s="499">
        <f t="shared" si="495"/>
        <v>999.95886800000005</v>
      </c>
      <c r="BO329" s="499">
        <f t="shared" si="496"/>
        <v>258</v>
      </c>
      <c r="BP329" s="499">
        <f t="shared" si="497"/>
        <v>5.6786450000000004</v>
      </c>
      <c r="BQ329" s="5">
        <f t="shared" si="490"/>
        <v>0</v>
      </c>
      <c r="BR329" s="499">
        <f t="shared" si="498"/>
        <v>23.884484</v>
      </c>
      <c r="BS329" s="499">
        <f t="shared" si="499"/>
        <v>999.95886800000005</v>
      </c>
      <c r="BU329" s="499">
        <f t="shared" si="500"/>
        <v>258</v>
      </c>
      <c r="BV329" s="499">
        <f t="shared" si="501"/>
        <v>5.6786450000000004</v>
      </c>
      <c r="BW329" s="5">
        <f t="shared" si="491"/>
        <v>0</v>
      </c>
      <c r="BX329" s="499">
        <f t="shared" si="502"/>
        <v>23.884484</v>
      </c>
      <c r="BY329" s="499">
        <f t="shared" si="503"/>
        <v>999.95886800000005</v>
      </c>
      <c r="CA329">
        <v>258</v>
      </c>
      <c r="CB329">
        <v>5.6786450000000004</v>
      </c>
      <c r="CC329">
        <v>0</v>
      </c>
      <c r="CD329">
        <v>23.884484</v>
      </c>
      <c r="CE329">
        <v>999.95886800000005</v>
      </c>
      <c r="CG329" s="499">
        <f t="shared" si="504"/>
        <v>0</v>
      </c>
      <c r="CH329" s="499">
        <f t="shared" si="505"/>
        <v>0</v>
      </c>
      <c r="CI329" s="499">
        <f t="shared" si="506"/>
        <v>0</v>
      </c>
      <c r="CJ329" s="499">
        <f t="shared" si="507"/>
        <v>0</v>
      </c>
      <c r="CP329" s="499"/>
      <c r="CQ329" s="65">
        <f t="shared" si="509"/>
        <v>2.0423758256806881E-4</v>
      </c>
      <c r="CR329" s="499">
        <f t="shared" si="510"/>
        <v>2.0423758256806881E-4</v>
      </c>
      <c r="CS329" s="499">
        <f t="shared" si="511"/>
        <v>2.0423758256806881E-4</v>
      </c>
      <c r="CT329" s="38">
        <f t="shared" si="512"/>
        <v>1</v>
      </c>
      <c r="CU329" s="498">
        <f t="shared" si="513"/>
        <v>1</v>
      </c>
    </row>
    <row r="330" spans="43:99">
      <c r="AQ330" s="499"/>
      <c r="AR330" s="228">
        <v>17.726417999999999</v>
      </c>
      <c r="AS330" s="13">
        <v>405</v>
      </c>
      <c r="AT330" s="13">
        <v>5.5770910000000002</v>
      </c>
      <c r="AU330" s="13">
        <f t="shared" si="431"/>
        <v>0</v>
      </c>
      <c r="AV330" s="13">
        <f t="shared" si="515"/>
        <v>17.726417999999999</v>
      </c>
      <c r="AW330" s="13">
        <f t="shared" si="516"/>
        <v>17.726417999999999</v>
      </c>
      <c r="AX330" s="13">
        <f t="shared" si="517"/>
        <v>17.726417999999999</v>
      </c>
      <c r="AY330" s="13">
        <v>1001.170821</v>
      </c>
      <c r="AZ330" s="13">
        <f t="shared" si="518"/>
        <v>0</v>
      </c>
      <c r="BA330" s="13">
        <f t="shared" si="519"/>
        <v>0</v>
      </c>
      <c r="BB330" s="97">
        <f t="shared" si="520"/>
        <v>0</v>
      </c>
      <c r="BC330" s="499"/>
      <c r="BD330" s="499">
        <v>47.95</v>
      </c>
      <c r="BE330" s="499">
        <v>26.695590322580646</v>
      </c>
      <c r="BF330" s="499">
        <v>20.514941330645158</v>
      </c>
      <c r="BG330" s="499">
        <v>26.355474408305859</v>
      </c>
      <c r="BI330" s="499">
        <f t="shared" ref="BI330:BJ330" si="522">AS333</f>
        <v>252</v>
      </c>
      <c r="BJ330" s="499">
        <f t="shared" si="522"/>
        <v>5.7403009999999997</v>
      </c>
      <c r="BK330" s="5">
        <f t="shared" si="493"/>
        <v>0</v>
      </c>
      <c r="BL330" s="499">
        <f t="shared" si="494"/>
        <v>20.198117</v>
      </c>
      <c r="BM330" s="499">
        <f t="shared" si="495"/>
        <v>903.83003699999995</v>
      </c>
      <c r="BO330" s="499">
        <f t="shared" si="496"/>
        <v>252</v>
      </c>
      <c r="BP330" s="499">
        <f t="shared" si="497"/>
        <v>5.7403009999999997</v>
      </c>
      <c r="BQ330" s="5">
        <f t="shared" si="490"/>
        <v>0</v>
      </c>
      <c r="BR330" s="499">
        <f t="shared" si="498"/>
        <v>20.198117</v>
      </c>
      <c r="BS330" s="499">
        <f t="shared" si="499"/>
        <v>903.83003699999995</v>
      </c>
      <c r="BU330" s="499">
        <f t="shared" si="500"/>
        <v>252</v>
      </c>
      <c r="BV330" s="499">
        <f t="shared" si="501"/>
        <v>5.7403009999999997</v>
      </c>
      <c r="BW330" s="5">
        <f t="shared" si="491"/>
        <v>0</v>
      </c>
      <c r="BX330" s="499">
        <f t="shared" si="502"/>
        <v>20.198117</v>
      </c>
      <c r="BY330" s="499">
        <f t="shared" si="503"/>
        <v>903.83003699999995</v>
      </c>
      <c r="CA330">
        <v>252</v>
      </c>
      <c r="CB330">
        <v>5.7403009999999997</v>
      </c>
      <c r="CC330">
        <v>0</v>
      </c>
      <c r="CD330">
        <v>20.198117</v>
      </c>
      <c r="CE330">
        <v>903.83003699999995</v>
      </c>
      <c r="CG330" s="499">
        <f t="shared" si="504"/>
        <v>0</v>
      </c>
      <c r="CH330" s="499">
        <f t="shared" si="505"/>
        <v>0</v>
      </c>
      <c r="CI330" s="499">
        <f t="shared" si="506"/>
        <v>0</v>
      </c>
      <c r="CJ330" s="499">
        <f t="shared" si="507"/>
        <v>0</v>
      </c>
      <c r="CP330" s="499"/>
      <c r="CQ330" s="65">
        <f t="shared" si="509"/>
        <v>0.7021794195886365</v>
      </c>
      <c r="CR330" s="499">
        <f t="shared" si="510"/>
        <v>0.7021794195886365</v>
      </c>
      <c r="CS330" s="499">
        <f t="shared" si="511"/>
        <v>0.7021794195886365</v>
      </c>
      <c r="CT330" s="38">
        <f t="shared" si="512"/>
        <v>1</v>
      </c>
      <c r="CU330" s="498">
        <f t="shared" si="513"/>
        <v>1</v>
      </c>
    </row>
    <row r="331" spans="43:99">
      <c r="AQ331" s="499"/>
      <c r="AR331" s="228">
        <v>28.618511999999999</v>
      </c>
      <c r="AS331" s="13">
        <v>324</v>
      </c>
      <c r="AT331" s="13">
        <v>5.5840490000000003</v>
      </c>
      <c r="AU331" s="13">
        <f t="shared" si="431"/>
        <v>1</v>
      </c>
      <c r="AV331" s="13">
        <f t="shared" si="515"/>
        <v>28.618511999999999</v>
      </c>
      <c r="AW331" s="13">
        <f t="shared" si="516"/>
        <v>28.618511999999999</v>
      </c>
      <c r="AX331" s="13">
        <f t="shared" si="517"/>
        <v>28.618511999999999</v>
      </c>
      <c r="AY331" s="13">
        <v>998.72445700000003</v>
      </c>
      <c r="AZ331" s="13">
        <f t="shared" si="518"/>
        <v>0</v>
      </c>
      <c r="BA331" s="13">
        <f t="shared" si="519"/>
        <v>0</v>
      </c>
      <c r="BB331" s="97">
        <f t="shared" si="520"/>
        <v>0</v>
      </c>
      <c r="BC331" s="499"/>
      <c r="BD331" s="499">
        <v>47.75</v>
      </c>
      <c r="BE331" s="499">
        <v>26.616259274193549</v>
      </c>
      <c r="BF331" s="499">
        <v>20.483402822580647</v>
      </c>
      <c r="BG331" s="499">
        <v>26.239097290746344</v>
      </c>
      <c r="BI331" s="499">
        <f t="shared" ref="BI331:BJ331" si="523">AS334</f>
        <v>334</v>
      </c>
      <c r="BJ331" s="499">
        <f t="shared" si="523"/>
        <v>5.767995</v>
      </c>
      <c r="BK331" s="5">
        <f t="shared" si="493"/>
        <v>0</v>
      </c>
      <c r="BL331" s="499">
        <f t="shared" si="494"/>
        <v>21.291104000000001</v>
      </c>
      <c r="BM331" s="499">
        <f t="shared" si="495"/>
        <v>1000.32122</v>
      </c>
      <c r="BO331" s="499">
        <f t="shared" si="496"/>
        <v>334</v>
      </c>
      <c r="BP331" s="499">
        <f t="shared" si="497"/>
        <v>5.767995</v>
      </c>
      <c r="BQ331" s="5">
        <f t="shared" si="490"/>
        <v>0</v>
      </c>
      <c r="BR331" s="499">
        <f t="shared" si="498"/>
        <v>21.291104000000001</v>
      </c>
      <c r="BS331" s="499">
        <f t="shared" si="499"/>
        <v>1000.32122</v>
      </c>
      <c r="BU331" s="499">
        <f t="shared" si="500"/>
        <v>334</v>
      </c>
      <c r="BV331" s="499">
        <f t="shared" si="501"/>
        <v>5.767995</v>
      </c>
      <c r="BW331" s="5">
        <f t="shared" si="491"/>
        <v>0</v>
      </c>
      <c r="BX331" s="499">
        <f t="shared" si="502"/>
        <v>21.291104000000001</v>
      </c>
      <c r="BY331" s="499">
        <f t="shared" si="503"/>
        <v>1000.32122</v>
      </c>
      <c r="CA331">
        <v>334</v>
      </c>
      <c r="CB331">
        <v>5.767995</v>
      </c>
      <c r="CC331">
        <v>0</v>
      </c>
      <c r="CD331">
        <v>21.291104000000001</v>
      </c>
      <c r="CE331">
        <v>1000.32122</v>
      </c>
      <c r="CG331" s="499">
        <f t="shared" si="504"/>
        <v>0</v>
      </c>
      <c r="CH331" s="499">
        <f t="shared" si="505"/>
        <v>0</v>
      </c>
      <c r="CI331" s="499">
        <f t="shared" si="506"/>
        <v>0</v>
      </c>
      <c r="CJ331" s="499">
        <f t="shared" si="507"/>
        <v>0</v>
      </c>
      <c r="CP331" s="499"/>
      <c r="CQ331" s="65">
        <f t="shared" si="509"/>
        <v>0.97860578867390791</v>
      </c>
      <c r="CR331" s="499">
        <f t="shared" si="510"/>
        <v>0.97860578867390791</v>
      </c>
      <c r="CS331" s="499">
        <f t="shared" si="511"/>
        <v>0.97860578867390791</v>
      </c>
      <c r="CT331" s="38">
        <f t="shared" si="512"/>
        <v>1</v>
      </c>
      <c r="CU331" s="498">
        <f t="shared" si="513"/>
        <v>1</v>
      </c>
    </row>
    <row r="332" spans="43:99">
      <c r="AQ332" s="499"/>
      <c r="AR332" s="228">
        <v>23.884484</v>
      </c>
      <c r="AS332" s="13">
        <v>258</v>
      </c>
      <c r="AT332" s="13">
        <v>5.6786450000000004</v>
      </c>
      <c r="AU332" s="13">
        <f t="shared" ref="AU332:AU395" si="524">IF(AW332&gt;=24.4,1,0)</f>
        <v>0</v>
      </c>
      <c r="AV332" s="13">
        <f t="shared" si="515"/>
        <v>23.884484</v>
      </c>
      <c r="AW332" s="13">
        <f t="shared" si="516"/>
        <v>23.884484</v>
      </c>
      <c r="AX332" s="13">
        <f t="shared" si="517"/>
        <v>23.884484</v>
      </c>
      <c r="AY332" s="13">
        <v>999.95886800000005</v>
      </c>
      <c r="AZ332" s="13">
        <f t="shared" si="518"/>
        <v>0</v>
      </c>
      <c r="BA332" s="13">
        <f t="shared" si="519"/>
        <v>0</v>
      </c>
      <c r="BB332" s="97">
        <f t="shared" si="520"/>
        <v>0</v>
      </c>
      <c r="BC332" s="499"/>
      <c r="BD332" s="499">
        <v>47.55</v>
      </c>
      <c r="BE332" s="499">
        <v>26.603874798387103</v>
      </c>
      <c r="BF332" s="499">
        <v>20.446986491935483</v>
      </c>
      <c r="BG332" s="499">
        <v>26.189908177060438</v>
      </c>
      <c r="BI332" s="499">
        <f t="shared" ref="BI332:BJ332" si="525">AS335</f>
        <v>150</v>
      </c>
      <c r="BJ332" s="499">
        <f t="shared" si="525"/>
        <v>5.7688920000000001</v>
      </c>
      <c r="BK332" s="5">
        <f t="shared" si="493"/>
        <v>0</v>
      </c>
      <c r="BL332" s="499">
        <f t="shared" si="494"/>
        <v>24.237175000000001</v>
      </c>
      <c r="BM332" s="499">
        <f t="shared" si="495"/>
        <v>521.64627399999995</v>
      </c>
      <c r="BO332" s="499">
        <f t="shared" si="496"/>
        <v>150</v>
      </c>
      <c r="BP332" s="499">
        <f t="shared" si="497"/>
        <v>5.7688920000000001</v>
      </c>
      <c r="BQ332" s="5">
        <f t="shared" si="490"/>
        <v>0</v>
      </c>
      <c r="BR332" s="499">
        <f t="shared" si="498"/>
        <v>24.237175000000001</v>
      </c>
      <c r="BS332" s="499">
        <f t="shared" si="499"/>
        <v>521.64627399999995</v>
      </c>
      <c r="BU332" s="499">
        <f t="shared" si="500"/>
        <v>150</v>
      </c>
      <c r="BV332" s="499">
        <f t="shared" si="501"/>
        <v>5.7688920000000001</v>
      </c>
      <c r="BW332" s="5">
        <f t="shared" si="491"/>
        <v>0</v>
      </c>
      <c r="BX332" s="499">
        <f t="shared" si="502"/>
        <v>24.237175000000001</v>
      </c>
      <c r="BY332" s="499">
        <f t="shared" si="503"/>
        <v>521.64627399999995</v>
      </c>
      <c r="CA332">
        <v>150</v>
      </c>
      <c r="CB332">
        <v>5.7688920000000001</v>
      </c>
      <c r="CC332">
        <v>0</v>
      </c>
      <c r="CD332">
        <v>24.237175000000001</v>
      </c>
      <c r="CE332">
        <v>521.64627399999995</v>
      </c>
      <c r="CG332" s="499">
        <f t="shared" si="504"/>
        <v>0</v>
      </c>
      <c r="CH332" s="499">
        <f t="shared" si="505"/>
        <v>0</v>
      </c>
      <c r="CI332" s="499">
        <f t="shared" si="506"/>
        <v>0</v>
      </c>
      <c r="CJ332" s="499">
        <f t="shared" si="507"/>
        <v>0</v>
      </c>
      <c r="CP332" s="499"/>
      <c r="CQ332" s="65">
        <f t="shared" si="509"/>
        <v>0.97663438058824714</v>
      </c>
      <c r="CR332" s="499">
        <f t="shared" si="510"/>
        <v>0.97663438058824714</v>
      </c>
      <c r="CS332" s="499">
        <f t="shared" si="511"/>
        <v>0.97663438058824714</v>
      </c>
      <c r="CT332" s="38">
        <f t="shared" si="512"/>
        <v>1</v>
      </c>
      <c r="CU332" s="498">
        <f t="shared" si="513"/>
        <v>1</v>
      </c>
    </row>
    <row r="333" spans="43:99">
      <c r="AQ333" s="499"/>
      <c r="AR333" s="228">
        <v>20.198117</v>
      </c>
      <c r="AS333" s="13">
        <v>252</v>
      </c>
      <c r="AT333" s="13">
        <v>5.7403009999999997</v>
      </c>
      <c r="AU333" s="13">
        <f t="shared" si="524"/>
        <v>0</v>
      </c>
      <c r="AV333" s="13">
        <f t="shared" si="515"/>
        <v>20.198117</v>
      </c>
      <c r="AW333" s="13">
        <f t="shared" si="516"/>
        <v>20.198117</v>
      </c>
      <c r="AX333" s="13">
        <f t="shared" si="517"/>
        <v>20.198117</v>
      </c>
      <c r="AY333" s="13">
        <v>903.83003699999995</v>
      </c>
      <c r="AZ333" s="13">
        <f t="shared" si="518"/>
        <v>0</v>
      </c>
      <c r="BA333" s="13">
        <f t="shared" si="519"/>
        <v>0</v>
      </c>
      <c r="BB333" s="97">
        <f t="shared" si="520"/>
        <v>0</v>
      </c>
      <c r="BC333" s="499"/>
      <c r="BD333" s="499">
        <v>47.35</v>
      </c>
      <c r="BE333" s="499">
        <v>26.643610887096777</v>
      </c>
      <c r="BF333" s="499">
        <v>20.453288104838716</v>
      </c>
      <c r="BG333" s="499">
        <v>26.226391337092494</v>
      </c>
      <c r="BI333" s="499">
        <f t="shared" ref="BI333:BJ333" si="526">AS336</f>
        <v>270</v>
      </c>
      <c r="BJ333" s="499">
        <f t="shared" si="526"/>
        <v>5.7873020000000004</v>
      </c>
      <c r="BK333" s="5">
        <f t="shared" si="493"/>
        <v>0</v>
      </c>
      <c r="BL333" s="499">
        <f t="shared" si="494"/>
        <v>21.902571999999999</v>
      </c>
      <c r="BM333" s="499">
        <f t="shared" si="495"/>
        <v>712.75831400000004</v>
      </c>
      <c r="BO333" s="499">
        <f t="shared" si="496"/>
        <v>270</v>
      </c>
      <c r="BP333" s="499">
        <f t="shared" si="497"/>
        <v>5.7873020000000004</v>
      </c>
      <c r="BQ333" s="5">
        <f t="shared" si="490"/>
        <v>0</v>
      </c>
      <c r="BR333" s="499">
        <f t="shared" si="498"/>
        <v>21.902571999999999</v>
      </c>
      <c r="BS333" s="499">
        <f t="shared" si="499"/>
        <v>712.75831400000004</v>
      </c>
      <c r="BU333" s="499">
        <f t="shared" si="500"/>
        <v>270</v>
      </c>
      <c r="BV333" s="499">
        <f t="shared" si="501"/>
        <v>5.7873020000000004</v>
      </c>
      <c r="BW333" s="5">
        <f t="shared" si="491"/>
        <v>0</v>
      </c>
      <c r="BX333" s="499">
        <f t="shared" si="502"/>
        <v>21.902571999999999</v>
      </c>
      <c r="BY333" s="499">
        <f t="shared" si="503"/>
        <v>712.75831400000004</v>
      </c>
      <c r="CA333">
        <v>270</v>
      </c>
      <c r="CB333">
        <v>5.7873020000000004</v>
      </c>
      <c r="CC333">
        <v>0</v>
      </c>
      <c r="CD333">
        <v>21.902571999999999</v>
      </c>
      <c r="CE333">
        <v>712.75831400000004</v>
      </c>
      <c r="CG333" s="499">
        <f t="shared" si="504"/>
        <v>0</v>
      </c>
      <c r="CH333" s="499">
        <f t="shared" si="505"/>
        <v>0</v>
      </c>
      <c r="CI333" s="499">
        <f t="shared" si="506"/>
        <v>0</v>
      </c>
      <c r="CJ333" s="499">
        <f t="shared" si="507"/>
        <v>0</v>
      </c>
      <c r="CP333" s="499"/>
      <c r="CQ333" s="65">
        <f t="shared" si="509"/>
        <v>0.54560486670960284</v>
      </c>
      <c r="CR333" s="499">
        <f t="shared" si="510"/>
        <v>0.54560486670960284</v>
      </c>
      <c r="CS333" s="499">
        <f t="shared" si="511"/>
        <v>0.54560486670960284</v>
      </c>
      <c r="CT333" s="38">
        <f t="shared" si="512"/>
        <v>1</v>
      </c>
      <c r="CU333" s="498">
        <f t="shared" si="513"/>
        <v>1</v>
      </c>
    </row>
    <row r="334" spans="43:99">
      <c r="AQ334" s="499"/>
      <c r="AR334" s="228">
        <v>21.291104000000001</v>
      </c>
      <c r="AS334" s="13">
        <v>334</v>
      </c>
      <c r="AT334" s="13">
        <v>5.767995</v>
      </c>
      <c r="AU334" s="13">
        <f t="shared" si="524"/>
        <v>0</v>
      </c>
      <c r="AV334" s="13">
        <f t="shared" si="515"/>
        <v>21.291104000000001</v>
      </c>
      <c r="AW334" s="13">
        <f t="shared" si="516"/>
        <v>21.291104000000001</v>
      </c>
      <c r="AX334" s="13">
        <f t="shared" si="517"/>
        <v>21.291104000000001</v>
      </c>
      <c r="AY334" s="13">
        <v>1000.32122</v>
      </c>
      <c r="AZ334" s="13">
        <f t="shared" si="518"/>
        <v>0</v>
      </c>
      <c r="BA334" s="13">
        <f t="shared" si="519"/>
        <v>0</v>
      </c>
      <c r="BB334" s="97">
        <f t="shared" si="520"/>
        <v>0</v>
      </c>
      <c r="BC334" s="499"/>
      <c r="BD334" s="499">
        <v>47.15</v>
      </c>
      <c r="BE334" s="499">
        <v>26.687165120967737</v>
      </c>
      <c r="BF334" s="499">
        <v>20.453200403225807</v>
      </c>
      <c r="BG334" s="499">
        <v>26.268656560009163</v>
      </c>
      <c r="BI334" s="499">
        <f t="shared" ref="BI334:BJ334" si="527">AS337</f>
        <v>78</v>
      </c>
      <c r="BJ334" s="499">
        <f t="shared" si="527"/>
        <v>5.9573520000000002</v>
      </c>
      <c r="BK334" s="5">
        <f t="shared" si="493"/>
        <v>1</v>
      </c>
      <c r="BL334" s="499">
        <f t="shared" si="494"/>
        <v>24.844049999999999</v>
      </c>
      <c r="BM334" s="499">
        <f t="shared" si="495"/>
        <v>911.12652100000003</v>
      </c>
      <c r="BO334" s="499">
        <f t="shared" si="496"/>
        <v>78</v>
      </c>
      <c r="BP334" s="499">
        <f t="shared" si="497"/>
        <v>5.9573520000000002</v>
      </c>
      <c r="BQ334" s="5">
        <f t="shared" si="490"/>
        <v>1</v>
      </c>
      <c r="BR334" s="499">
        <f t="shared" si="498"/>
        <v>24.844049999999999</v>
      </c>
      <c r="BS334" s="499">
        <f t="shared" si="499"/>
        <v>911.12652100000003</v>
      </c>
      <c r="BU334" s="499">
        <f t="shared" si="500"/>
        <v>78</v>
      </c>
      <c r="BV334" s="499">
        <f t="shared" si="501"/>
        <v>5.9573520000000002</v>
      </c>
      <c r="BW334" s="5">
        <f t="shared" si="491"/>
        <v>1</v>
      </c>
      <c r="BX334" s="499">
        <f t="shared" si="502"/>
        <v>24.844049999999999</v>
      </c>
      <c r="BY334" s="499">
        <f t="shared" si="503"/>
        <v>911.12652100000003</v>
      </c>
      <c r="CA334">
        <v>78</v>
      </c>
      <c r="CB334">
        <v>5.9573520000000002</v>
      </c>
      <c r="CC334">
        <v>1</v>
      </c>
      <c r="CD334">
        <v>24.844049999999999</v>
      </c>
      <c r="CE334">
        <v>911.12652100000003</v>
      </c>
      <c r="CG334" s="499">
        <f t="shared" si="504"/>
        <v>1</v>
      </c>
      <c r="CH334" s="499">
        <f t="shared" si="505"/>
        <v>1</v>
      </c>
      <c r="CI334" s="499">
        <f t="shared" si="506"/>
        <v>1</v>
      </c>
      <c r="CJ334" s="499">
        <f t="shared" si="507"/>
        <v>1</v>
      </c>
      <c r="CP334" s="499"/>
      <c r="CQ334" s="65">
        <f t="shared" si="509"/>
        <v>0.97139982699605409</v>
      </c>
      <c r="CR334" s="499">
        <f t="shared" si="510"/>
        <v>0.97139982699605409</v>
      </c>
      <c r="CS334" s="499">
        <f t="shared" si="511"/>
        <v>0.97139982699605409</v>
      </c>
      <c r="CT334" s="38">
        <f t="shared" si="512"/>
        <v>1</v>
      </c>
      <c r="CU334" s="498">
        <f t="shared" si="513"/>
        <v>1</v>
      </c>
    </row>
    <row r="335" spans="43:99">
      <c r="AQ335" s="499"/>
      <c r="AR335" s="228">
        <v>24.237175000000001</v>
      </c>
      <c r="AS335" s="13">
        <v>150</v>
      </c>
      <c r="AT335" s="13">
        <v>5.7688920000000001</v>
      </c>
      <c r="AU335" s="13">
        <f t="shared" si="524"/>
        <v>0</v>
      </c>
      <c r="AV335" s="13">
        <f t="shared" si="515"/>
        <v>24.237175000000001</v>
      </c>
      <c r="AW335" s="13">
        <f t="shared" si="516"/>
        <v>24.237175000000001</v>
      </c>
      <c r="AX335" s="13">
        <f t="shared" si="517"/>
        <v>24.237175000000001</v>
      </c>
      <c r="AY335" s="13">
        <v>521.64627399999995</v>
      </c>
      <c r="AZ335" s="13">
        <f t="shared" si="518"/>
        <v>0</v>
      </c>
      <c r="BA335" s="13">
        <f t="shared" si="519"/>
        <v>0</v>
      </c>
      <c r="BB335" s="97">
        <f t="shared" si="520"/>
        <v>0</v>
      </c>
      <c r="BC335" s="499"/>
      <c r="BD335" s="499">
        <v>46.95</v>
      </c>
      <c r="BE335" s="499">
        <v>26.727543346774187</v>
      </c>
      <c r="BF335" s="499">
        <v>20.434216532258066</v>
      </c>
      <c r="BG335" s="499">
        <v>26.305961434033883</v>
      </c>
      <c r="BI335" s="499">
        <f t="shared" ref="BI335:BJ335" si="528">AS338</f>
        <v>295</v>
      </c>
      <c r="BJ335" s="499">
        <f t="shared" si="528"/>
        <v>5.9679789999999997</v>
      </c>
      <c r="BK335" s="5">
        <f t="shared" si="493"/>
        <v>0</v>
      </c>
      <c r="BL335" s="499">
        <f t="shared" si="494"/>
        <v>19.302046000000001</v>
      </c>
      <c r="BM335" s="499">
        <f t="shared" si="495"/>
        <v>1088.5249650000001</v>
      </c>
      <c r="BO335" s="499">
        <f t="shared" si="496"/>
        <v>295</v>
      </c>
      <c r="BP335" s="499">
        <f t="shared" si="497"/>
        <v>5.9679789999999997</v>
      </c>
      <c r="BQ335" s="5">
        <f t="shared" si="490"/>
        <v>0</v>
      </c>
      <c r="BR335" s="499">
        <f t="shared" si="498"/>
        <v>19.302046000000001</v>
      </c>
      <c r="BS335" s="499">
        <f t="shared" si="499"/>
        <v>1088.5249650000001</v>
      </c>
      <c r="BU335" s="499">
        <f t="shared" si="500"/>
        <v>295</v>
      </c>
      <c r="BV335" s="499">
        <f t="shared" si="501"/>
        <v>5.9679789999999997</v>
      </c>
      <c r="BW335" s="5">
        <f t="shared" si="491"/>
        <v>0</v>
      </c>
      <c r="BX335" s="499">
        <f t="shared" si="502"/>
        <v>19.302046000000001</v>
      </c>
      <c r="BY335" s="499">
        <f t="shared" si="503"/>
        <v>1088.5249650000001</v>
      </c>
      <c r="CA335">
        <v>295</v>
      </c>
      <c r="CB335">
        <v>5.9679789999999997</v>
      </c>
      <c r="CC335">
        <v>0</v>
      </c>
      <c r="CD335">
        <v>19.302046000000001</v>
      </c>
      <c r="CE335">
        <v>1088.5249650000001</v>
      </c>
      <c r="CG335" s="499">
        <f t="shared" si="504"/>
        <v>0</v>
      </c>
      <c r="CH335" s="499">
        <f t="shared" si="505"/>
        <v>0</v>
      </c>
      <c r="CI335" s="499">
        <f t="shared" si="506"/>
        <v>0</v>
      </c>
      <c r="CJ335" s="499">
        <f t="shared" si="507"/>
        <v>0</v>
      </c>
      <c r="CP335" s="499"/>
      <c r="CQ335" s="65">
        <f t="shared" si="509"/>
        <v>0.26805157856004791</v>
      </c>
      <c r="CR335" s="499">
        <f t="shared" si="510"/>
        <v>0.26805157856004791</v>
      </c>
      <c r="CS335" s="499">
        <f t="shared" si="511"/>
        <v>0.26805157856004791</v>
      </c>
      <c r="CT335" s="38">
        <f t="shared" si="512"/>
        <v>1</v>
      </c>
      <c r="CU335" s="498">
        <f t="shared" si="513"/>
        <v>1</v>
      </c>
    </row>
    <row r="336" spans="43:99">
      <c r="AQ336" s="499"/>
      <c r="AR336" s="228">
        <v>21.902571999999999</v>
      </c>
      <c r="AS336" s="13">
        <v>270</v>
      </c>
      <c r="AT336" s="13">
        <v>5.7873020000000004</v>
      </c>
      <c r="AU336" s="13">
        <f t="shared" si="524"/>
        <v>0</v>
      </c>
      <c r="AV336" s="13">
        <f t="shared" si="515"/>
        <v>21.902571999999999</v>
      </c>
      <c r="AW336" s="13">
        <f t="shared" si="516"/>
        <v>21.902571999999999</v>
      </c>
      <c r="AX336" s="13">
        <f t="shared" si="517"/>
        <v>21.902571999999999</v>
      </c>
      <c r="AY336" s="13">
        <v>712.75831400000004</v>
      </c>
      <c r="AZ336" s="13">
        <f t="shared" si="518"/>
        <v>0</v>
      </c>
      <c r="BA336" s="13">
        <f t="shared" si="519"/>
        <v>0</v>
      </c>
      <c r="BB336" s="97">
        <f t="shared" si="520"/>
        <v>0</v>
      </c>
      <c r="BC336" s="499"/>
      <c r="BD336" s="499">
        <v>46.75</v>
      </c>
      <c r="BE336" s="499">
        <v>26.743097782258065</v>
      </c>
      <c r="BF336" s="499">
        <v>20.416876814516129</v>
      </c>
      <c r="BG336" s="499">
        <v>26.356258746739929</v>
      </c>
      <c r="BI336" s="499">
        <f t="shared" ref="BI336:BJ336" si="529">AS339</f>
        <v>472</v>
      </c>
      <c r="BJ336" s="499">
        <f t="shared" si="529"/>
        <v>5.9772080000000001</v>
      </c>
      <c r="BK336" s="5">
        <f t="shared" si="493"/>
        <v>1</v>
      </c>
      <c r="BL336" s="499">
        <f t="shared" si="494"/>
        <v>29.76305</v>
      </c>
      <c r="BM336" s="499">
        <f t="shared" si="495"/>
        <v>998.64377000000002</v>
      </c>
      <c r="BO336" s="499">
        <f t="shared" si="496"/>
        <v>472</v>
      </c>
      <c r="BP336" s="499">
        <f t="shared" si="497"/>
        <v>5.9772080000000001</v>
      </c>
      <c r="BQ336" s="5">
        <f t="shared" si="490"/>
        <v>1</v>
      </c>
      <c r="BR336" s="499">
        <f t="shared" si="498"/>
        <v>29.76305</v>
      </c>
      <c r="BS336" s="499">
        <f t="shared" si="499"/>
        <v>998.64377000000002</v>
      </c>
      <c r="BU336" s="499">
        <f t="shared" si="500"/>
        <v>472</v>
      </c>
      <c r="BV336" s="499">
        <f t="shared" si="501"/>
        <v>5.9772080000000001</v>
      </c>
      <c r="BW336" s="5">
        <f t="shared" si="491"/>
        <v>1</v>
      </c>
      <c r="BX336" s="499">
        <f t="shared" si="502"/>
        <v>29.76305</v>
      </c>
      <c r="BY336" s="499">
        <f t="shared" si="503"/>
        <v>998.64377000000002</v>
      </c>
      <c r="CA336">
        <v>472</v>
      </c>
      <c r="CB336">
        <v>5.9772080000000001</v>
      </c>
      <c r="CC336">
        <v>1</v>
      </c>
      <c r="CD336">
        <v>29.76305</v>
      </c>
      <c r="CE336">
        <v>998.64377000000002</v>
      </c>
      <c r="CG336" s="499">
        <f t="shared" si="504"/>
        <v>1</v>
      </c>
      <c r="CH336" s="499">
        <f t="shared" si="505"/>
        <v>1</v>
      </c>
      <c r="CI336" s="499">
        <f t="shared" si="506"/>
        <v>1</v>
      </c>
      <c r="CJ336" s="499">
        <f t="shared" si="507"/>
        <v>1</v>
      </c>
      <c r="CP336" s="499"/>
      <c r="CQ336" s="65">
        <f t="shared" si="509"/>
        <v>0.97881713779465906</v>
      </c>
      <c r="CR336" s="499">
        <f t="shared" si="510"/>
        <v>0.97881713779465906</v>
      </c>
      <c r="CS336" s="499">
        <f t="shared" si="511"/>
        <v>0.97881713779465906</v>
      </c>
      <c r="CT336" s="38">
        <f t="shared" si="512"/>
        <v>1</v>
      </c>
      <c r="CU336" s="498">
        <f t="shared" si="513"/>
        <v>1</v>
      </c>
    </row>
    <row r="337" spans="43:99">
      <c r="AQ337" s="499"/>
      <c r="AR337" s="228">
        <v>24.844049999999999</v>
      </c>
      <c r="AS337" s="13">
        <v>78</v>
      </c>
      <c r="AT337" s="13">
        <v>5.9573520000000002</v>
      </c>
      <c r="AU337" s="13">
        <f t="shared" si="524"/>
        <v>1</v>
      </c>
      <c r="AV337" s="13">
        <f t="shared" si="515"/>
        <v>24.844049999999999</v>
      </c>
      <c r="AW337" s="13">
        <f t="shared" si="516"/>
        <v>24.844049999999999</v>
      </c>
      <c r="AX337" s="13">
        <f t="shared" si="517"/>
        <v>24.844049999999999</v>
      </c>
      <c r="AY337" s="13">
        <v>911.12652100000003</v>
      </c>
      <c r="AZ337" s="13">
        <f t="shared" si="518"/>
        <v>0</v>
      </c>
      <c r="BA337" s="13">
        <f t="shared" si="519"/>
        <v>0</v>
      </c>
      <c r="BB337" s="97">
        <f t="shared" si="520"/>
        <v>0</v>
      </c>
      <c r="BC337" s="499"/>
      <c r="BD337" s="499">
        <v>46.55</v>
      </c>
      <c r="BE337" s="499">
        <v>26.739614314516128</v>
      </c>
      <c r="BF337" s="499">
        <v>20.438780241935483</v>
      </c>
      <c r="BG337" s="499">
        <v>26.384554557632789</v>
      </c>
      <c r="BI337" s="499">
        <f t="shared" ref="BI337:BJ337" si="530">AS340</f>
        <v>79</v>
      </c>
      <c r="BJ337" s="499">
        <f t="shared" si="530"/>
        <v>6.0028290000000002</v>
      </c>
      <c r="BK337" s="5">
        <f t="shared" si="493"/>
        <v>0</v>
      </c>
      <c r="BL337" s="499">
        <f t="shared" si="494"/>
        <v>20.792435999999999</v>
      </c>
      <c r="BM337" s="499">
        <f t="shared" si="495"/>
        <v>826.28956500000004</v>
      </c>
      <c r="BO337" s="499">
        <f t="shared" si="496"/>
        <v>79</v>
      </c>
      <c r="BP337" s="499">
        <f t="shared" si="497"/>
        <v>6.0028290000000002</v>
      </c>
      <c r="BQ337" s="5">
        <f t="shared" si="490"/>
        <v>0</v>
      </c>
      <c r="BR337" s="499">
        <f t="shared" si="498"/>
        <v>20.792435999999999</v>
      </c>
      <c r="BS337" s="499">
        <f t="shared" si="499"/>
        <v>826.28956500000004</v>
      </c>
      <c r="BU337" s="499">
        <f t="shared" si="500"/>
        <v>79</v>
      </c>
      <c r="BV337" s="499">
        <f t="shared" si="501"/>
        <v>6.0028290000000002</v>
      </c>
      <c r="BW337" s="5">
        <f t="shared" si="491"/>
        <v>0</v>
      </c>
      <c r="BX337" s="499">
        <f t="shared" si="502"/>
        <v>20.792435999999999</v>
      </c>
      <c r="BY337" s="499">
        <f t="shared" si="503"/>
        <v>826.28956500000004</v>
      </c>
      <c r="CA337">
        <v>79</v>
      </c>
      <c r="CB337">
        <v>6.0028290000000002</v>
      </c>
      <c r="CC337">
        <v>0</v>
      </c>
      <c r="CD337">
        <v>20.792435999999999</v>
      </c>
      <c r="CE337">
        <v>826.28956500000004</v>
      </c>
      <c r="CG337" s="499">
        <f t="shared" si="504"/>
        <v>0</v>
      </c>
      <c r="CH337" s="499">
        <f t="shared" si="505"/>
        <v>0</v>
      </c>
      <c r="CI337" s="499">
        <f t="shared" si="506"/>
        <v>0</v>
      </c>
      <c r="CJ337" s="499">
        <f t="shared" si="507"/>
        <v>0</v>
      </c>
      <c r="CP337" s="499"/>
      <c r="CQ337" s="65">
        <f t="shared" si="509"/>
        <v>2.1018520494606868E-5</v>
      </c>
      <c r="CR337" s="499">
        <f t="shared" si="510"/>
        <v>2.1018520494606868E-5</v>
      </c>
      <c r="CS337" s="499">
        <f t="shared" si="511"/>
        <v>2.1018520494606868E-5</v>
      </c>
      <c r="CT337" s="38">
        <f t="shared" si="512"/>
        <v>1</v>
      </c>
      <c r="CU337" s="498">
        <f t="shared" si="513"/>
        <v>1</v>
      </c>
    </row>
    <row r="338" spans="43:99">
      <c r="AQ338" s="499"/>
      <c r="AR338" s="228">
        <v>19.302046000000001</v>
      </c>
      <c r="AS338" s="13">
        <v>295</v>
      </c>
      <c r="AT338" s="13">
        <v>5.9679789999999997</v>
      </c>
      <c r="AU338" s="13">
        <f t="shared" si="524"/>
        <v>0</v>
      </c>
      <c r="AV338" s="13">
        <f t="shared" si="515"/>
        <v>19.302046000000001</v>
      </c>
      <c r="AW338" s="13">
        <f t="shared" si="516"/>
        <v>19.302046000000001</v>
      </c>
      <c r="AX338" s="13">
        <f t="shared" si="517"/>
        <v>19.302046000000001</v>
      </c>
      <c r="AY338" s="13">
        <v>1088.5249650000001</v>
      </c>
      <c r="AZ338" s="13">
        <f t="shared" si="518"/>
        <v>0</v>
      </c>
      <c r="BA338" s="13">
        <f t="shared" si="519"/>
        <v>0</v>
      </c>
      <c r="BB338" s="97">
        <f t="shared" si="520"/>
        <v>0</v>
      </c>
      <c r="BC338" s="499"/>
      <c r="BD338" s="499">
        <v>46.35</v>
      </c>
      <c r="BE338" s="499">
        <v>26.511909274193552</v>
      </c>
      <c r="BF338" s="499">
        <v>20.411310483870963</v>
      </c>
      <c r="BG338" s="499">
        <v>26.252168958301279</v>
      </c>
      <c r="BI338" s="499">
        <f t="shared" ref="BI338:BJ338" si="531">AS341</f>
        <v>110</v>
      </c>
      <c r="BJ338" s="499">
        <f t="shared" si="531"/>
        <v>6.0199579999999999</v>
      </c>
      <c r="BK338" s="5">
        <f t="shared" si="493"/>
        <v>0</v>
      </c>
      <c r="BL338" s="499">
        <f t="shared" si="494"/>
        <v>21.698409000000002</v>
      </c>
      <c r="BM338" s="499">
        <f t="shared" si="495"/>
        <v>1246.7447</v>
      </c>
      <c r="BO338" s="499">
        <f t="shared" si="496"/>
        <v>110</v>
      </c>
      <c r="BP338" s="499">
        <f t="shared" si="497"/>
        <v>6.0199579999999999</v>
      </c>
      <c r="BQ338" s="5">
        <f t="shared" si="490"/>
        <v>0</v>
      </c>
      <c r="BR338" s="499">
        <f t="shared" si="498"/>
        <v>21.698409000000002</v>
      </c>
      <c r="BS338" s="499">
        <f t="shared" si="499"/>
        <v>1246.7447</v>
      </c>
      <c r="BU338" s="499">
        <f t="shared" si="500"/>
        <v>110</v>
      </c>
      <c r="BV338" s="499">
        <f t="shared" si="501"/>
        <v>6.0199579999999999</v>
      </c>
      <c r="BW338" s="5">
        <f t="shared" si="491"/>
        <v>0</v>
      </c>
      <c r="BX338" s="499">
        <f t="shared" si="502"/>
        <v>21.698409000000002</v>
      </c>
      <c r="BY338" s="499">
        <f t="shared" si="503"/>
        <v>1246.7447</v>
      </c>
      <c r="CA338">
        <v>110</v>
      </c>
      <c r="CB338">
        <v>6.0199579999999999</v>
      </c>
      <c r="CC338">
        <v>0</v>
      </c>
      <c r="CD338">
        <v>21.698409000000002</v>
      </c>
      <c r="CE338">
        <v>1246.7447</v>
      </c>
      <c r="CG338" s="499">
        <f t="shared" si="504"/>
        <v>0</v>
      </c>
      <c r="CH338" s="499">
        <f t="shared" si="505"/>
        <v>0</v>
      </c>
      <c r="CI338" s="499">
        <f t="shared" si="506"/>
        <v>0</v>
      </c>
      <c r="CJ338" s="499">
        <f t="shared" si="507"/>
        <v>0</v>
      </c>
      <c r="CP338" s="499"/>
      <c r="CQ338" s="65">
        <f t="shared" si="509"/>
        <v>0.97803248739980131</v>
      </c>
      <c r="CR338" s="499">
        <f t="shared" si="510"/>
        <v>0.97803248739980131</v>
      </c>
      <c r="CS338" s="499">
        <f t="shared" si="511"/>
        <v>0.97803248739980131</v>
      </c>
      <c r="CT338" s="38">
        <f t="shared" si="512"/>
        <v>1</v>
      </c>
      <c r="CU338" s="498">
        <f t="shared" si="513"/>
        <v>1</v>
      </c>
    </row>
    <row r="339" spans="43:99">
      <c r="AQ339" s="499"/>
      <c r="AR339" s="228">
        <v>29.76305</v>
      </c>
      <c r="AS339" s="13">
        <v>472</v>
      </c>
      <c r="AT339" s="13">
        <v>5.9772080000000001</v>
      </c>
      <c r="AU339" s="13">
        <f t="shared" si="524"/>
        <v>1</v>
      </c>
      <c r="AV339" s="13">
        <f t="shared" si="515"/>
        <v>29.76305</v>
      </c>
      <c r="AW339" s="13">
        <f t="shared" si="516"/>
        <v>29.76305</v>
      </c>
      <c r="AX339" s="13">
        <f t="shared" si="517"/>
        <v>29.76305</v>
      </c>
      <c r="AY339" s="13">
        <v>998.64377000000002</v>
      </c>
      <c r="AZ339" s="13">
        <f t="shared" si="518"/>
        <v>0</v>
      </c>
      <c r="BA339" s="13">
        <f t="shared" si="519"/>
        <v>0</v>
      </c>
      <c r="BB339" s="97">
        <f t="shared" si="520"/>
        <v>0</v>
      </c>
      <c r="BC339" s="499"/>
      <c r="BD339" s="499">
        <v>46.15</v>
      </c>
      <c r="BE339" s="499">
        <v>26.509396169354826</v>
      </c>
      <c r="BF339" s="499">
        <v>20.383809677419357</v>
      </c>
      <c r="BG339" s="499">
        <v>26.26878344500458</v>
      </c>
      <c r="BI339" s="499">
        <f t="shared" ref="BI339:BJ339" si="532">AS342</f>
        <v>396</v>
      </c>
      <c r="BJ339" s="499">
        <f t="shared" si="532"/>
        <v>6.0474240000000004</v>
      </c>
      <c r="BK339" s="5">
        <f t="shared" si="493"/>
        <v>0</v>
      </c>
      <c r="BL339" s="499">
        <f t="shared" si="494"/>
        <v>19.302046000000001</v>
      </c>
      <c r="BM339" s="499">
        <f t="shared" si="495"/>
        <v>1000.759761</v>
      </c>
      <c r="BO339" s="499">
        <f t="shared" si="496"/>
        <v>396</v>
      </c>
      <c r="BP339" s="499">
        <f t="shared" si="497"/>
        <v>6.0474240000000004</v>
      </c>
      <c r="BQ339" s="5">
        <f t="shared" si="490"/>
        <v>0</v>
      </c>
      <c r="BR339" s="499">
        <f t="shared" si="498"/>
        <v>19.302046000000001</v>
      </c>
      <c r="BS339" s="499">
        <f t="shared" si="499"/>
        <v>1000.759761</v>
      </c>
      <c r="BU339" s="499">
        <f t="shared" si="500"/>
        <v>396</v>
      </c>
      <c r="BV339" s="499">
        <f t="shared" si="501"/>
        <v>6.0474240000000004</v>
      </c>
      <c r="BW339" s="5">
        <f t="shared" si="491"/>
        <v>0</v>
      </c>
      <c r="BX339" s="499">
        <f t="shared" si="502"/>
        <v>19.302046000000001</v>
      </c>
      <c r="BY339" s="499">
        <f t="shared" si="503"/>
        <v>1000.759761</v>
      </c>
      <c r="CA339">
        <v>396</v>
      </c>
      <c r="CB339">
        <v>6.0474240000000004</v>
      </c>
      <c r="CC339">
        <v>0</v>
      </c>
      <c r="CD339">
        <v>19.302046000000001</v>
      </c>
      <c r="CE339">
        <v>1000.759761</v>
      </c>
      <c r="CG339" s="499">
        <f t="shared" si="504"/>
        <v>0</v>
      </c>
      <c r="CH339" s="499">
        <f t="shared" si="505"/>
        <v>0</v>
      </c>
      <c r="CI339" s="499">
        <f t="shared" si="506"/>
        <v>0</v>
      </c>
      <c r="CJ339" s="499">
        <f t="shared" si="507"/>
        <v>0</v>
      </c>
      <c r="CP339" s="499"/>
      <c r="CQ339" s="65">
        <f t="shared" si="509"/>
        <v>0.9738747952144361</v>
      </c>
      <c r="CR339" s="499">
        <f t="shared" si="510"/>
        <v>0.9738747952144361</v>
      </c>
      <c r="CS339" s="499">
        <f t="shared" si="511"/>
        <v>0.9738747952144361</v>
      </c>
      <c r="CT339" s="38">
        <f t="shared" si="512"/>
        <v>1</v>
      </c>
      <c r="CU339" s="498">
        <f t="shared" si="513"/>
        <v>1</v>
      </c>
    </row>
    <row r="340" spans="43:99">
      <c r="AQ340" s="499"/>
      <c r="AR340" s="228">
        <v>20.792435999999999</v>
      </c>
      <c r="AS340" s="13">
        <v>79</v>
      </c>
      <c r="AT340" s="13">
        <v>6.0028290000000002</v>
      </c>
      <c r="AU340" s="13">
        <f t="shared" si="524"/>
        <v>0</v>
      </c>
      <c r="AV340" s="13">
        <f t="shared" si="515"/>
        <v>20.792435999999999</v>
      </c>
      <c r="AW340" s="13">
        <f t="shared" si="516"/>
        <v>20.792435999999999</v>
      </c>
      <c r="AX340" s="13">
        <f t="shared" si="517"/>
        <v>20.792435999999999</v>
      </c>
      <c r="AY340" s="13">
        <v>826.28956500000004</v>
      </c>
      <c r="AZ340" s="13">
        <f t="shared" si="518"/>
        <v>0</v>
      </c>
      <c r="BA340" s="13">
        <f t="shared" si="519"/>
        <v>0</v>
      </c>
      <c r="BB340" s="97">
        <f t="shared" si="520"/>
        <v>0</v>
      </c>
      <c r="BC340" s="499"/>
      <c r="BD340" s="499">
        <v>45.95</v>
      </c>
      <c r="BE340" s="499">
        <v>26.539531653225804</v>
      </c>
      <c r="BF340" s="499">
        <v>20.35488689516129</v>
      </c>
      <c r="BG340" s="499">
        <v>26.317850060068686</v>
      </c>
      <c r="BI340" s="499">
        <f t="shared" ref="BI340:BJ340" si="533">AS343</f>
        <v>97</v>
      </c>
      <c r="BJ340" s="499">
        <f t="shared" si="533"/>
        <v>6.0859059999999996</v>
      </c>
      <c r="BK340" s="5">
        <f t="shared" si="493"/>
        <v>0</v>
      </c>
      <c r="BL340" s="499">
        <f t="shared" si="494"/>
        <v>20.792435999999999</v>
      </c>
      <c r="BM340" s="499">
        <f t="shared" si="495"/>
        <v>589.99568499999998</v>
      </c>
      <c r="BO340" s="499">
        <f t="shared" si="496"/>
        <v>97</v>
      </c>
      <c r="BP340" s="499">
        <f t="shared" si="497"/>
        <v>6.0859059999999996</v>
      </c>
      <c r="BQ340" s="5">
        <f t="shared" si="490"/>
        <v>0</v>
      </c>
      <c r="BR340" s="499">
        <f t="shared" si="498"/>
        <v>20.792435999999999</v>
      </c>
      <c r="BS340" s="499">
        <f t="shared" si="499"/>
        <v>589.99568499999998</v>
      </c>
      <c r="BU340" s="499">
        <f t="shared" si="500"/>
        <v>97</v>
      </c>
      <c r="BV340" s="499">
        <f t="shared" si="501"/>
        <v>6.0859059999999996</v>
      </c>
      <c r="BW340" s="5">
        <f t="shared" si="491"/>
        <v>0</v>
      </c>
      <c r="BX340" s="499">
        <f t="shared" si="502"/>
        <v>20.792435999999999</v>
      </c>
      <c r="BY340" s="499">
        <f t="shared" si="503"/>
        <v>589.99568499999998</v>
      </c>
      <c r="CA340">
        <v>97</v>
      </c>
      <c r="CB340">
        <v>6.0859059999999996</v>
      </c>
      <c r="CC340">
        <v>0</v>
      </c>
      <c r="CD340">
        <v>20.792435999999999</v>
      </c>
      <c r="CE340">
        <v>589.99568499999998</v>
      </c>
      <c r="CG340" s="499">
        <f t="shared" si="504"/>
        <v>0</v>
      </c>
      <c r="CH340" s="499">
        <f t="shared" si="505"/>
        <v>0</v>
      </c>
      <c r="CI340" s="499">
        <f t="shared" si="506"/>
        <v>0</v>
      </c>
      <c r="CJ340" s="499">
        <f t="shared" si="507"/>
        <v>0</v>
      </c>
      <c r="CP340" s="499"/>
      <c r="CQ340" s="65">
        <f t="shared" si="509"/>
        <v>0.97881713779465906</v>
      </c>
      <c r="CR340" s="499">
        <f t="shared" si="510"/>
        <v>0.97881713779465906</v>
      </c>
      <c r="CS340" s="499">
        <f t="shared" si="511"/>
        <v>0.97881713779465906</v>
      </c>
      <c r="CT340" s="38">
        <f t="shared" si="512"/>
        <v>1</v>
      </c>
      <c r="CU340" s="498">
        <f t="shared" si="513"/>
        <v>1</v>
      </c>
    </row>
    <row r="341" spans="43:99">
      <c r="AQ341" s="499"/>
      <c r="AR341" s="228">
        <v>21.698409000000002</v>
      </c>
      <c r="AS341" s="13">
        <v>110</v>
      </c>
      <c r="AT341" s="13">
        <v>6.0199579999999999</v>
      </c>
      <c r="AU341" s="13">
        <f t="shared" si="524"/>
        <v>0</v>
      </c>
      <c r="AV341" s="13">
        <f t="shared" si="515"/>
        <v>21.698409000000002</v>
      </c>
      <c r="AW341" s="13">
        <f t="shared" si="516"/>
        <v>21.698409000000002</v>
      </c>
      <c r="AX341" s="13">
        <f t="shared" si="517"/>
        <v>21.698409000000002</v>
      </c>
      <c r="AY341" s="13">
        <v>1246.7447</v>
      </c>
      <c r="AZ341" s="13">
        <f t="shared" si="518"/>
        <v>0</v>
      </c>
      <c r="BA341" s="13">
        <f t="shared" si="519"/>
        <v>0</v>
      </c>
      <c r="BB341" s="97">
        <f t="shared" si="520"/>
        <v>0</v>
      </c>
      <c r="BC341" s="499"/>
      <c r="BD341" s="499">
        <v>45.75</v>
      </c>
      <c r="BE341" s="499">
        <v>26.569308870967742</v>
      </c>
      <c r="BF341" s="499">
        <v>20.324888306451612</v>
      </c>
      <c r="BG341" s="499">
        <v>26.359144843511896</v>
      </c>
      <c r="BI341" s="499">
        <f t="shared" ref="BI341:BJ341" si="534">AS344</f>
        <v>431</v>
      </c>
      <c r="BJ341" s="499">
        <f t="shared" si="534"/>
        <v>6.1508880000000001</v>
      </c>
      <c r="BK341" s="5">
        <f t="shared" si="493"/>
        <v>0</v>
      </c>
      <c r="BL341" s="499">
        <f t="shared" si="494"/>
        <v>19.866046000000001</v>
      </c>
      <c r="BM341" s="499">
        <f t="shared" si="495"/>
        <v>475.99050799999998</v>
      </c>
      <c r="BO341" s="499">
        <f t="shared" si="496"/>
        <v>431</v>
      </c>
      <c r="BP341" s="499">
        <f t="shared" si="497"/>
        <v>6.1508880000000001</v>
      </c>
      <c r="BQ341" s="5">
        <f t="shared" si="490"/>
        <v>0</v>
      </c>
      <c r="BR341" s="499">
        <f t="shared" si="498"/>
        <v>19.866046000000001</v>
      </c>
      <c r="BS341" s="499">
        <f t="shared" si="499"/>
        <v>475.99050799999998</v>
      </c>
      <c r="BU341" s="499">
        <f t="shared" si="500"/>
        <v>431</v>
      </c>
      <c r="BV341" s="499">
        <f t="shared" si="501"/>
        <v>6.1508880000000001</v>
      </c>
      <c r="BW341" s="5">
        <f t="shared" si="491"/>
        <v>0</v>
      </c>
      <c r="BX341" s="499">
        <f t="shared" si="502"/>
        <v>19.866046000000001</v>
      </c>
      <c r="BY341" s="499">
        <f t="shared" si="503"/>
        <v>475.99050799999998</v>
      </c>
      <c r="CA341">
        <v>431</v>
      </c>
      <c r="CB341">
        <v>6.1508880000000001</v>
      </c>
      <c r="CC341">
        <v>0</v>
      </c>
      <c r="CD341">
        <v>19.866046000000001</v>
      </c>
      <c r="CE341">
        <v>475.99050799999998</v>
      </c>
      <c r="CG341" s="499">
        <f t="shared" si="504"/>
        <v>0</v>
      </c>
      <c r="CH341" s="499">
        <f t="shared" si="505"/>
        <v>0</v>
      </c>
      <c r="CI341" s="499">
        <f t="shared" si="506"/>
        <v>0</v>
      </c>
      <c r="CJ341" s="499">
        <f t="shared" si="507"/>
        <v>0</v>
      </c>
      <c r="CP341" s="499"/>
      <c r="CQ341" s="65">
        <f t="shared" si="509"/>
        <v>0.97803248739980131</v>
      </c>
      <c r="CR341" s="499">
        <f t="shared" si="510"/>
        <v>0.97803248739980131</v>
      </c>
      <c r="CS341" s="499">
        <f t="shared" si="511"/>
        <v>0.97803248739980131</v>
      </c>
      <c r="CT341" s="38">
        <f t="shared" si="512"/>
        <v>1</v>
      </c>
      <c r="CU341" s="498">
        <f t="shared" si="513"/>
        <v>1</v>
      </c>
    </row>
    <row r="342" spans="43:99">
      <c r="AQ342" s="499"/>
      <c r="AR342" s="228">
        <v>19.302046000000001</v>
      </c>
      <c r="AS342" s="13">
        <v>396</v>
      </c>
      <c r="AT342" s="13">
        <v>6.0474240000000004</v>
      </c>
      <c r="AU342" s="13">
        <f t="shared" si="524"/>
        <v>0</v>
      </c>
      <c r="AV342" s="13">
        <f t="shared" si="515"/>
        <v>19.302046000000001</v>
      </c>
      <c r="AW342" s="13">
        <f t="shared" si="516"/>
        <v>19.302046000000001</v>
      </c>
      <c r="AX342" s="13">
        <f t="shared" si="517"/>
        <v>19.302046000000001</v>
      </c>
      <c r="AY342" s="13">
        <v>1000.759761</v>
      </c>
      <c r="AZ342" s="13">
        <f t="shared" si="518"/>
        <v>0</v>
      </c>
      <c r="BA342" s="13">
        <f t="shared" si="519"/>
        <v>0</v>
      </c>
      <c r="BB342" s="97">
        <f t="shared" si="520"/>
        <v>0</v>
      </c>
      <c r="BC342" s="499"/>
      <c r="BD342" s="499">
        <v>45.55</v>
      </c>
      <c r="BE342" s="499">
        <v>26.628542943548382</v>
      </c>
      <c r="BF342" s="499">
        <v>20.306776008064514</v>
      </c>
      <c r="BG342" s="499">
        <v>26.396587020169413</v>
      </c>
      <c r="BI342" s="499">
        <f t="shared" ref="BI342:BJ342" si="535">AS345</f>
        <v>427</v>
      </c>
      <c r="BJ342" s="499">
        <f t="shared" si="535"/>
        <v>6.1568509999999996</v>
      </c>
      <c r="BK342" s="5">
        <f t="shared" si="493"/>
        <v>0</v>
      </c>
      <c r="BL342" s="499">
        <f t="shared" si="494"/>
        <v>23.047415000000001</v>
      </c>
      <c r="BM342" s="499">
        <f t="shared" si="495"/>
        <v>897.18048199999998</v>
      </c>
      <c r="BO342" s="499">
        <f t="shared" si="496"/>
        <v>427</v>
      </c>
      <c r="BP342" s="499">
        <f t="shared" si="497"/>
        <v>6.1568509999999996</v>
      </c>
      <c r="BQ342" s="5">
        <f t="shared" si="490"/>
        <v>0</v>
      </c>
      <c r="BR342" s="499">
        <f t="shared" si="498"/>
        <v>23.047415000000001</v>
      </c>
      <c r="BS342" s="499">
        <f t="shared" si="499"/>
        <v>897.18048199999998</v>
      </c>
      <c r="BU342" s="499">
        <f t="shared" si="500"/>
        <v>427</v>
      </c>
      <c r="BV342" s="499">
        <f t="shared" si="501"/>
        <v>6.1568509999999996</v>
      </c>
      <c r="BW342" s="5">
        <f t="shared" si="491"/>
        <v>0</v>
      </c>
      <c r="BX342" s="499">
        <f t="shared" si="502"/>
        <v>23.047415000000001</v>
      </c>
      <c r="BY342" s="499">
        <f t="shared" si="503"/>
        <v>897.18048199999998</v>
      </c>
      <c r="CA342">
        <v>427</v>
      </c>
      <c r="CB342">
        <v>6.1568509999999996</v>
      </c>
      <c r="CC342">
        <v>0</v>
      </c>
      <c r="CD342">
        <v>23.047415000000001</v>
      </c>
      <c r="CE342">
        <v>897.18048199999998</v>
      </c>
      <c r="CG342" s="499">
        <f t="shared" si="504"/>
        <v>0</v>
      </c>
      <c r="CH342" s="499">
        <f t="shared" si="505"/>
        <v>0</v>
      </c>
      <c r="CI342" s="499">
        <f t="shared" si="506"/>
        <v>0</v>
      </c>
      <c r="CJ342" s="499">
        <f t="shared" si="507"/>
        <v>0</v>
      </c>
      <c r="CP342" s="499"/>
      <c r="CQ342" s="65">
        <f t="shared" si="509"/>
        <v>0.97872856611307357</v>
      </c>
      <c r="CR342" s="499">
        <f t="shared" si="510"/>
        <v>0.97872856611307357</v>
      </c>
      <c r="CS342" s="499">
        <f t="shared" si="511"/>
        <v>0.97872856611307357</v>
      </c>
      <c r="CT342" s="38">
        <f t="shared" si="512"/>
        <v>1</v>
      </c>
      <c r="CU342" s="498">
        <f t="shared" si="513"/>
        <v>1</v>
      </c>
    </row>
    <row r="343" spans="43:99">
      <c r="AQ343" s="499"/>
      <c r="AR343" s="228">
        <v>20.792435999999999</v>
      </c>
      <c r="AS343" s="13">
        <v>97</v>
      </c>
      <c r="AT343" s="13">
        <v>6.0859059999999996</v>
      </c>
      <c r="AU343" s="13">
        <f t="shared" si="524"/>
        <v>0</v>
      </c>
      <c r="AV343" s="13">
        <f t="shared" si="515"/>
        <v>20.792435999999999</v>
      </c>
      <c r="AW343" s="13">
        <f t="shared" si="516"/>
        <v>20.792435999999999</v>
      </c>
      <c r="AX343" s="13">
        <f t="shared" si="517"/>
        <v>20.792435999999999</v>
      </c>
      <c r="AY343" s="13">
        <v>589.99568499999998</v>
      </c>
      <c r="AZ343" s="13">
        <f t="shared" si="518"/>
        <v>0</v>
      </c>
      <c r="BA343" s="13">
        <f t="shared" si="519"/>
        <v>0</v>
      </c>
      <c r="BB343" s="97">
        <f t="shared" si="520"/>
        <v>0</v>
      </c>
      <c r="BC343" s="499"/>
      <c r="BD343" s="499">
        <v>45.35</v>
      </c>
      <c r="BE343" s="499">
        <v>26.689679233870965</v>
      </c>
      <c r="BF343" s="499">
        <v>20.301248588709672</v>
      </c>
      <c r="BG343" s="499">
        <v>26.41230166059982</v>
      </c>
      <c r="BI343" s="499">
        <f t="shared" ref="BI343:BJ343" si="536">AS346</f>
        <v>272</v>
      </c>
      <c r="BJ343" s="499">
        <f t="shared" si="536"/>
        <v>6.2</v>
      </c>
      <c r="BK343" s="5">
        <f t="shared" si="493"/>
        <v>0</v>
      </c>
      <c r="BL343" s="499">
        <f t="shared" si="494"/>
        <v>23.556802000000001</v>
      </c>
      <c r="BM343" s="499">
        <f t="shared" si="495"/>
        <v>1035.1293459999999</v>
      </c>
      <c r="BO343" s="499">
        <f t="shared" si="496"/>
        <v>272</v>
      </c>
      <c r="BP343" s="499">
        <f t="shared" si="497"/>
        <v>6.2</v>
      </c>
      <c r="BQ343" s="5">
        <f t="shared" si="490"/>
        <v>0</v>
      </c>
      <c r="BR343" s="499">
        <f t="shared" si="498"/>
        <v>23.556802000000001</v>
      </c>
      <c r="BS343" s="499">
        <f t="shared" si="499"/>
        <v>1035.1293459999999</v>
      </c>
      <c r="BU343" s="499">
        <f t="shared" si="500"/>
        <v>272</v>
      </c>
      <c r="BV343" s="499">
        <f t="shared" si="501"/>
        <v>6.2</v>
      </c>
      <c r="BW343" s="5">
        <f t="shared" si="491"/>
        <v>0</v>
      </c>
      <c r="BX343" s="499">
        <f t="shared" si="502"/>
        <v>23.556802000000001</v>
      </c>
      <c r="BY343" s="499">
        <f t="shared" si="503"/>
        <v>1035.1293459999999</v>
      </c>
      <c r="CA343">
        <v>272</v>
      </c>
      <c r="CB343">
        <v>6.2</v>
      </c>
      <c r="CC343">
        <v>0</v>
      </c>
      <c r="CD343">
        <v>23.556802000000001</v>
      </c>
      <c r="CE343">
        <v>1035.1293459999999</v>
      </c>
      <c r="CG343" s="499">
        <f t="shared" si="504"/>
        <v>0</v>
      </c>
      <c r="CH343" s="499">
        <f t="shared" si="505"/>
        <v>0</v>
      </c>
      <c r="CI343" s="499">
        <f t="shared" si="506"/>
        <v>0</v>
      </c>
      <c r="CJ343" s="499">
        <f t="shared" si="507"/>
        <v>0</v>
      </c>
      <c r="CP343" s="499"/>
      <c r="CQ343" s="65">
        <f t="shared" si="509"/>
        <v>0.9108349945114198</v>
      </c>
      <c r="CR343" s="499">
        <f t="shared" si="510"/>
        <v>0.9108349945114198</v>
      </c>
      <c r="CS343" s="499">
        <f t="shared" si="511"/>
        <v>0.9108349945114198</v>
      </c>
      <c r="CT343" s="38">
        <f t="shared" si="512"/>
        <v>1</v>
      </c>
      <c r="CU343" s="498">
        <f t="shared" si="513"/>
        <v>1</v>
      </c>
    </row>
    <row r="344" spans="43:99">
      <c r="AQ344" s="499"/>
      <c r="AR344" s="228">
        <v>19.866046000000001</v>
      </c>
      <c r="AS344" s="13">
        <v>431</v>
      </c>
      <c r="AT344" s="13">
        <v>6.1508880000000001</v>
      </c>
      <c r="AU344" s="13">
        <f t="shared" si="524"/>
        <v>0</v>
      </c>
      <c r="AV344" s="13">
        <f t="shared" si="515"/>
        <v>19.866046000000001</v>
      </c>
      <c r="AW344" s="13">
        <f t="shared" si="516"/>
        <v>19.866046000000001</v>
      </c>
      <c r="AX344" s="13">
        <f t="shared" si="517"/>
        <v>19.866046000000001</v>
      </c>
      <c r="AY344" s="13">
        <v>475.99050799999998</v>
      </c>
      <c r="AZ344" s="13">
        <f t="shared" si="518"/>
        <v>0</v>
      </c>
      <c r="BA344" s="13">
        <f t="shared" si="519"/>
        <v>0</v>
      </c>
      <c r="BB344" s="97">
        <f t="shared" si="520"/>
        <v>0</v>
      </c>
      <c r="BC344" s="499"/>
      <c r="BD344" s="499">
        <v>45.15</v>
      </c>
      <c r="BE344" s="499">
        <v>26.709298991935476</v>
      </c>
      <c r="BF344" s="499">
        <v>20.28068286290322</v>
      </c>
      <c r="BG344" s="499">
        <v>26.333098739684065</v>
      </c>
      <c r="BI344" s="499">
        <f t="shared" ref="BI344:BJ344" si="537">AS347</f>
        <v>277</v>
      </c>
      <c r="BJ344" s="499">
        <f t="shared" si="537"/>
        <v>6.2026430000000001</v>
      </c>
      <c r="BK344" s="5">
        <f t="shared" si="493"/>
        <v>0</v>
      </c>
      <c r="BL344" s="499">
        <f t="shared" si="494"/>
        <v>21.682075999999999</v>
      </c>
      <c r="BM344" s="499">
        <f t="shared" si="495"/>
        <v>724.66002100000003</v>
      </c>
      <c r="BO344" s="499">
        <f t="shared" si="496"/>
        <v>277</v>
      </c>
      <c r="BP344" s="499">
        <f t="shared" si="497"/>
        <v>6.2026430000000001</v>
      </c>
      <c r="BQ344" s="5">
        <f t="shared" si="490"/>
        <v>0</v>
      </c>
      <c r="BR344" s="499">
        <f t="shared" si="498"/>
        <v>21.682075999999999</v>
      </c>
      <c r="BS344" s="499">
        <f t="shared" si="499"/>
        <v>724.66002100000003</v>
      </c>
      <c r="BU344" s="499">
        <f t="shared" si="500"/>
        <v>277</v>
      </c>
      <c r="BV344" s="499">
        <f t="shared" si="501"/>
        <v>6.2026430000000001</v>
      </c>
      <c r="BW344" s="5">
        <f t="shared" si="491"/>
        <v>0</v>
      </c>
      <c r="BX344" s="499">
        <f t="shared" si="502"/>
        <v>21.682075999999999</v>
      </c>
      <c r="BY344" s="499">
        <f t="shared" si="503"/>
        <v>724.66002100000003</v>
      </c>
      <c r="CA344">
        <v>277</v>
      </c>
      <c r="CB344">
        <v>6.2026430000000001</v>
      </c>
      <c r="CC344">
        <v>0</v>
      </c>
      <c r="CD344">
        <v>21.682075999999999</v>
      </c>
      <c r="CE344">
        <v>724.66002100000003</v>
      </c>
      <c r="CG344" s="499">
        <f t="shared" si="504"/>
        <v>0</v>
      </c>
      <c r="CH344" s="499">
        <f t="shared" si="505"/>
        <v>0</v>
      </c>
      <c r="CI344" s="499">
        <f t="shared" si="506"/>
        <v>0</v>
      </c>
      <c r="CJ344" s="499">
        <f t="shared" si="507"/>
        <v>0</v>
      </c>
      <c r="CP344" s="499"/>
      <c r="CQ344" s="65">
        <f t="shared" si="509"/>
        <v>0.81200650667862628</v>
      </c>
      <c r="CR344" s="499">
        <f t="shared" si="510"/>
        <v>0.81200650667862628</v>
      </c>
      <c r="CS344" s="499">
        <f t="shared" si="511"/>
        <v>0.81200650667862628</v>
      </c>
      <c r="CT344" s="38">
        <f t="shared" si="512"/>
        <v>1</v>
      </c>
      <c r="CU344" s="498">
        <f t="shared" si="513"/>
        <v>1</v>
      </c>
    </row>
    <row r="345" spans="43:99">
      <c r="AQ345" s="499"/>
      <c r="AR345" s="228">
        <v>23.047415000000001</v>
      </c>
      <c r="AS345" s="13">
        <v>427</v>
      </c>
      <c r="AT345" s="13">
        <v>6.1568509999999996</v>
      </c>
      <c r="AU345" s="13">
        <f t="shared" si="524"/>
        <v>0</v>
      </c>
      <c r="AV345" s="13">
        <f t="shared" si="515"/>
        <v>23.047415000000001</v>
      </c>
      <c r="AW345" s="13">
        <f t="shared" si="516"/>
        <v>23.047415000000001</v>
      </c>
      <c r="AX345" s="13">
        <f t="shared" si="517"/>
        <v>23.047415000000001</v>
      </c>
      <c r="AY345" s="13">
        <v>897.18048199999998</v>
      </c>
      <c r="AZ345" s="13">
        <f t="shared" si="518"/>
        <v>0</v>
      </c>
      <c r="BA345" s="13">
        <f t="shared" si="519"/>
        <v>0</v>
      </c>
      <c r="BB345" s="97">
        <f t="shared" si="520"/>
        <v>0</v>
      </c>
      <c r="BC345" s="499"/>
      <c r="BD345" s="499">
        <v>44.95</v>
      </c>
      <c r="BE345" s="499">
        <v>26.69363044354839</v>
      </c>
      <c r="BF345" s="499">
        <v>20.412421169354836</v>
      </c>
      <c r="BG345" s="499">
        <v>26.294546627733517</v>
      </c>
      <c r="BI345" s="499">
        <f t="shared" ref="BI345:BJ345" si="538">AS348</f>
        <v>62</v>
      </c>
      <c r="BJ345" s="499">
        <f t="shared" si="538"/>
        <v>6.2354539999999998</v>
      </c>
      <c r="BK345" s="5">
        <f t="shared" si="493"/>
        <v>0</v>
      </c>
      <c r="BL345" s="499">
        <f t="shared" si="494"/>
        <v>23.5518</v>
      </c>
      <c r="BM345" s="499">
        <f t="shared" si="495"/>
        <v>1103.3478399999999</v>
      </c>
      <c r="BO345" s="499">
        <f t="shared" si="496"/>
        <v>62</v>
      </c>
      <c r="BP345" s="499">
        <f t="shared" si="497"/>
        <v>6.2354539999999998</v>
      </c>
      <c r="BQ345" s="5">
        <f t="shared" si="490"/>
        <v>0</v>
      </c>
      <c r="BR345" s="499">
        <f t="shared" si="498"/>
        <v>23.5518</v>
      </c>
      <c r="BS345" s="499">
        <f t="shared" si="499"/>
        <v>1103.3478399999999</v>
      </c>
      <c r="BU345" s="499">
        <f t="shared" si="500"/>
        <v>62</v>
      </c>
      <c r="BV345" s="499">
        <f t="shared" si="501"/>
        <v>6.2354539999999998</v>
      </c>
      <c r="BW345" s="5">
        <f t="shared" si="491"/>
        <v>0</v>
      </c>
      <c r="BX345" s="499">
        <f t="shared" si="502"/>
        <v>23.5518</v>
      </c>
      <c r="BY345" s="499">
        <f t="shared" si="503"/>
        <v>1103.3478399999999</v>
      </c>
      <c r="CA345">
        <v>62</v>
      </c>
      <c r="CB345">
        <v>6.2354539999999998</v>
      </c>
      <c r="CC345">
        <v>0</v>
      </c>
      <c r="CD345">
        <v>23.5518</v>
      </c>
      <c r="CE345">
        <v>1103.3478399999999</v>
      </c>
      <c r="CG345" s="499">
        <f t="shared" si="504"/>
        <v>0</v>
      </c>
      <c r="CH345" s="499">
        <f t="shared" si="505"/>
        <v>0</v>
      </c>
      <c r="CI345" s="499">
        <f t="shared" si="506"/>
        <v>0</v>
      </c>
      <c r="CJ345" s="499">
        <f t="shared" si="507"/>
        <v>0</v>
      </c>
      <c r="CP345" s="499"/>
      <c r="CQ345" s="65">
        <f t="shared" si="509"/>
        <v>0.97403319239378561</v>
      </c>
      <c r="CR345" s="499">
        <f t="shared" si="510"/>
        <v>0.97403319239378561</v>
      </c>
      <c r="CS345" s="499">
        <f t="shared" si="511"/>
        <v>0.97403319239378561</v>
      </c>
      <c r="CT345" s="38">
        <f t="shared" si="512"/>
        <v>1</v>
      </c>
      <c r="CU345" s="498">
        <f t="shared" si="513"/>
        <v>1</v>
      </c>
    </row>
    <row r="346" spans="43:99">
      <c r="AQ346" s="499"/>
      <c r="AR346" s="228">
        <v>23.556802000000001</v>
      </c>
      <c r="AS346" s="13">
        <v>272</v>
      </c>
      <c r="AT346" s="13">
        <v>6.2</v>
      </c>
      <c r="AU346" s="13">
        <f t="shared" si="524"/>
        <v>0</v>
      </c>
      <c r="AV346" s="13">
        <f t="shared" si="515"/>
        <v>23.556802000000001</v>
      </c>
      <c r="AW346" s="13">
        <f t="shared" si="516"/>
        <v>23.556802000000001</v>
      </c>
      <c r="AX346" s="13">
        <f t="shared" si="517"/>
        <v>23.556802000000001</v>
      </c>
      <c r="AY346" s="13">
        <v>1035.1293459999999</v>
      </c>
      <c r="AZ346" s="13">
        <f t="shared" si="518"/>
        <v>0</v>
      </c>
      <c r="BA346" s="13">
        <f t="shared" si="519"/>
        <v>0</v>
      </c>
      <c r="BB346" s="97">
        <f t="shared" si="520"/>
        <v>0</v>
      </c>
      <c r="BC346" s="499"/>
      <c r="BD346" s="499">
        <v>44.75</v>
      </c>
      <c r="BE346" s="499">
        <v>26.583189314516133</v>
      </c>
      <c r="BF346" s="499">
        <v>20.384547379032256</v>
      </c>
      <c r="BG346" s="499">
        <v>26.106704700631877</v>
      </c>
      <c r="BI346" s="499">
        <f t="shared" ref="BI346:BJ346" si="539">AS349</f>
        <v>327</v>
      </c>
      <c r="BJ346" s="499">
        <f t="shared" si="539"/>
        <v>6.2475310000000004</v>
      </c>
      <c r="BK346" s="5">
        <f t="shared" si="493"/>
        <v>0</v>
      </c>
      <c r="BL346" s="499">
        <f t="shared" si="494"/>
        <v>19.302046000000001</v>
      </c>
      <c r="BM346" s="499">
        <f t="shared" si="495"/>
        <v>999.30186000000003</v>
      </c>
      <c r="BO346" s="499">
        <f t="shared" si="496"/>
        <v>327</v>
      </c>
      <c r="BP346" s="499">
        <f t="shared" si="497"/>
        <v>6.2475310000000004</v>
      </c>
      <c r="BQ346" s="5">
        <f t="shared" si="490"/>
        <v>0</v>
      </c>
      <c r="BR346" s="499">
        <f t="shared" si="498"/>
        <v>19.302046000000001</v>
      </c>
      <c r="BS346" s="499">
        <f t="shared" si="499"/>
        <v>999.30186000000003</v>
      </c>
      <c r="BU346" s="499">
        <f t="shared" si="500"/>
        <v>327</v>
      </c>
      <c r="BV346" s="499">
        <f t="shared" si="501"/>
        <v>6.2475310000000004</v>
      </c>
      <c r="BW346" s="5">
        <f t="shared" si="491"/>
        <v>0</v>
      </c>
      <c r="BX346" s="499">
        <f t="shared" si="502"/>
        <v>19.302046000000001</v>
      </c>
      <c r="BY346" s="499">
        <f t="shared" si="503"/>
        <v>999.30186000000003</v>
      </c>
      <c r="CA346">
        <v>327</v>
      </c>
      <c r="CB346">
        <v>6.2475310000000004</v>
      </c>
      <c r="CC346">
        <v>0</v>
      </c>
      <c r="CD346">
        <v>19.302046000000001</v>
      </c>
      <c r="CE346">
        <v>999.30186000000003</v>
      </c>
      <c r="CG346" s="499">
        <f t="shared" si="504"/>
        <v>0</v>
      </c>
      <c r="CH346" s="499">
        <f t="shared" si="505"/>
        <v>0</v>
      </c>
      <c r="CI346" s="499">
        <f t="shared" si="506"/>
        <v>0</v>
      </c>
      <c r="CJ346" s="499">
        <f t="shared" si="507"/>
        <v>0</v>
      </c>
      <c r="CP346" s="499"/>
      <c r="CQ346" s="65">
        <f t="shared" si="509"/>
        <v>0.81337760114204671</v>
      </c>
      <c r="CR346" s="499">
        <f t="shared" si="510"/>
        <v>0.81337760114204671</v>
      </c>
      <c r="CS346" s="499">
        <f t="shared" si="511"/>
        <v>0.81337760114204671</v>
      </c>
      <c r="CT346" s="38">
        <f t="shared" si="512"/>
        <v>1</v>
      </c>
      <c r="CU346" s="498">
        <f t="shared" si="513"/>
        <v>1</v>
      </c>
    </row>
    <row r="347" spans="43:99">
      <c r="AQ347" s="499"/>
      <c r="AR347" s="228">
        <v>21.682075999999999</v>
      </c>
      <c r="AS347" s="13">
        <v>277</v>
      </c>
      <c r="AT347" s="13">
        <v>6.2026430000000001</v>
      </c>
      <c r="AU347" s="13">
        <f t="shared" si="524"/>
        <v>0</v>
      </c>
      <c r="AV347" s="13">
        <f t="shared" si="515"/>
        <v>21.682075999999999</v>
      </c>
      <c r="AW347" s="13">
        <f t="shared" si="516"/>
        <v>21.682075999999999</v>
      </c>
      <c r="AX347" s="13">
        <f t="shared" si="517"/>
        <v>21.682075999999999</v>
      </c>
      <c r="AY347" s="13">
        <v>724.66002100000003</v>
      </c>
      <c r="AZ347" s="13">
        <f t="shared" si="518"/>
        <v>0</v>
      </c>
      <c r="BA347" s="13">
        <f t="shared" si="519"/>
        <v>0</v>
      </c>
      <c r="BB347" s="97">
        <f t="shared" si="520"/>
        <v>0</v>
      </c>
      <c r="BC347" s="499"/>
      <c r="BD347" s="499">
        <v>44.55</v>
      </c>
      <c r="BE347" s="499">
        <v>26.642071572580637</v>
      </c>
      <c r="BF347" s="499">
        <v>20.35837459677419</v>
      </c>
      <c r="BG347" s="499">
        <v>26.052090647980766</v>
      </c>
      <c r="BI347" s="499">
        <f t="shared" ref="BI347:BJ347" si="540">AS350</f>
        <v>30</v>
      </c>
      <c r="BJ347" s="499">
        <f t="shared" si="540"/>
        <v>6.3</v>
      </c>
      <c r="BK347" s="5">
        <f t="shared" si="493"/>
        <v>0</v>
      </c>
      <c r="BL347" s="499">
        <f t="shared" si="494"/>
        <v>21.291104000000001</v>
      </c>
      <c r="BM347" s="499">
        <f t="shared" si="495"/>
        <v>1001.003197</v>
      </c>
      <c r="BO347" s="499">
        <f t="shared" si="496"/>
        <v>30</v>
      </c>
      <c r="BP347" s="499">
        <f t="shared" si="497"/>
        <v>6.3</v>
      </c>
      <c r="BQ347" s="5">
        <f t="shared" si="490"/>
        <v>0</v>
      </c>
      <c r="BR347" s="499">
        <f t="shared" si="498"/>
        <v>21.291104000000001</v>
      </c>
      <c r="BS347" s="499">
        <f t="shared" si="499"/>
        <v>1001.003197</v>
      </c>
      <c r="BU347" s="499">
        <f t="shared" si="500"/>
        <v>30</v>
      </c>
      <c r="BV347" s="499">
        <f t="shared" si="501"/>
        <v>6.3</v>
      </c>
      <c r="BW347" s="5">
        <f t="shared" si="491"/>
        <v>0</v>
      </c>
      <c r="BX347" s="499">
        <f t="shared" si="502"/>
        <v>21.291104000000001</v>
      </c>
      <c r="BY347" s="499">
        <f t="shared" si="503"/>
        <v>1001.003197</v>
      </c>
      <c r="CA347">
        <v>30</v>
      </c>
      <c r="CB347">
        <v>6.3</v>
      </c>
      <c r="CC347">
        <v>0</v>
      </c>
      <c r="CD347">
        <v>21.291104000000001</v>
      </c>
      <c r="CE347">
        <v>1001.003197</v>
      </c>
      <c r="CG347" s="499">
        <f t="shared" si="504"/>
        <v>0</v>
      </c>
      <c r="CH347" s="499">
        <f t="shared" si="505"/>
        <v>0</v>
      </c>
      <c r="CI347" s="499">
        <f t="shared" si="506"/>
        <v>0</v>
      </c>
      <c r="CJ347" s="499">
        <f t="shared" si="507"/>
        <v>0</v>
      </c>
      <c r="CP347" s="499"/>
      <c r="CQ347" s="65">
        <f t="shared" si="509"/>
        <v>0.97881713779465906</v>
      </c>
      <c r="CR347" s="499">
        <f t="shared" si="510"/>
        <v>0.97881713779465906</v>
      </c>
      <c r="CS347" s="499">
        <f t="shared" si="511"/>
        <v>0.97881713779465906</v>
      </c>
      <c r="CT347" s="38">
        <f t="shared" si="512"/>
        <v>1</v>
      </c>
      <c r="CU347" s="498">
        <f t="shared" si="513"/>
        <v>1</v>
      </c>
    </row>
    <row r="348" spans="43:99">
      <c r="AQ348" s="499"/>
      <c r="AR348" s="228">
        <v>23.5518</v>
      </c>
      <c r="AS348" s="13">
        <v>62</v>
      </c>
      <c r="AT348" s="13">
        <v>6.2354539999999998</v>
      </c>
      <c r="AU348" s="13">
        <f t="shared" si="524"/>
        <v>0</v>
      </c>
      <c r="AV348" s="13">
        <f t="shared" si="515"/>
        <v>23.5518</v>
      </c>
      <c r="AW348" s="13">
        <f t="shared" si="516"/>
        <v>23.5518</v>
      </c>
      <c r="AX348" s="13">
        <f t="shared" si="517"/>
        <v>23.5518</v>
      </c>
      <c r="AY348" s="13">
        <v>1103.3478399999999</v>
      </c>
      <c r="AZ348" s="13">
        <f t="shared" si="518"/>
        <v>0</v>
      </c>
      <c r="BA348" s="13">
        <f t="shared" si="519"/>
        <v>0</v>
      </c>
      <c r="BB348" s="97">
        <f t="shared" si="520"/>
        <v>0</v>
      </c>
      <c r="BC348" s="499"/>
      <c r="BD348" s="499">
        <v>44.35</v>
      </c>
      <c r="BE348" s="499">
        <v>26.667888104838706</v>
      </c>
      <c r="BF348" s="499">
        <v>20.347273588709683</v>
      </c>
      <c r="BG348" s="499">
        <v>26.013562889542129</v>
      </c>
      <c r="BI348" s="499">
        <f t="shared" ref="BI348:BJ348" si="541">AS351</f>
        <v>224</v>
      </c>
      <c r="BJ348" s="499">
        <f t="shared" si="541"/>
        <v>6.3031360000000003</v>
      </c>
      <c r="BK348" s="5">
        <f t="shared" si="493"/>
        <v>0</v>
      </c>
      <c r="BL348" s="499">
        <f t="shared" si="494"/>
        <v>21.512518</v>
      </c>
      <c r="BM348" s="499">
        <f t="shared" si="495"/>
        <v>1255.844981</v>
      </c>
      <c r="BO348" s="499">
        <f t="shared" si="496"/>
        <v>224</v>
      </c>
      <c r="BP348" s="499">
        <f t="shared" si="497"/>
        <v>6.3031360000000003</v>
      </c>
      <c r="BQ348" s="5">
        <f t="shared" si="490"/>
        <v>0</v>
      </c>
      <c r="BR348" s="499">
        <f t="shared" si="498"/>
        <v>21.512518</v>
      </c>
      <c r="BS348" s="499">
        <f t="shared" si="499"/>
        <v>1255.844981</v>
      </c>
      <c r="BU348" s="499">
        <f t="shared" si="500"/>
        <v>224</v>
      </c>
      <c r="BV348" s="499">
        <f t="shared" si="501"/>
        <v>6.3031360000000003</v>
      </c>
      <c r="BW348" s="5">
        <f t="shared" si="491"/>
        <v>0</v>
      </c>
      <c r="BX348" s="499">
        <f t="shared" si="502"/>
        <v>21.512518</v>
      </c>
      <c r="BY348" s="499">
        <f t="shared" si="503"/>
        <v>1255.844981</v>
      </c>
      <c r="CA348">
        <v>224</v>
      </c>
      <c r="CB348">
        <v>6.3031360000000003</v>
      </c>
      <c r="CC348">
        <v>0</v>
      </c>
      <c r="CD348">
        <v>21.512518</v>
      </c>
      <c r="CE348">
        <v>1255.844981</v>
      </c>
      <c r="CG348" s="499">
        <f t="shared" si="504"/>
        <v>0</v>
      </c>
      <c r="CH348" s="499">
        <f t="shared" si="505"/>
        <v>0</v>
      </c>
      <c r="CI348" s="499">
        <f t="shared" si="506"/>
        <v>0</v>
      </c>
      <c r="CJ348" s="499">
        <f t="shared" si="507"/>
        <v>0</v>
      </c>
      <c r="CP348" s="499"/>
      <c r="CQ348" s="65">
        <f t="shared" si="509"/>
        <v>0.97663438058824714</v>
      </c>
      <c r="CR348" s="499">
        <f t="shared" si="510"/>
        <v>0.97663438058824714</v>
      </c>
      <c r="CS348" s="499">
        <f t="shared" si="511"/>
        <v>0.97663438058824714</v>
      </c>
      <c r="CT348" s="38">
        <f t="shared" si="512"/>
        <v>1</v>
      </c>
      <c r="CU348" s="498">
        <f t="shared" si="513"/>
        <v>1</v>
      </c>
    </row>
    <row r="349" spans="43:99">
      <c r="AQ349" s="499"/>
      <c r="AR349" s="228">
        <v>19.302046000000001</v>
      </c>
      <c r="AS349" s="13">
        <v>327</v>
      </c>
      <c r="AT349" s="13">
        <v>6.2475310000000004</v>
      </c>
      <c r="AU349" s="13">
        <f t="shared" si="524"/>
        <v>0</v>
      </c>
      <c r="AV349" s="13">
        <f t="shared" si="515"/>
        <v>19.302046000000001</v>
      </c>
      <c r="AW349" s="13">
        <f t="shared" si="516"/>
        <v>19.302046000000001</v>
      </c>
      <c r="AX349" s="13">
        <f t="shared" si="517"/>
        <v>19.302046000000001</v>
      </c>
      <c r="AY349" s="13">
        <v>999.30186000000003</v>
      </c>
      <c r="AZ349" s="13">
        <f t="shared" si="518"/>
        <v>0</v>
      </c>
      <c r="BA349" s="13">
        <f t="shared" si="519"/>
        <v>0</v>
      </c>
      <c r="BB349" s="97">
        <f t="shared" si="520"/>
        <v>0</v>
      </c>
      <c r="BC349" s="499"/>
      <c r="BD349" s="499">
        <v>44.15</v>
      </c>
      <c r="BE349" s="499">
        <v>26.678761290322576</v>
      </c>
      <c r="BF349" s="499">
        <v>20.321979233870962</v>
      </c>
      <c r="BG349" s="499">
        <v>26.040855728690477</v>
      </c>
      <c r="BI349" s="499">
        <f t="shared" ref="BI349:BJ349" si="542">AS352</f>
        <v>127</v>
      </c>
      <c r="BJ349" s="499">
        <f t="shared" si="542"/>
        <v>6.3413029999999999</v>
      </c>
      <c r="BK349" s="5">
        <f t="shared" si="493"/>
        <v>0</v>
      </c>
      <c r="BL349" s="499">
        <f t="shared" si="494"/>
        <v>16.006855999999999</v>
      </c>
      <c r="BM349" s="499">
        <f t="shared" si="495"/>
        <v>1000.986123</v>
      </c>
      <c r="BO349" s="499">
        <f t="shared" si="496"/>
        <v>127</v>
      </c>
      <c r="BP349" s="499">
        <f t="shared" si="497"/>
        <v>6.3413029999999999</v>
      </c>
      <c r="BQ349" s="5">
        <f t="shared" si="490"/>
        <v>0</v>
      </c>
      <c r="BR349" s="499">
        <f t="shared" si="498"/>
        <v>16.006855999999999</v>
      </c>
      <c r="BS349" s="499">
        <f t="shared" si="499"/>
        <v>1000.986123</v>
      </c>
      <c r="BU349" s="499">
        <f t="shared" si="500"/>
        <v>127</v>
      </c>
      <c r="BV349" s="499">
        <f t="shared" si="501"/>
        <v>6.3413029999999999</v>
      </c>
      <c r="BW349" s="5">
        <f t="shared" si="491"/>
        <v>0</v>
      </c>
      <c r="BX349" s="499">
        <f t="shared" si="502"/>
        <v>16.006855999999999</v>
      </c>
      <c r="BY349" s="499">
        <f t="shared" si="503"/>
        <v>1000.986123</v>
      </c>
      <c r="CA349">
        <v>127</v>
      </c>
      <c r="CB349">
        <v>6.3413029999999999</v>
      </c>
      <c r="CC349">
        <v>0</v>
      </c>
      <c r="CD349">
        <v>16.006855999999999</v>
      </c>
      <c r="CE349">
        <v>1000.986123</v>
      </c>
      <c r="CG349" s="499">
        <f t="shared" si="504"/>
        <v>0</v>
      </c>
      <c r="CH349" s="499">
        <f t="shared" si="505"/>
        <v>0</v>
      </c>
      <c r="CI349" s="499">
        <f t="shared" si="506"/>
        <v>0</v>
      </c>
      <c r="CJ349" s="499">
        <f t="shared" si="507"/>
        <v>0</v>
      </c>
      <c r="CP349" s="499"/>
      <c r="CQ349" s="65">
        <f t="shared" si="509"/>
        <v>0.97540886164191509</v>
      </c>
      <c r="CR349" s="499">
        <f t="shared" si="510"/>
        <v>0.97540886164191509</v>
      </c>
      <c r="CS349" s="499">
        <f t="shared" si="511"/>
        <v>0.97540886164191509</v>
      </c>
      <c r="CT349" s="38">
        <f t="shared" si="512"/>
        <v>1</v>
      </c>
      <c r="CU349" s="498">
        <f t="shared" si="513"/>
        <v>1</v>
      </c>
    </row>
    <row r="350" spans="43:99">
      <c r="AQ350" s="499"/>
      <c r="AR350" s="228">
        <v>21.291104000000001</v>
      </c>
      <c r="AS350" s="13">
        <v>30</v>
      </c>
      <c r="AT350" s="13">
        <v>6.3</v>
      </c>
      <c r="AU350" s="13">
        <f t="shared" si="524"/>
        <v>0</v>
      </c>
      <c r="AV350" s="13">
        <f t="shared" si="515"/>
        <v>21.291104000000001</v>
      </c>
      <c r="AW350" s="13">
        <f t="shared" si="516"/>
        <v>21.291104000000001</v>
      </c>
      <c r="AX350" s="13">
        <f t="shared" si="517"/>
        <v>21.291104000000001</v>
      </c>
      <c r="AY350" s="13">
        <v>1001.003197</v>
      </c>
      <c r="AZ350" s="13">
        <f t="shared" si="518"/>
        <v>0</v>
      </c>
      <c r="BA350" s="13">
        <f t="shared" si="519"/>
        <v>0</v>
      </c>
      <c r="BB350" s="97">
        <f t="shared" si="520"/>
        <v>0</v>
      </c>
      <c r="BC350" s="499"/>
      <c r="BD350" s="499">
        <v>43.95</v>
      </c>
      <c r="BE350" s="499">
        <v>26.745408266129044</v>
      </c>
      <c r="BF350" s="499">
        <v>20.299202217741936</v>
      </c>
      <c r="BG350" s="499">
        <v>26.06903374717491</v>
      </c>
      <c r="BI350" s="499">
        <f t="shared" ref="BI350:BJ350" si="543">AS353</f>
        <v>333</v>
      </c>
      <c r="BJ350" s="499">
        <f t="shared" si="543"/>
        <v>6.3457369999999997</v>
      </c>
      <c r="BK350" s="5">
        <f t="shared" si="493"/>
        <v>0</v>
      </c>
      <c r="BL350" s="499">
        <f t="shared" si="494"/>
        <v>22.345604999999999</v>
      </c>
      <c r="BM350" s="499">
        <f t="shared" si="495"/>
        <v>1001.097797</v>
      </c>
      <c r="BO350" s="499">
        <f t="shared" si="496"/>
        <v>333</v>
      </c>
      <c r="BP350" s="499">
        <f t="shared" si="497"/>
        <v>6.3457369999999997</v>
      </c>
      <c r="BQ350" s="5">
        <f t="shared" si="490"/>
        <v>0</v>
      </c>
      <c r="BR350" s="499">
        <f t="shared" si="498"/>
        <v>22.345604999999999</v>
      </c>
      <c r="BS350" s="499">
        <f t="shared" si="499"/>
        <v>1001.097797</v>
      </c>
      <c r="BU350" s="499">
        <f t="shared" si="500"/>
        <v>333</v>
      </c>
      <c r="BV350" s="499">
        <f t="shared" si="501"/>
        <v>6.3457369999999997</v>
      </c>
      <c r="BW350" s="5">
        <f t="shared" si="491"/>
        <v>0</v>
      </c>
      <c r="BX350" s="499">
        <f t="shared" si="502"/>
        <v>22.345604999999999</v>
      </c>
      <c r="BY350" s="499">
        <f t="shared" si="503"/>
        <v>1001.097797</v>
      </c>
      <c r="CA350">
        <v>333</v>
      </c>
      <c r="CB350">
        <v>6.3457369999999997</v>
      </c>
      <c r="CC350">
        <v>0</v>
      </c>
      <c r="CD350">
        <v>22.345604999999999</v>
      </c>
      <c r="CE350">
        <v>1001.097797</v>
      </c>
      <c r="CG350" s="499">
        <f t="shared" si="504"/>
        <v>0</v>
      </c>
      <c r="CH350" s="499">
        <f t="shared" si="505"/>
        <v>0</v>
      </c>
      <c r="CI350" s="499">
        <f t="shared" si="506"/>
        <v>0</v>
      </c>
      <c r="CJ350" s="499">
        <f t="shared" si="507"/>
        <v>0</v>
      </c>
      <c r="CP350" s="499"/>
      <c r="CQ350" s="65">
        <f t="shared" si="509"/>
        <v>0.97885993852560416</v>
      </c>
      <c r="CR350" s="499">
        <f t="shared" si="510"/>
        <v>0.97885993852560416</v>
      </c>
      <c r="CS350" s="499">
        <f t="shared" si="511"/>
        <v>0.97885993852560416</v>
      </c>
      <c r="CT350" s="38">
        <f t="shared" si="512"/>
        <v>1</v>
      </c>
      <c r="CU350" s="498">
        <f t="shared" si="513"/>
        <v>1</v>
      </c>
    </row>
    <row r="351" spans="43:99">
      <c r="AQ351" s="499"/>
      <c r="AR351" s="228">
        <v>21.512518</v>
      </c>
      <c r="AS351" s="13">
        <v>224</v>
      </c>
      <c r="AT351" s="13">
        <v>6.3031360000000003</v>
      </c>
      <c r="AU351" s="13">
        <f t="shared" si="524"/>
        <v>0</v>
      </c>
      <c r="AV351" s="13">
        <f t="shared" si="515"/>
        <v>21.512518</v>
      </c>
      <c r="AW351" s="13">
        <f t="shared" si="516"/>
        <v>21.512518</v>
      </c>
      <c r="AX351" s="13">
        <f t="shared" si="517"/>
        <v>21.512518</v>
      </c>
      <c r="AY351" s="13">
        <v>1255.844981</v>
      </c>
      <c r="AZ351" s="13">
        <f t="shared" si="518"/>
        <v>0</v>
      </c>
      <c r="BA351" s="13">
        <f t="shared" si="519"/>
        <v>0</v>
      </c>
      <c r="BB351" s="97">
        <f t="shared" si="520"/>
        <v>0</v>
      </c>
      <c r="BC351" s="499"/>
      <c r="BD351" s="499">
        <v>43.75</v>
      </c>
      <c r="BE351" s="499">
        <v>26.80924516129031</v>
      </c>
      <c r="BF351" s="499">
        <v>20.282707258064512</v>
      </c>
      <c r="BG351" s="499">
        <v>26.084196389899265</v>
      </c>
      <c r="BI351" s="499">
        <f t="shared" ref="BI351:BJ351" si="544">AS354</f>
        <v>112</v>
      </c>
      <c r="BJ351" s="499">
        <f t="shared" si="544"/>
        <v>6.3766369999999997</v>
      </c>
      <c r="BK351" s="5">
        <f t="shared" si="493"/>
        <v>0</v>
      </c>
      <c r="BL351" s="499">
        <f t="shared" si="494"/>
        <v>19.772642000000001</v>
      </c>
      <c r="BM351" s="499">
        <f t="shared" si="495"/>
        <v>1000.288922</v>
      </c>
      <c r="BO351" s="499">
        <f t="shared" si="496"/>
        <v>112</v>
      </c>
      <c r="BP351" s="499">
        <f t="shared" si="497"/>
        <v>6.3766369999999997</v>
      </c>
      <c r="BQ351" s="5">
        <f t="shared" si="490"/>
        <v>0</v>
      </c>
      <c r="BR351" s="499">
        <f t="shared" si="498"/>
        <v>19.772642000000001</v>
      </c>
      <c r="BS351" s="499">
        <f t="shared" si="499"/>
        <v>1000.288922</v>
      </c>
      <c r="BU351" s="499">
        <f t="shared" si="500"/>
        <v>112</v>
      </c>
      <c r="BV351" s="499">
        <f t="shared" si="501"/>
        <v>6.3766369999999997</v>
      </c>
      <c r="BW351" s="5">
        <f t="shared" si="491"/>
        <v>0</v>
      </c>
      <c r="BX351" s="499">
        <f t="shared" si="502"/>
        <v>19.772642000000001</v>
      </c>
      <c r="BY351" s="499">
        <f t="shared" si="503"/>
        <v>1000.288922</v>
      </c>
      <c r="CA351">
        <v>112</v>
      </c>
      <c r="CB351">
        <v>6.3766369999999997</v>
      </c>
      <c r="CC351">
        <v>0</v>
      </c>
      <c r="CD351">
        <v>19.772642000000001</v>
      </c>
      <c r="CE351">
        <v>1000.288922</v>
      </c>
      <c r="CG351" s="499">
        <f t="shared" si="504"/>
        <v>0</v>
      </c>
      <c r="CH351" s="499">
        <f t="shared" si="505"/>
        <v>0</v>
      </c>
      <c r="CI351" s="499">
        <f t="shared" si="506"/>
        <v>0</v>
      </c>
      <c r="CJ351" s="499">
        <f t="shared" si="507"/>
        <v>0</v>
      </c>
      <c r="CP351" s="499"/>
      <c r="CQ351" s="65">
        <f t="shared" si="509"/>
        <v>0.96106113337259014</v>
      </c>
      <c r="CR351" s="499">
        <f t="shared" si="510"/>
        <v>0.96106113337259014</v>
      </c>
      <c r="CS351" s="499">
        <f t="shared" si="511"/>
        <v>0.96106113337259014</v>
      </c>
      <c r="CT351" s="38">
        <f t="shared" si="512"/>
        <v>1</v>
      </c>
      <c r="CU351" s="498">
        <f t="shared" si="513"/>
        <v>1</v>
      </c>
    </row>
    <row r="352" spans="43:99">
      <c r="AQ352" s="499"/>
      <c r="AR352" s="228">
        <v>16.006855999999999</v>
      </c>
      <c r="AS352" s="13">
        <v>127</v>
      </c>
      <c r="AT352" s="13">
        <v>6.3413029999999999</v>
      </c>
      <c r="AU352" s="13">
        <f t="shared" si="524"/>
        <v>0</v>
      </c>
      <c r="AV352" s="13">
        <f t="shared" si="515"/>
        <v>16.006855999999999</v>
      </c>
      <c r="AW352" s="13">
        <f t="shared" si="516"/>
        <v>16.006855999999999</v>
      </c>
      <c r="AX352" s="13">
        <f t="shared" si="517"/>
        <v>16.006855999999999</v>
      </c>
      <c r="AY352" s="13">
        <v>1000.986123</v>
      </c>
      <c r="AZ352" s="13">
        <f t="shared" si="518"/>
        <v>0</v>
      </c>
      <c r="BA352" s="13">
        <f t="shared" si="519"/>
        <v>0</v>
      </c>
      <c r="BB352" s="97">
        <f t="shared" si="520"/>
        <v>0</v>
      </c>
      <c r="BC352" s="499"/>
      <c r="BD352" s="499">
        <v>43.55</v>
      </c>
      <c r="BE352" s="499">
        <v>26.860660685483865</v>
      </c>
      <c r="BF352" s="499">
        <v>20.273246169354842</v>
      </c>
      <c r="BG352" s="499">
        <v>26.078550533054024</v>
      </c>
      <c r="BI352" s="499">
        <f t="shared" ref="BI352:BJ352" si="545">AS355</f>
        <v>329</v>
      </c>
      <c r="BJ352" s="499">
        <f t="shared" si="545"/>
        <v>6.379003</v>
      </c>
      <c r="BK352" s="5">
        <f t="shared" si="493"/>
        <v>0</v>
      </c>
      <c r="BL352" s="499">
        <f t="shared" si="494"/>
        <v>22.012308999999998</v>
      </c>
      <c r="BM352" s="499">
        <f t="shared" si="495"/>
        <v>805.39914999999996</v>
      </c>
      <c r="BO352" s="499">
        <f t="shared" si="496"/>
        <v>329</v>
      </c>
      <c r="BP352" s="499">
        <f t="shared" si="497"/>
        <v>6.379003</v>
      </c>
      <c r="BQ352" s="5">
        <f t="shared" si="490"/>
        <v>0</v>
      </c>
      <c r="BR352" s="499">
        <f t="shared" si="498"/>
        <v>22.012308999999998</v>
      </c>
      <c r="BS352" s="499">
        <f t="shared" si="499"/>
        <v>805.39914999999996</v>
      </c>
      <c r="BU352" s="499">
        <f t="shared" si="500"/>
        <v>329</v>
      </c>
      <c r="BV352" s="499">
        <f t="shared" si="501"/>
        <v>6.379003</v>
      </c>
      <c r="BW352" s="5">
        <f t="shared" si="491"/>
        <v>0</v>
      </c>
      <c r="BX352" s="499">
        <f t="shared" si="502"/>
        <v>22.012308999999998</v>
      </c>
      <c r="BY352" s="499">
        <f t="shared" si="503"/>
        <v>805.39914999999996</v>
      </c>
      <c r="CA352">
        <v>329</v>
      </c>
      <c r="CB352">
        <v>6.379003</v>
      </c>
      <c r="CC352">
        <v>0</v>
      </c>
      <c r="CD352">
        <v>22.012308999999998</v>
      </c>
      <c r="CE352">
        <v>805.39914999999996</v>
      </c>
      <c r="CG352" s="499">
        <f t="shared" si="504"/>
        <v>0</v>
      </c>
      <c r="CH352" s="499">
        <f t="shared" si="505"/>
        <v>0</v>
      </c>
      <c r="CI352" s="499">
        <f t="shared" si="506"/>
        <v>0</v>
      </c>
      <c r="CJ352" s="499">
        <f t="shared" si="507"/>
        <v>0</v>
      </c>
      <c r="CP352" s="499"/>
      <c r="CQ352" s="65">
        <f t="shared" si="509"/>
        <v>0.97875082593268337</v>
      </c>
      <c r="CR352" s="499">
        <f t="shared" si="510"/>
        <v>0.97875082593268337</v>
      </c>
      <c r="CS352" s="499">
        <f t="shared" si="511"/>
        <v>0.97875082593268337</v>
      </c>
      <c r="CT352" s="38">
        <f t="shared" si="512"/>
        <v>1</v>
      </c>
      <c r="CU352" s="498">
        <f t="shared" si="513"/>
        <v>1</v>
      </c>
    </row>
    <row r="353" spans="43:99">
      <c r="AQ353" s="499"/>
      <c r="AR353" s="228">
        <v>22.345604999999999</v>
      </c>
      <c r="AS353" s="13">
        <v>333</v>
      </c>
      <c r="AT353" s="13">
        <v>6.3457369999999997</v>
      </c>
      <c r="AU353" s="13">
        <f t="shared" si="524"/>
        <v>0</v>
      </c>
      <c r="AV353" s="13">
        <f t="shared" si="515"/>
        <v>22.345604999999999</v>
      </c>
      <c r="AW353" s="13">
        <f t="shared" si="516"/>
        <v>22.345604999999999</v>
      </c>
      <c r="AX353" s="13">
        <f t="shared" si="517"/>
        <v>22.345604999999999</v>
      </c>
      <c r="AY353" s="13">
        <v>1001.097797</v>
      </c>
      <c r="AZ353" s="13">
        <f t="shared" si="518"/>
        <v>0</v>
      </c>
      <c r="BA353" s="13">
        <f t="shared" si="519"/>
        <v>0</v>
      </c>
      <c r="BB353" s="97">
        <f t="shared" si="520"/>
        <v>0</v>
      </c>
      <c r="BC353" s="499"/>
      <c r="BD353" s="499">
        <v>43.35</v>
      </c>
      <c r="BE353" s="499">
        <v>26.881958669354837</v>
      </c>
      <c r="BF353" s="499">
        <v>20.24409919354839</v>
      </c>
      <c r="BG353" s="499">
        <v>26.02969003185898</v>
      </c>
      <c r="BI353" s="499">
        <f t="shared" ref="BI353:BJ353" si="546">AS356</f>
        <v>163</v>
      </c>
      <c r="BJ353" s="499">
        <f t="shared" si="546"/>
        <v>6.4032179999999999</v>
      </c>
      <c r="BK353" s="5">
        <f t="shared" si="493"/>
        <v>0</v>
      </c>
      <c r="BL353" s="499">
        <f t="shared" si="494"/>
        <v>20.14677</v>
      </c>
      <c r="BM353" s="499">
        <f t="shared" si="495"/>
        <v>784.76709100000005</v>
      </c>
      <c r="BO353" s="499">
        <f t="shared" si="496"/>
        <v>163</v>
      </c>
      <c r="BP353" s="499">
        <f t="shared" si="497"/>
        <v>6.4032179999999999</v>
      </c>
      <c r="BQ353" s="5">
        <f t="shared" si="490"/>
        <v>0</v>
      </c>
      <c r="BR353" s="499">
        <f t="shared" si="498"/>
        <v>20.14677</v>
      </c>
      <c r="BS353" s="499">
        <f t="shared" si="499"/>
        <v>784.76709100000005</v>
      </c>
      <c r="BU353" s="499">
        <f t="shared" si="500"/>
        <v>163</v>
      </c>
      <c r="BV353" s="499">
        <f t="shared" si="501"/>
        <v>6.4032179999999999</v>
      </c>
      <c r="BW353" s="5">
        <f t="shared" si="491"/>
        <v>0</v>
      </c>
      <c r="BX353" s="499">
        <f t="shared" si="502"/>
        <v>20.14677</v>
      </c>
      <c r="BY353" s="499">
        <f t="shared" si="503"/>
        <v>784.76709100000005</v>
      </c>
      <c r="CA353">
        <v>163</v>
      </c>
      <c r="CB353">
        <v>6.4032179999999999</v>
      </c>
      <c r="CC353">
        <v>0</v>
      </c>
      <c r="CD353">
        <v>20.14677</v>
      </c>
      <c r="CE353">
        <v>784.76709100000005</v>
      </c>
      <c r="CG353" s="499">
        <f t="shared" si="504"/>
        <v>0</v>
      </c>
      <c r="CH353" s="499">
        <f t="shared" si="505"/>
        <v>0</v>
      </c>
      <c r="CI353" s="499">
        <f t="shared" si="506"/>
        <v>0</v>
      </c>
      <c r="CJ353" s="499">
        <f t="shared" si="507"/>
        <v>0</v>
      </c>
      <c r="CP353" s="499"/>
      <c r="CQ353" s="65">
        <f t="shared" si="509"/>
        <v>0.96959949560644987</v>
      </c>
      <c r="CR353" s="499">
        <f t="shared" si="510"/>
        <v>0.96959949560644987</v>
      </c>
      <c r="CS353" s="499">
        <f t="shared" si="511"/>
        <v>0.96959949560644987</v>
      </c>
      <c r="CT353" s="38">
        <f t="shared" si="512"/>
        <v>1</v>
      </c>
      <c r="CU353" s="498">
        <f t="shared" si="513"/>
        <v>1</v>
      </c>
    </row>
    <row r="354" spans="43:99">
      <c r="AQ354" s="499"/>
      <c r="AR354" s="228">
        <v>19.772642000000001</v>
      </c>
      <c r="AS354" s="13">
        <v>112</v>
      </c>
      <c r="AT354" s="13">
        <v>6.3766369999999997</v>
      </c>
      <c r="AU354" s="13">
        <f t="shared" si="524"/>
        <v>0</v>
      </c>
      <c r="AV354" s="13">
        <f t="shared" si="515"/>
        <v>19.772642000000001</v>
      </c>
      <c r="AW354" s="13">
        <f t="shared" si="516"/>
        <v>19.772642000000001</v>
      </c>
      <c r="AX354" s="13">
        <f t="shared" si="517"/>
        <v>19.772642000000001</v>
      </c>
      <c r="AY354" s="13">
        <v>1000.288922</v>
      </c>
      <c r="AZ354" s="13">
        <f t="shared" si="518"/>
        <v>0</v>
      </c>
      <c r="BA354" s="13">
        <f t="shared" si="519"/>
        <v>0</v>
      </c>
      <c r="BB354" s="97">
        <f t="shared" si="520"/>
        <v>0</v>
      </c>
      <c r="BC354" s="499"/>
      <c r="BD354" s="499">
        <v>43.15</v>
      </c>
      <c r="BE354" s="499">
        <v>26.870594153225809</v>
      </c>
      <c r="BF354" s="499">
        <v>20.21753649193548</v>
      </c>
      <c r="BG354" s="499">
        <v>25.940471512138281</v>
      </c>
      <c r="BI354" s="499">
        <f t="shared" ref="BI354:BJ354" si="547">AS357</f>
        <v>390</v>
      </c>
      <c r="BJ354" s="499">
        <f t="shared" si="547"/>
        <v>6.5398649999999998</v>
      </c>
      <c r="BK354" s="5">
        <f t="shared" si="493"/>
        <v>0</v>
      </c>
      <c r="BL354" s="499">
        <f t="shared" si="494"/>
        <v>20.321227</v>
      </c>
      <c r="BM354" s="499">
        <f t="shared" si="495"/>
        <v>783.579564</v>
      </c>
      <c r="BO354" s="499">
        <f t="shared" si="496"/>
        <v>390</v>
      </c>
      <c r="BP354" s="499">
        <f t="shared" si="497"/>
        <v>6.5398649999999998</v>
      </c>
      <c r="BQ354" s="5">
        <f t="shared" si="490"/>
        <v>0</v>
      </c>
      <c r="BR354" s="499">
        <f t="shared" si="498"/>
        <v>20.321227</v>
      </c>
      <c r="BS354" s="499">
        <f t="shared" si="499"/>
        <v>783.579564</v>
      </c>
      <c r="BU354" s="499">
        <f t="shared" si="500"/>
        <v>390</v>
      </c>
      <c r="BV354" s="499">
        <f t="shared" si="501"/>
        <v>6.5398649999999998</v>
      </c>
      <c r="BW354" s="5">
        <f t="shared" si="491"/>
        <v>0</v>
      </c>
      <c r="BX354" s="499">
        <f t="shared" si="502"/>
        <v>20.321227</v>
      </c>
      <c r="BY354" s="499">
        <f t="shared" si="503"/>
        <v>783.579564</v>
      </c>
      <c r="CA354">
        <v>390</v>
      </c>
      <c r="CB354">
        <v>6.5398649999999998</v>
      </c>
      <c r="CC354">
        <v>0</v>
      </c>
      <c r="CD354">
        <v>20.321227</v>
      </c>
      <c r="CE354">
        <v>783.579564</v>
      </c>
      <c r="CG354" s="499">
        <f t="shared" si="504"/>
        <v>0</v>
      </c>
      <c r="CH354" s="499">
        <f t="shared" si="505"/>
        <v>0</v>
      </c>
      <c r="CI354" s="499">
        <f t="shared" si="506"/>
        <v>0</v>
      </c>
      <c r="CJ354" s="499">
        <f t="shared" si="507"/>
        <v>0</v>
      </c>
      <c r="CP354" s="499"/>
      <c r="CQ354" s="65">
        <f t="shared" si="509"/>
        <v>0.97863043862142873</v>
      </c>
      <c r="CR354" s="499">
        <f t="shared" si="510"/>
        <v>0.97863043862142873</v>
      </c>
      <c r="CS354" s="499">
        <f t="shared" si="511"/>
        <v>0.97863043862142873</v>
      </c>
      <c r="CT354" s="38">
        <f t="shared" si="512"/>
        <v>1</v>
      </c>
      <c r="CU354" s="498">
        <f t="shared" si="513"/>
        <v>1</v>
      </c>
    </row>
    <row r="355" spans="43:99">
      <c r="AQ355" s="499"/>
      <c r="AR355" s="228">
        <v>22.012308999999998</v>
      </c>
      <c r="AS355" s="13">
        <v>329</v>
      </c>
      <c r="AT355" s="13">
        <v>6.379003</v>
      </c>
      <c r="AU355" s="13">
        <f t="shared" si="524"/>
        <v>0</v>
      </c>
      <c r="AV355" s="13">
        <f t="shared" si="515"/>
        <v>22.012308999999998</v>
      </c>
      <c r="AW355" s="13">
        <f t="shared" si="516"/>
        <v>22.012308999999998</v>
      </c>
      <c r="AX355" s="13">
        <f t="shared" si="517"/>
        <v>22.012308999999998</v>
      </c>
      <c r="AY355" s="13">
        <v>805.39914999999996</v>
      </c>
      <c r="AZ355" s="13">
        <f t="shared" si="518"/>
        <v>0</v>
      </c>
      <c r="BA355" s="13">
        <f t="shared" si="519"/>
        <v>0</v>
      </c>
      <c r="BB355" s="97">
        <f t="shared" si="520"/>
        <v>0</v>
      </c>
      <c r="BC355" s="499"/>
      <c r="BD355" s="499">
        <v>42.95</v>
      </c>
      <c r="BE355" s="499">
        <v>26.789277217741933</v>
      </c>
      <c r="BF355" s="499">
        <v>20.193068749999995</v>
      </c>
      <c r="BG355" s="499">
        <v>25.875123683383698</v>
      </c>
      <c r="BI355" s="499">
        <f t="shared" ref="BI355:BJ355" si="548">AS358</f>
        <v>343</v>
      </c>
      <c r="BJ355" s="499">
        <f t="shared" si="548"/>
        <v>6.5882880000000004</v>
      </c>
      <c r="BK355" s="5">
        <f t="shared" si="493"/>
        <v>0</v>
      </c>
      <c r="BL355" s="499">
        <f t="shared" si="494"/>
        <v>22.004653000000001</v>
      </c>
      <c r="BM355" s="499">
        <f t="shared" si="495"/>
        <v>1000.933566</v>
      </c>
      <c r="BO355" s="499">
        <f t="shared" si="496"/>
        <v>343</v>
      </c>
      <c r="BP355" s="499">
        <f t="shared" si="497"/>
        <v>6.5882880000000004</v>
      </c>
      <c r="BQ355" s="5">
        <f t="shared" si="490"/>
        <v>0</v>
      </c>
      <c r="BR355" s="499">
        <f t="shared" si="498"/>
        <v>22.004653000000001</v>
      </c>
      <c r="BS355" s="499">
        <f t="shared" si="499"/>
        <v>1000.933566</v>
      </c>
      <c r="BU355" s="499">
        <f t="shared" si="500"/>
        <v>343</v>
      </c>
      <c r="BV355" s="499">
        <f t="shared" si="501"/>
        <v>6.5882880000000004</v>
      </c>
      <c r="BW355" s="5">
        <f t="shared" si="491"/>
        <v>0</v>
      </c>
      <c r="BX355" s="499">
        <f t="shared" si="502"/>
        <v>22.004653000000001</v>
      </c>
      <c r="BY355" s="499">
        <f t="shared" si="503"/>
        <v>1000.933566</v>
      </c>
      <c r="CA355">
        <v>343</v>
      </c>
      <c r="CB355">
        <v>6.5882880000000004</v>
      </c>
      <c r="CC355">
        <v>0</v>
      </c>
      <c r="CD355">
        <v>22.004653000000001</v>
      </c>
      <c r="CE355">
        <v>1000.933566</v>
      </c>
      <c r="CG355" s="499">
        <f t="shared" si="504"/>
        <v>0</v>
      </c>
      <c r="CH355" s="499">
        <f t="shared" si="505"/>
        <v>0</v>
      </c>
      <c r="CI355" s="499">
        <f t="shared" si="506"/>
        <v>0</v>
      </c>
      <c r="CJ355" s="499">
        <f t="shared" si="507"/>
        <v>0</v>
      </c>
      <c r="CP355" s="499"/>
      <c r="CQ355" s="65">
        <f t="shared" si="509"/>
        <v>0.97853536562423771</v>
      </c>
      <c r="CR355" s="499">
        <f t="shared" si="510"/>
        <v>0.97853536562423771</v>
      </c>
      <c r="CS355" s="499">
        <f t="shared" si="511"/>
        <v>0.97853536562423771</v>
      </c>
      <c r="CT355" s="38">
        <f t="shared" si="512"/>
        <v>1</v>
      </c>
      <c r="CU355" s="498">
        <f t="shared" si="513"/>
        <v>1</v>
      </c>
    </row>
    <row r="356" spans="43:99">
      <c r="AQ356" s="499"/>
      <c r="AR356" s="228">
        <v>20.14677</v>
      </c>
      <c r="AS356" s="13">
        <v>163</v>
      </c>
      <c r="AT356" s="13">
        <v>6.4032179999999999</v>
      </c>
      <c r="AU356" s="13">
        <f t="shared" si="524"/>
        <v>0</v>
      </c>
      <c r="AV356" s="13">
        <f t="shared" si="515"/>
        <v>20.14677</v>
      </c>
      <c r="AW356" s="13">
        <f t="shared" si="516"/>
        <v>20.14677</v>
      </c>
      <c r="AX356" s="13">
        <f t="shared" si="517"/>
        <v>20.14677</v>
      </c>
      <c r="AY356" s="13">
        <v>784.76709100000005</v>
      </c>
      <c r="AZ356" s="13">
        <f t="shared" si="518"/>
        <v>0</v>
      </c>
      <c r="BA356" s="13">
        <f t="shared" si="519"/>
        <v>0</v>
      </c>
      <c r="BB356" s="97">
        <f t="shared" si="520"/>
        <v>0</v>
      </c>
      <c r="BC356" s="499"/>
      <c r="BD356" s="499">
        <v>42.75</v>
      </c>
      <c r="BE356" s="499">
        <v>26.784113306451601</v>
      </c>
      <c r="BF356" s="499">
        <v>20.172245161290324</v>
      </c>
      <c r="BG356" s="499">
        <v>25.798097454688648</v>
      </c>
      <c r="BI356" s="499">
        <f t="shared" ref="BI356:BJ356" si="549">AS359</f>
        <v>291</v>
      </c>
      <c r="BJ356" s="499">
        <f t="shared" si="549"/>
        <v>6.6094809999999997</v>
      </c>
      <c r="BK356" s="5">
        <f t="shared" si="493"/>
        <v>0</v>
      </c>
      <c r="BL356" s="499">
        <f t="shared" si="494"/>
        <v>20.14677</v>
      </c>
      <c r="BM356" s="499">
        <f t="shared" si="495"/>
        <v>1532.70937</v>
      </c>
      <c r="BO356" s="499">
        <f t="shared" si="496"/>
        <v>291</v>
      </c>
      <c r="BP356" s="499">
        <f t="shared" si="497"/>
        <v>6.6094809999999997</v>
      </c>
      <c r="BQ356" s="5">
        <f t="shared" si="490"/>
        <v>0</v>
      </c>
      <c r="BR356" s="499">
        <f t="shared" si="498"/>
        <v>20.14677</v>
      </c>
      <c r="BS356" s="499">
        <f t="shared" si="499"/>
        <v>1532.70937</v>
      </c>
      <c r="BU356" s="499">
        <f t="shared" si="500"/>
        <v>291</v>
      </c>
      <c r="BV356" s="499">
        <f t="shared" si="501"/>
        <v>6.6094809999999997</v>
      </c>
      <c r="BW356" s="5">
        <f t="shared" si="491"/>
        <v>0</v>
      </c>
      <c r="BX356" s="499">
        <f t="shared" si="502"/>
        <v>20.14677</v>
      </c>
      <c r="BY356" s="499">
        <f t="shared" si="503"/>
        <v>1532.70937</v>
      </c>
      <c r="CA356">
        <v>291</v>
      </c>
      <c r="CB356">
        <v>6.6094809999999997</v>
      </c>
      <c r="CC356">
        <v>0</v>
      </c>
      <c r="CD356">
        <v>20.14677</v>
      </c>
      <c r="CE356">
        <v>1532.70937</v>
      </c>
      <c r="CG356" s="499">
        <f t="shared" si="504"/>
        <v>0</v>
      </c>
      <c r="CH356" s="499">
        <f t="shared" si="505"/>
        <v>0</v>
      </c>
      <c r="CI356" s="499">
        <f t="shared" si="506"/>
        <v>0</v>
      </c>
      <c r="CJ356" s="499">
        <f t="shared" si="507"/>
        <v>0</v>
      </c>
      <c r="CP356" s="499"/>
      <c r="CQ356" s="65">
        <f t="shared" si="509"/>
        <v>0.96973799392328341</v>
      </c>
      <c r="CR356" s="499">
        <f t="shared" si="510"/>
        <v>0.96973799392328341</v>
      </c>
      <c r="CS356" s="499">
        <f t="shared" si="511"/>
        <v>0.96973799392328341</v>
      </c>
      <c r="CT356" s="38">
        <f t="shared" si="512"/>
        <v>1</v>
      </c>
      <c r="CU356" s="498">
        <f t="shared" si="513"/>
        <v>1</v>
      </c>
    </row>
    <row r="357" spans="43:99">
      <c r="AQ357" s="499"/>
      <c r="AR357" s="228">
        <v>20.321227</v>
      </c>
      <c r="AS357" s="13">
        <v>390</v>
      </c>
      <c r="AT357" s="13">
        <v>6.5398649999999998</v>
      </c>
      <c r="AU357" s="13">
        <f t="shared" si="524"/>
        <v>0</v>
      </c>
      <c r="AV357" s="13">
        <f t="shared" si="515"/>
        <v>20.321227</v>
      </c>
      <c r="AW357" s="13">
        <f t="shared" si="516"/>
        <v>20.321227</v>
      </c>
      <c r="AX357" s="13">
        <f t="shared" si="517"/>
        <v>20.321227</v>
      </c>
      <c r="AY357" s="13">
        <v>783.579564</v>
      </c>
      <c r="AZ357" s="13">
        <f t="shared" si="518"/>
        <v>0</v>
      </c>
      <c r="BA357" s="13">
        <f t="shared" si="519"/>
        <v>0</v>
      </c>
      <c r="BB357" s="97">
        <f t="shared" si="520"/>
        <v>0</v>
      </c>
      <c r="BC357" s="499"/>
      <c r="BD357" s="499">
        <v>42.55</v>
      </c>
      <c r="BE357" s="499">
        <v>26.594122177419361</v>
      </c>
      <c r="BF357" s="499">
        <v>20.111232862903222</v>
      </c>
      <c r="BG357" s="499">
        <v>25.622881155773808</v>
      </c>
      <c r="BI357" s="499">
        <f t="shared" ref="BI357:BJ357" si="550">AS360</f>
        <v>76</v>
      </c>
      <c r="BJ357" s="499">
        <f t="shared" si="550"/>
        <v>6.6496599999999999</v>
      </c>
      <c r="BK357" s="5">
        <f t="shared" si="493"/>
        <v>0</v>
      </c>
      <c r="BL357" s="499">
        <f t="shared" si="494"/>
        <v>19.222422000000002</v>
      </c>
      <c r="BM357" s="499">
        <f t="shared" si="495"/>
        <v>1001.525708</v>
      </c>
      <c r="BO357" s="499">
        <f t="shared" si="496"/>
        <v>76</v>
      </c>
      <c r="BP357" s="499">
        <f t="shared" si="497"/>
        <v>6.6496599999999999</v>
      </c>
      <c r="BQ357" s="5">
        <f t="shared" si="490"/>
        <v>0</v>
      </c>
      <c r="BR357" s="499">
        <f t="shared" si="498"/>
        <v>19.222422000000002</v>
      </c>
      <c r="BS357" s="499">
        <f t="shared" si="499"/>
        <v>1001.525708</v>
      </c>
      <c r="BU357" s="499">
        <f t="shared" si="500"/>
        <v>76</v>
      </c>
      <c r="BV357" s="499">
        <f t="shared" si="501"/>
        <v>6.6496599999999999</v>
      </c>
      <c r="BW357" s="5">
        <f t="shared" si="491"/>
        <v>0</v>
      </c>
      <c r="BX357" s="499">
        <f t="shared" si="502"/>
        <v>19.222422000000002</v>
      </c>
      <c r="BY357" s="499">
        <f t="shared" si="503"/>
        <v>1001.525708</v>
      </c>
      <c r="CA357">
        <v>76</v>
      </c>
      <c r="CB357">
        <v>6.6496599999999999</v>
      </c>
      <c r="CC357">
        <v>0</v>
      </c>
      <c r="CD357">
        <v>19.222422000000002</v>
      </c>
      <c r="CE357">
        <v>1001.525708</v>
      </c>
      <c r="CG357" s="499">
        <f t="shared" si="504"/>
        <v>0</v>
      </c>
      <c r="CH357" s="499">
        <f t="shared" si="505"/>
        <v>0</v>
      </c>
      <c r="CI357" s="499">
        <f t="shared" si="506"/>
        <v>0</v>
      </c>
      <c r="CJ357" s="499">
        <f t="shared" si="507"/>
        <v>0</v>
      </c>
      <c r="CP357" s="499"/>
      <c r="CQ357" s="65">
        <f t="shared" si="509"/>
        <v>0.97863043862142873</v>
      </c>
      <c r="CR357" s="499">
        <f t="shared" si="510"/>
        <v>0.97863043862142873</v>
      </c>
      <c r="CS357" s="499">
        <f t="shared" si="511"/>
        <v>0.97863043862142873</v>
      </c>
      <c r="CT357" s="38">
        <f t="shared" si="512"/>
        <v>1</v>
      </c>
      <c r="CU357" s="498">
        <f t="shared" si="513"/>
        <v>1</v>
      </c>
    </row>
    <row r="358" spans="43:99">
      <c r="AQ358" s="499"/>
      <c r="AR358" s="228">
        <v>22.004653000000001</v>
      </c>
      <c r="AS358" s="13">
        <v>343</v>
      </c>
      <c r="AT358" s="13">
        <v>6.5882880000000004</v>
      </c>
      <c r="AU358" s="13">
        <f t="shared" si="524"/>
        <v>0</v>
      </c>
      <c r="AV358" s="13">
        <f t="shared" si="515"/>
        <v>22.004653000000001</v>
      </c>
      <c r="AW358" s="13">
        <f t="shared" si="516"/>
        <v>22.004653000000001</v>
      </c>
      <c r="AX358" s="13">
        <f t="shared" si="517"/>
        <v>22.004653000000001</v>
      </c>
      <c r="AY358" s="13">
        <v>1000.933566</v>
      </c>
      <c r="AZ358" s="13">
        <f t="shared" si="518"/>
        <v>0</v>
      </c>
      <c r="BA358" s="13">
        <f t="shared" si="519"/>
        <v>0</v>
      </c>
      <c r="BB358" s="97">
        <f t="shared" si="520"/>
        <v>0</v>
      </c>
      <c r="BC358" s="499"/>
      <c r="BD358" s="499">
        <v>42.35</v>
      </c>
      <c r="BE358" s="499">
        <v>26.555449798387105</v>
      </c>
      <c r="BF358" s="499">
        <v>20.080530846774199</v>
      </c>
      <c r="BG358" s="499">
        <v>25.573157452802207</v>
      </c>
      <c r="BI358" s="499">
        <f t="shared" ref="BI358:BJ358" si="551">AS361</f>
        <v>422</v>
      </c>
      <c r="BJ358" s="499">
        <f t="shared" si="551"/>
        <v>6.6659499999999996</v>
      </c>
      <c r="BK358" s="5">
        <f t="shared" si="493"/>
        <v>1</v>
      </c>
      <c r="BL358" s="499">
        <f t="shared" si="494"/>
        <v>31.316526</v>
      </c>
      <c r="BM358" s="499">
        <f t="shared" si="495"/>
        <v>999.07876199999998</v>
      </c>
      <c r="BO358" s="499">
        <f t="shared" si="496"/>
        <v>422</v>
      </c>
      <c r="BP358" s="499">
        <f t="shared" si="497"/>
        <v>6.6659499999999996</v>
      </c>
      <c r="BQ358" s="5">
        <f t="shared" si="490"/>
        <v>1</v>
      </c>
      <c r="BR358" s="499">
        <f t="shared" si="498"/>
        <v>31.316526</v>
      </c>
      <c r="BS358" s="499">
        <f t="shared" si="499"/>
        <v>999.07876199999998</v>
      </c>
      <c r="BU358" s="499">
        <f t="shared" si="500"/>
        <v>422</v>
      </c>
      <c r="BV358" s="499">
        <f t="shared" si="501"/>
        <v>6.6659499999999996</v>
      </c>
      <c r="BW358" s="5">
        <f t="shared" si="491"/>
        <v>1</v>
      </c>
      <c r="BX358" s="499">
        <f t="shared" si="502"/>
        <v>31.316526</v>
      </c>
      <c r="BY358" s="499">
        <f t="shared" si="503"/>
        <v>999.07876199999998</v>
      </c>
      <c r="CA358">
        <v>422</v>
      </c>
      <c r="CB358">
        <v>6.6659499999999996</v>
      </c>
      <c r="CC358">
        <v>1</v>
      </c>
      <c r="CD358">
        <v>31.316526</v>
      </c>
      <c r="CE358">
        <v>999.07876199999998</v>
      </c>
      <c r="CG358" s="499">
        <f t="shared" si="504"/>
        <v>1</v>
      </c>
      <c r="CH358" s="499">
        <f t="shared" si="505"/>
        <v>1</v>
      </c>
      <c r="CI358" s="499">
        <f t="shared" si="506"/>
        <v>1</v>
      </c>
      <c r="CJ358" s="499">
        <f t="shared" si="507"/>
        <v>1</v>
      </c>
      <c r="CP358" s="499"/>
      <c r="CQ358" s="65">
        <f t="shared" si="509"/>
        <v>0.97882340934075562</v>
      </c>
      <c r="CR358" s="499">
        <f t="shared" si="510"/>
        <v>0.97882340934075562</v>
      </c>
      <c r="CS358" s="499">
        <f t="shared" si="511"/>
        <v>0.97882340934075562</v>
      </c>
      <c r="CT358" s="38">
        <f t="shared" si="512"/>
        <v>1</v>
      </c>
      <c r="CU358" s="498">
        <f t="shared" si="513"/>
        <v>1</v>
      </c>
    </row>
    <row r="359" spans="43:99">
      <c r="AQ359" s="499"/>
      <c r="AR359" s="228">
        <v>20.14677</v>
      </c>
      <c r="AS359" s="13">
        <v>291</v>
      </c>
      <c r="AT359" s="13">
        <v>6.6094809999999997</v>
      </c>
      <c r="AU359" s="13">
        <f t="shared" si="524"/>
        <v>0</v>
      </c>
      <c r="AV359" s="13">
        <f t="shared" si="515"/>
        <v>20.14677</v>
      </c>
      <c r="AW359" s="13">
        <f t="shared" si="516"/>
        <v>20.14677</v>
      </c>
      <c r="AX359" s="13">
        <f t="shared" si="517"/>
        <v>20.14677</v>
      </c>
      <c r="AY359" s="13">
        <v>1532.70937</v>
      </c>
      <c r="AZ359" s="13">
        <f t="shared" si="518"/>
        <v>0</v>
      </c>
      <c r="BA359" s="13">
        <f t="shared" si="519"/>
        <v>0</v>
      </c>
      <c r="BB359" s="97">
        <f t="shared" si="520"/>
        <v>0</v>
      </c>
      <c r="BC359" s="499"/>
      <c r="BD359" s="499">
        <v>42.15</v>
      </c>
      <c r="BE359" s="499">
        <v>26.525042741935483</v>
      </c>
      <c r="BF359" s="499">
        <v>20.06805221774195</v>
      </c>
      <c r="BG359" s="499">
        <v>25.511355595902014</v>
      </c>
      <c r="BI359" s="499">
        <f t="shared" ref="BI359:BJ359" si="552">AS362</f>
        <v>136</v>
      </c>
      <c r="BJ359" s="499">
        <f t="shared" si="552"/>
        <v>6.7224279999999998</v>
      </c>
      <c r="BK359" s="5">
        <f t="shared" si="493"/>
        <v>0</v>
      </c>
      <c r="BL359" s="499">
        <f t="shared" si="494"/>
        <v>19.222422000000002</v>
      </c>
      <c r="BM359" s="499">
        <f t="shared" si="495"/>
        <v>1001.861705</v>
      </c>
      <c r="BO359" s="499">
        <f t="shared" si="496"/>
        <v>136</v>
      </c>
      <c r="BP359" s="499">
        <f t="shared" si="497"/>
        <v>6.7224279999999998</v>
      </c>
      <c r="BQ359" s="5">
        <f t="shared" si="490"/>
        <v>0</v>
      </c>
      <c r="BR359" s="499">
        <f t="shared" si="498"/>
        <v>19.222422000000002</v>
      </c>
      <c r="BS359" s="499">
        <f t="shared" si="499"/>
        <v>1001.861705</v>
      </c>
      <c r="BU359" s="499">
        <f t="shared" si="500"/>
        <v>136</v>
      </c>
      <c r="BV359" s="499">
        <f t="shared" si="501"/>
        <v>6.7224279999999998</v>
      </c>
      <c r="BW359" s="5">
        <f t="shared" si="491"/>
        <v>0</v>
      </c>
      <c r="BX359" s="499">
        <f t="shared" si="502"/>
        <v>19.222422000000002</v>
      </c>
      <c r="BY359" s="499">
        <f t="shared" si="503"/>
        <v>1001.861705</v>
      </c>
      <c r="CA359">
        <v>136</v>
      </c>
      <c r="CB359">
        <v>6.7224279999999998</v>
      </c>
      <c r="CC359">
        <v>0</v>
      </c>
      <c r="CD359">
        <v>19.222422000000002</v>
      </c>
      <c r="CE359">
        <v>1001.861705</v>
      </c>
      <c r="CG359" s="499">
        <f t="shared" si="504"/>
        <v>0</v>
      </c>
      <c r="CH359" s="499">
        <f t="shared" si="505"/>
        <v>0</v>
      </c>
      <c r="CI359" s="499">
        <f t="shared" si="506"/>
        <v>0</v>
      </c>
      <c r="CJ359" s="499">
        <f t="shared" si="507"/>
        <v>0</v>
      </c>
      <c r="CP359" s="499"/>
      <c r="CQ359" s="65">
        <f t="shared" si="509"/>
        <v>9.5967931364932458E-7</v>
      </c>
      <c r="CR359" s="499">
        <f t="shared" si="510"/>
        <v>9.5967931364932458E-7</v>
      </c>
      <c r="CS359" s="499">
        <f t="shared" si="511"/>
        <v>9.5967931364932458E-7</v>
      </c>
      <c r="CT359" s="38">
        <f t="shared" si="512"/>
        <v>1</v>
      </c>
      <c r="CU359" s="498">
        <f t="shared" si="513"/>
        <v>1</v>
      </c>
    </row>
    <row r="360" spans="43:99">
      <c r="AQ360" s="499"/>
      <c r="AR360" s="228">
        <v>19.222422000000002</v>
      </c>
      <c r="AS360" s="13">
        <v>76</v>
      </c>
      <c r="AT360" s="13">
        <v>6.6496599999999999</v>
      </c>
      <c r="AU360" s="13">
        <f t="shared" si="524"/>
        <v>0</v>
      </c>
      <c r="AV360" s="13">
        <f t="shared" si="515"/>
        <v>19.222422000000002</v>
      </c>
      <c r="AW360" s="13">
        <f t="shared" si="516"/>
        <v>19.222422000000002</v>
      </c>
      <c r="AX360" s="13">
        <f t="shared" si="517"/>
        <v>19.222422000000002</v>
      </c>
      <c r="AY360" s="13">
        <v>1001.525708</v>
      </c>
      <c r="AZ360" s="13">
        <f t="shared" si="518"/>
        <v>0</v>
      </c>
      <c r="BA360" s="13">
        <f t="shared" si="519"/>
        <v>0</v>
      </c>
      <c r="BB360" s="97">
        <f t="shared" si="520"/>
        <v>0</v>
      </c>
      <c r="BC360" s="499"/>
      <c r="BD360" s="499">
        <v>41.95</v>
      </c>
      <c r="BE360" s="499">
        <v>26.493417741935485</v>
      </c>
      <c r="BF360" s="499">
        <v>20.048669959677422</v>
      </c>
      <c r="BG360" s="499">
        <v>25.431788743049452</v>
      </c>
      <c r="BI360" s="499">
        <f t="shared" ref="BI360:BJ360" si="553">AS363</f>
        <v>71</v>
      </c>
      <c r="BJ360" s="499">
        <f t="shared" si="553"/>
        <v>6.7342680000000001</v>
      </c>
      <c r="BK360" s="5">
        <f t="shared" si="493"/>
        <v>0</v>
      </c>
      <c r="BL360" s="499">
        <f t="shared" si="494"/>
        <v>21.698409000000002</v>
      </c>
      <c r="BM360" s="499">
        <f t="shared" si="495"/>
        <v>943.12719700000002</v>
      </c>
      <c r="BO360" s="499">
        <f t="shared" si="496"/>
        <v>71</v>
      </c>
      <c r="BP360" s="499">
        <f t="shared" si="497"/>
        <v>6.7342680000000001</v>
      </c>
      <c r="BQ360" s="5">
        <f t="shared" si="490"/>
        <v>0</v>
      </c>
      <c r="BR360" s="499">
        <f t="shared" si="498"/>
        <v>21.698409000000002</v>
      </c>
      <c r="BS360" s="499">
        <f t="shared" si="499"/>
        <v>943.12719700000002</v>
      </c>
      <c r="BU360" s="499">
        <f t="shared" si="500"/>
        <v>71</v>
      </c>
      <c r="BV360" s="499">
        <f t="shared" si="501"/>
        <v>6.7342680000000001</v>
      </c>
      <c r="BW360" s="5">
        <f t="shared" si="491"/>
        <v>0</v>
      </c>
      <c r="BX360" s="499">
        <f t="shared" si="502"/>
        <v>21.698409000000002</v>
      </c>
      <c r="BY360" s="499">
        <f t="shared" si="503"/>
        <v>943.12719700000002</v>
      </c>
      <c r="CA360">
        <v>71</v>
      </c>
      <c r="CB360">
        <v>6.7342680000000001</v>
      </c>
      <c r="CC360">
        <v>0</v>
      </c>
      <c r="CD360">
        <v>21.698409000000002</v>
      </c>
      <c r="CE360">
        <v>943.12719700000002</v>
      </c>
      <c r="CG360" s="499">
        <f t="shared" si="504"/>
        <v>0</v>
      </c>
      <c r="CH360" s="499">
        <f t="shared" si="505"/>
        <v>0</v>
      </c>
      <c r="CI360" s="499">
        <f t="shared" si="506"/>
        <v>0</v>
      </c>
      <c r="CJ360" s="499">
        <f t="shared" si="507"/>
        <v>0</v>
      </c>
      <c r="CP360" s="499"/>
      <c r="CQ360" s="65">
        <f t="shared" si="509"/>
        <v>0.97882340934075562</v>
      </c>
      <c r="CR360" s="499">
        <f t="shared" si="510"/>
        <v>0.97882340934075562</v>
      </c>
      <c r="CS360" s="499">
        <f t="shared" si="511"/>
        <v>0.97882340934075562</v>
      </c>
      <c r="CT360" s="38">
        <f t="shared" si="512"/>
        <v>1</v>
      </c>
      <c r="CU360" s="498">
        <f t="shared" si="513"/>
        <v>1</v>
      </c>
    </row>
    <row r="361" spans="43:99">
      <c r="AQ361" s="499"/>
      <c r="AR361" s="228">
        <v>31.316526</v>
      </c>
      <c r="AS361" s="13">
        <v>422</v>
      </c>
      <c r="AT361" s="13">
        <v>6.6659499999999996</v>
      </c>
      <c r="AU361" s="13">
        <f t="shared" si="524"/>
        <v>1</v>
      </c>
      <c r="AV361" s="13">
        <f t="shared" si="515"/>
        <v>31.316526</v>
      </c>
      <c r="AW361" s="13">
        <f t="shared" si="516"/>
        <v>31.316526</v>
      </c>
      <c r="AX361" s="13">
        <f t="shared" si="517"/>
        <v>31.316526</v>
      </c>
      <c r="AY361" s="13">
        <v>999.07876199999998</v>
      </c>
      <c r="AZ361" s="13">
        <f t="shared" si="518"/>
        <v>0</v>
      </c>
      <c r="BA361" s="13">
        <f t="shared" si="519"/>
        <v>0</v>
      </c>
      <c r="BB361" s="97">
        <f t="shared" si="520"/>
        <v>0</v>
      </c>
      <c r="BC361" s="499"/>
      <c r="BD361" s="499">
        <v>41.75</v>
      </c>
      <c r="BE361" s="499">
        <v>26.449329233870966</v>
      </c>
      <c r="BF361" s="499">
        <v>20.024995766129038</v>
      </c>
      <c r="BG361" s="499">
        <v>25.309441496836079</v>
      </c>
      <c r="BI361" s="499">
        <f t="shared" ref="BI361:BJ361" si="554">AS364</f>
        <v>362</v>
      </c>
      <c r="BJ361" s="499">
        <f t="shared" si="554"/>
        <v>6.8920180000000002</v>
      </c>
      <c r="BK361" s="5">
        <f t="shared" si="493"/>
        <v>0</v>
      </c>
      <c r="BL361" s="499">
        <f t="shared" si="494"/>
        <v>21.569786000000001</v>
      </c>
      <c r="BM361" s="499">
        <f t="shared" si="495"/>
        <v>1246.8716320000001</v>
      </c>
      <c r="BO361" s="499">
        <f t="shared" si="496"/>
        <v>362</v>
      </c>
      <c r="BP361" s="499">
        <f t="shared" si="497"/>
        <v>6.8920180000000002</v>
      </c>
      <c r="BQ361" s="5">
        <f t="shared" si="490"/>
        <v>0</v>
      </c>
      <c r="BR361" s="499">
        <f t="shared" si="498"/>
        <v>21.569786000000001</v>
      </c>
      <c r="BS361" s="499">
        <f t="shared" si="499"/>
        <v>1246.8716320000001</v>
      </c>
      <c r="BU361" s="499">
        <f t="shared" si="500"/>
        <v>362</v>
      </c>
      <c r="BV361" s="499">
        <f t="shared" si="501"/>
        <v>6.8920180000000002</v>
      </c>
      <c r="BW361" s="5">
        <f t="shared" si="491"/>
        <v>0</v>
      </c>
      <c r="BX361" s="499">
        <f t="shared" si="502"/>
        <v>21.569786000000001</v>
      </c>
      <c r="BY361" s="499">
        <f t="shared" si="503"/>
        <v>1246.8716320000001</v>
      </c>
      <c r="CA361">
        <v>362</v>
      </c>
      <c r="CB361">
        <v>6.8920180000000002</v>
      </c>
      <c r="CC361">
        <v>0</v>
      </c>
      <c r="CD361">
        <v>21.569786000000001</v>
      </c>
      <c r="CE361">
        <v>1246.8716320000001</v>
      </c>
      <c r="CG361" s="499">
        <f t="shared" si="504"/>
        <v>0</v>
      </c>
      <c r="CH361" s="499">
        <f t="shared" si="505"/>
        <v>0</v>
      </c>
      <c r="CI361" s="499">
        <f t="shared" si="506"/>
        <v>0</v>
      </c>
      <c r="CJ361" s="499">
        <f t="shared" si="507"/>
        <v>0</v>
      </c>
      <c r="CP361" s="499"/>
      <c r="CQ361" s="65">
        <f t="shared" si="509"/>
        <v>0.9738747952144361</v>
      </c>
      <c r="CR361" s="499">
        <f t="shared" si="510"/>
        <v>0.9738747952144361</v>
      </c>
      <c r="CS361" s="499">
        <f t="shared" si="511"/>
        <v>0.9738747952144361</v>
      </c>
      <c r="CT361" s="38">
        <f t="shared" si="512"/>
        <v>1</v>
      </c>
      <c r="CU361" s="498">
        <f t="shared" si="513"/>
        <v>1</v>
      </c>
    </row>
    <row r="362" spans="43:99">
      <c r="AQ362" s="499"/>
      <c r="AR362" s="228">
        <v>19.222422000000002</v>
      </c>
      <c r="AS362" s="13">
        <v>136</v>
      </c>
      <c r="AT362" s="13">
        <v>6.7224279999999998</v>
      </c>
      <c r="AU362" s="13">
        <f t="shared" si="524"/>
        <v>0</v>
      </c>
      <c r="AV362" s="13">
        <f t="shared" si="515"/>
        <v>19.222422000000002</v>
      </c>
      <c r="AW362" s="13">
        <f t="shared" si="516"/>
        <v>19.222422000000002</v>
      </c>
      <c r="AX362" s="13">
        <f t="shared" si="517"/>
        <v>19.222422000000002</v>
      </c>
      <c r="AY362" s="13">
        <v>1001.861705</v>
      </c>
      <c r="AZ362" s="13">
        <f t="shared" si="518"/>
        <v>0</v>
      </c>
      <c r="BA362" s="13">
        <f t="shared" si="519"/>
        <v>0</v>
      </c>
      <c r="BB362" s="97">
        <f t="shared" si="520"/>
        <v>0</v>
      </c>
      <c r="BC362" s="499"/>
      <c r="BD362" s="499">
        <v>41.55</v>
      </c>
      <c r="BE362" s="499">
        <v>26.274033467741944</v>
      </c>
      <c r="BF362" s="499">
        <v>19.98771350806452</v>
      </c>
      <c r="BG362" s="499">
        <v>25.160345139038462</v>
      </c>
      <c r="BI362" s="499">
        <f t="shared" ref="BI362:BJ362" si="555">AS365</f>
        <v>326</v>
      </c>
      <c r="BJ362" s="499">
        <f t="shared" si="555"/>
        <v>6.9021610000000004</v>
      </c>
      <c r="BK362" s="5">
        <f t="shared" si="493"/>
        <v>0</v>
      </c>
      <c r="BL362" s="499">
        <f t="shared" si="494"/>
        <v>23.516888000000002</v>
      </c>
      <c r="BM362" s="499">
        <f t="shared" si="495"/>
        <v>1123.610328</v>
      </c>
      <c r="BO362" s="499">
        <f t="shared" si="496"/>
        <v>326</v>
      </c>
      <c r="BP362" s="499">
        <f t="shared" si="497"/>
        <v>6.9021610000000004</v>
      </c>
      <c r="BQ362" s="5">
        <f t="shared" si="490"/>
        <v>0</v>
      </c>
      <c r="BR362" s="499">
        <f t="shared" si="498"/>
        <v>23.516888000000002</v>
      </c>
      <c r="BS362" s="499">
        <f t="shared" si="499"/>
        <v>1123.610328</v>
      </c>
      <c r="BU362" s="499">
        <f t="shared" si="500"/>
        <v>326</v>
      </c>
      <c r="BV362" s="499">
        <f t="shared" si="501"/>
        <v>6.9021610000000004</v>
      </c>
      <c r="BW362" s="5">
        <f t="shared" si="491"/>
        <v>0</v>
      </c>
      <c r="BX362" s="499">
        <f t="shared" si="502"/>
        <v>23.516888000000002</v>
      </c>
      <c r="BY362" s="499">
        <f t="shared" si="503"/>
        <v>1123.610328</v>
      </c>
      <c r="CA362">
        <v>326</v>
      </c>
      <c r="CB362">
        <v>6.9021610000000004</v>
      </c>
      <c r="CC362">
        <v>0</v>
      </c>
      <c r="CD362">
        <v>23.516888000000002</v>
      </c>
      <c r="CE362">
        <v>1123.610328</v>
      </c>
      <c r="CG362" s="499">
        <f t="shared" si="504"/>
        <v>0</v>
      </c>
      <c r="CH362" s="499">
        <f t="shared" si="505"/>
        <v>0</v>
      </c>
      <c r="CI362" s="499">
        <f t="shared" si="506"/>
        <v>0</v>
      </c>
      <c r="CJ362" s="499">
        <f t="shared" si="507"/>
        <v>0</v>
      </c>
      <c r="CP362" s="499"/>
      <c r="CQ362" s="65">
        <f t="shared" si="509"/>
        <v>0.97499460312268926</v>
      </c>
      <c r="CR362" s="499">
        <f t="shared" si="510"/>
        <v>0.97499460312268926</v>
      </c>
      <c r="CS362" s="499">
        <f t="shared" si="511"/>
        <v>0.97499460312268926</v>
      </c>
      <c r="CT362" s="38">
        <f t="shared" si="512"/>
        <v>1</v>
      </c>
      <c r="CU362" s="498">
        <f t="shared" si="513"/>
        <v>1</v>
      </c>
    </row>
    <row r="363" spans="43:99">
      <c r="AQ363" s="499"/>
      <c r="AR363" s="228">
        <v>21.698409000000002</v>
      </c>
      <c r="AS363" s="13">
        <v>71</v>
      </c>
      <c r="AT363" s="13">
        <v>6.7342680000000001</v>
      </c>
      <c r="AU363" s="13">
        <f t="shared" si="524"/>
        <v>0</v>
      </c>
      <c r="AV363" s="13">
        <f t="shared" si="515"/>
        <v>21.698409000000002</v>
      </c>
      <c r="AW363" s="13">
        <f t="shared" si="516"/>
        <v>21.698409000000002</v>
      </c>
      <c r="AX363" s="13">
        <f t="shared" si="517"/>
        <v>21.698409000000002</v>
      </c>
      <c r="AY363" s="13">
        <v>943.12719700000002</v>
      </c>
      <c r="AZ363" s="13">
        <f t="shared" si="518"/>
        <v>0</v>
      </c>
      <c r="BA363" s="13">
        <f t="shared" si="519"/>
        <v>0</v>
      </c>
      <c r="BB363" s="97">
        <f t="shared" si="520"/>
        <v>0</v>
      </c>
      <c r="BC363" s="499"/>
      <c r="BD363" s="499">
        <v>41.35</v>
      </c>
      <c r="BE363" s="499">
        <v>26.244725403225807</v>
      </c>
      <c r="BF363" s="499">
        <v>19.955019758064516</v>
      </c>
      <c r="BG363" s="499">
        <v>25.031459271872713</v>
      </c>
      <c r="BI363" s="499">
        <f t="shared" ref="BI363:BJ363" si="556">AS366</f>
        <v>430</v>
      </c>
      <c r="BJ363" s="499">
        <f t="shared" si="556"/>
        <v>6.9054500000000001</v>
      </c>
      <c r="BK363" s="5">
        <f t="shared" si="493"/>
        <v>0</v>
      </c>
      <c r="BL363" s="499">
        <f t="shared" si="494"/>
        <v>20.523961</v>
      </c>
      <c r="BM363" s="499">
        <f t="shared" si="495"/>
        <v>999.38440600000001</v>
      </c>
      <c r="BO363" s="499">
        <f t="shared" si="496"/>
        <v>430</v>
      </c>
      <c r="BP363" s="499">
        <f t="shared" si="497"/>
        <v>6.9054500000000001</v>
      </c>
      <c r="BQ363" s="5">
        <f t="shared" si="490"/>
        <v>0</v>
      </c>
      <c r="BR363" s="499">
        <f t="shared" si="498"/>
        <v>20.523961</v>
      </c>
      <c r="BS363" s="499">
        <f t="shared" si="499"/>
        <v>999.38440600000001</v>
      </c>
      <c r="BU363" s="499">
        <f t="shared" si="500"/>
        <v>430</v>
      </c>
      <c r="BV363" s="499">
        <f t="shared" si="501"/>
        <v>6.9054500000000001</v>
      </c>
      <c r="BW363" s="5">
        <f t="shared" si="491"/>
        <v>0</v>
      </c>
      <c r="BX363" s="499">
        <f t="shared" si="502"/>
        <v>20.523961</v>
      </c>
      <c r="BY363" s="499">
        <f t="shared" si="503"/>
        <v>999.38440600000001</v>
      </c>
      <c r="CA363">
        <v>430</v>
      </c>
      <c r="CB363">
        <v>6.9054500000000001</v>
      </c>
      <c r="CC363">
        <v>0</v>
      </c>
      <c r="CD363">
        <v>20.523961</v>
      </c>
      <c r="CE363">
        <v>999.38440600000001</v>
      </c>
      <c r="CG363" s="499">
        <f t="shared" si="504"/>
        <v>0</v>
      </c>
      <c r="CH363" s="499">
        <f t="shared" si="505"/>
        <v>0</v>
      </c>
      <c r="CI363" s="499">
        <f t="shared" si="506"/>
        <v>0</v>
      </c>
      <c r="CJ363" s="499">
        <f t="shared" si="507"/>
        <v>0</v>
      </c>
      <c r="CP363" s="499"/>
      <c r="CQ363" s="65">
        <f t="shared" si="509"/>
        <v>0.82269820316252618</v>
      </c>
      <c r="CR363" s="499">
        <f t="shared" si="510"/>
        <v>0.82269820316252618</v>
      </c>
      <c r="CS363" s="499">
        <f t="shared" si="511"/>
        <v>0.82269820316252618</v>
      </c>
      <c r="CT363" s="38">
        <f t="shared" si="512"/>
        <v>1</v>
      </c>
      <c r="CU363" s="498">
        <f t="shared" si="513"/>
        <v>1</v>
      </c>
    </row>
    <row r="364" spans="43:99">
      <c r="AQ364" s="499"/>
      <c r="AR364" s="228">
        <v>21.569786000000001</v>
      </c>
      <c r="AS364" s="13">
        <v>362</v>
      </c>
      <c r="AT364" s="13">
        <v>6.8920180000000002</v>
      </c>
      <c r="AU364" s="13">
        <f t="shared" si="524"/>
        <v>0</v>
      </c>
      <c r="AV364" s="13">
        <f t="shared" si="515"/>
        <v>21.569786000000001</v>
      </c>
      <c r="AW364" s="13">
        <f t="shared" si="516"/>
        <v>21.569786000000001</v>
      </c>
      <c r="AX364" s="13">
        <f t="shared" si="517"/>
        <v>21.569786000000001</v>
      </c>
      <c r="AY364" s="13">
        <v>1246.8716320000001</v>
      </c>
      <c r="AZ364" s="13">
        <f t="shared" si="518"/>
        <v>0</v>
      </c>
      <c r="BA364" s="13">
        <f t="shared" si="519"/>
        <v>0</v>
      </c>
      <c r="BB364" s="97">
        <f t="shared" si="520"/>
        <v>0</v>
      </c>
      <c r="BC364" s="499"/>
      <c r="BD364" s="499">
        <v>41.15</v>
      </c>
      <c r="BE364" s="499">
        <v>26.206397379032254</v>
      </c>
      <c r="BF364" s="499">
        <v>19.926028024193545</v>
      </c>
      <c r="BG364" s="499">
        <v>24.969655861465206</v>
      </c>
      <c r="BI364" s="499">
        <f t="shared" ref="BI364:BJ364" si="557">AS367</f>
        <v>111</v>
      </c>
      <c r="BJ364" s="499">
        <f t="shared" si="557"/>
        <v>6.9527729999999996</v>
      </c>
      <c r="BK364" s="5">
        <f t="shared" si="493"/>
        <v>0</v>
      </c>
      <c r="BL364" s="499">
        <f t="shared" si="494"/>
        <v>19.222422000000002</v>
      </c>
      <c r="BM364" s="499">
        <f t="shared" si="495"/>
        <v>1001.105086</v>
      </c>
      <c r="BO364" s="499">
        <f t="shared" si="496"/>
        <v>111</v>
      </c>
      <c r="BP364" s="499">
        <f t="shared" si="497"/>
        <v>6.9527729999999996</v>
      </c>
      <c r="BQ364" s="5">
        <f t="shared" si="490"/>
        <v>0</v>
      </c>
      <c r="BR364" s="499">
        <f t="shared" si="498"/>
        <v>19.222422000000002</v>
      </c>
      <c r="BS364" s="499">
        <f t="shared" si="499"/>
        <v>1001.105086</v>
      </c>
      <c r="BU364" s="499">
        <f t="shared" si="500"/>
        <v>111</v>
      </c>
      <c r="BV364" s="499">
        <f t="shared" si="501"/>
        <v>6.9527729999999996</v>
      </c>
      <c r="BW364" s="5">
        <f t="shared" si="491"/>
        <v>0</v>
      </c>
      <c r="BX364" s="499">
        <f t="shared" si="502"/>
        <v>19.222422000000002</v>
      </c>
      <c r="BY364" s="499">
        <f t="shared" si="503"/>
        <v>1001.105086</v>
      </c>
      <c r="CA364">
        <v>111</v>
      </c>
      <c r="CB364">
        <v>6.9527729999999996</v>
      </c>
      <c r="CC364">
        <v>0</v>
      </c>
      <c r="CD364">
        <v>19.222422000000002</v>
      </c>
      <c r="CE364">
        <v>1001.105086</v>
      </c>
      <c r="CG364" s="499">
        <f t="shared" si="504"/>
        <v>0</v>
      </c>
      <c r="CH364" s="499">
        <f t="shared" si="505"/>
        <v>0</v>
      </c>
      <c r="CI364" s="499">
        <f t="shared" si="506"/>
        <v>0</v>
      </c>
      <c r="CJ364" s="499">
        <f t="shared" si="507"/>
        <v>0</v>
      </c>
      <c r="CP364" s="499"/>
      <c r="CQ364" s="65">
        <f t="shared" si="509"/>
        <v>0.97837441977350947</v>
      </c>
      <c r="CR364" s="499">
        <f t="shared" si="510"/>
        <v>0.97837441977350947</v>
      </c>
      <c r="CS364" s="499">
        <f t="shared" si="511"/>
        <v>0.97837441977350947</v>
      </c>
      <c r="CT364" s="38">
        <f t="shared" si="512"/>
        <v>1</v>
      </c>
      <c r="CU364" s="498">
        <f t="shared" si="513"/>
        <v>1</v>
      </c>
    </row>
    <row r="365" spans="43:99">
      <c r="AQ365" s="499"/>
      <c r="AR365" s="228">
        <v>23.516888000000002</v>
      </c>
      <c r="AS365" s="13">
        <v>326</v>
      </c>
      <c r="AT365" s="13">
        <v>6.9021610000000004</v>
      </c>
      <c r="AU365" s="13">
        <f t="shared" si="524"/>
        <v>0</v>
      </c>
      <c r="AV365" s="13">
        <f t="shared" si="515"/>
        <v>23.516888000000002</v>
      </c>
      <c r="AW365" s="13">
        <f t="shared" si="516"/>
        <v>23.516888000000002</v>
      </c>
      <c r="AX365" s="13">
        <f t="shared" si="517"/>
        <v>23.516888000000002</v>
      </c>
      <c r="AY365" s="13">
        <v>1123.610328</v>
      </c>
      <c r="AZ365" s="13">
        <f t="shared" si="518"/>
        <v>0</v>
      </c>
      <c r="BA365" s="13">
        <f t="shared" si="519"/>
        <v>0</v>
      </c>
      <c r="BB365" s="97">
        <f t="shared" si="520"/>
        <v>0</v>
      </c>
      <c r="BC365" s="499"/>
      <c r="BD365" s="499">
        <v>40.950000000000003</v>
      </c>
      <c r="BE365" s="499">
        <v>26.16875725806452</v>
      </c>
      <c r="BF365" s="499">
        <v>19.901824798387093</v>
      </c>
      <c r="BG365" s="499">
        <v>24.923375598864471</v>
      </c>
      <c r="BI365" s="499">
        <f t="shared" ref="BI365:BJ365" si="558">AS368</f>
        <v>299</v>
      </c>
      <c r="BJ365" s="499">
        <f t="shared" si="558"/>
        <v>6.9809169999999998</v>
      </c>
      <c r="BK365" s="5">
        <f t="shared" si="493"/>
        <v>0</v>
      </c>
      <c r="BL365" s="499">
        <f t="shared" si="494"/>
        <v>22.33897</v>
      </c>
      <c r="BM365" s="499">
        <f t="shared" si="495"/>
        <v>540.77966800000002</v>
      </c>
      <c r="BO365" s="499">
        <f t="shared" si="496"/>
        <v>299</v>
      </c>
      <c r="BP365" s="499">
        <f t="shared" si="497"/>
        <v>6.9809169999999998</v>
      </c>
      <c r="BQ365" s="5">
        <f t="shared" si="490"/>
        <v>0</v>
      </c>
      <c r="BR365" s="499">
        <f t="shared" si="498"/>
        <v>22.33897</v>
      </c>
      <c r="BS365" s="499">
        <f t="shared" si="499"/>
        <v>540.77966800000002</v>
      </c>
      <c r="BU365" s="499">
        <f t="shared" si="500"/>
        <v>299</v>
      </c>
      <c r="BV365" s="499">
        <f t="shared" si="501"/>
        <v>6.9809169999999998</v>
      </c>
      <c r="BW365" s="5">
        <f t="shared" si="491"/>
        <v>0</v>
      </c>
      <c r="BX365" s="499">
        <f t="shared" si="502"/>
        <v>22.33897</v>
      </c>
      <c r="BY365" s="499">
        <f t="shared" si="503"/>
        <v>540.77966800000002</v>
      </c>
      <c r="CA365">
        <v>299</v>
      </c>
      <c r="CB365">
        <v>6.9809169999999998</v>
      </c>
      <c r="CC365">
        <v>0</v>
      </c>
      <c r="CD365">
        <v>22.33897</v>
      </c>
      <c r="CE365">
        <v>540.77966800000002</v>
      </c>
      <c r="CG365" s="499">
        <f t="shared" si="504"/>
        <v>0</v>
      </c>
      <c r="CH365" s="499">
        <f t="shared" si="505"/>
        <v>0</v>
      </c>
      <c r="CI365" s="499">
        <f t="shared" si="506"/>
        <v>0</v>
      </c>
      <c r="CJ365" s="499">
        <f t="shared" si="507"/>
        <v>0</v>
      </c>
      <c r="CP365" s="499"/>
      <c r="CQ365" s="65">
        <f t="shared" si="509"/>
        <v>0.97882340934075562</v>
      </c>
      <c r="CR365" s="499">
        <f t="shared" si="510"/>
        <v>0.97882340934075562</v>
      </c>
      <c r="CS365" s="499">
        <f t="shared" si="511"/>
        <v>0.97882340934075562</v>
      </c>
      <c r="CT365" s="38">
        <f t="shared" si="512"/>
        <v>1</v>
      </c>
      <c r="CU365" s="498">
        <f t="shared" si="513"/>
        <v>1</v>
      </c>
    </row>
    <row r="366" spans="43:99">
      <c r="AQ366" s="499"/>
      <c r="AR366" s="228">
        <v>20.523961</v>
      </c>
      <c r="AS366" s="13">
        <v>430</v>
      </c>
      <c r="AT366" s="13">
        <v>6.9054500000000001</v>
      </c>
      <c r="AU366" s="13">
        <f t="shared" si="524"/>
        <v>0</v>
      </c>
      <c r="AV366" s="13">
        <f t="shared" si="515"/>
        <v>20.523961</v>
      </c>
      <c r="AW366" s="13">
        <f t="shared" si="516"/>
        <v>20.523961</v>
      </c>
      <c r="AX366" s="13">
        <f t="shared" si="517"/>
        <v>20.523961</v>
      </c>
      <c r="AY366" s="13">
        <v>999.38440600000001</v>
      </c>
      <c r="AZ366" s="13">
        <f t="shared" si="518"/>
        <v>0</v>
      </c>
      <c r="BA366" s="13">
        <f t="shared" si="519"/>
        <v>0</v>
      </c>
      <c r="BB366" s="97">
        <f t="shared" si="520"/>
        <v>0</v>
      </c>
      <c r="BC366" s="499"/>
      <c r="BD366" s="499">
        <v>40.75</v>
      </c>
      <c r="BE366" s="499">
        <v>26.12177580645162</v>
      </c>
      <c r="BF366" s="499">
        <v>19.878338911290321</v>
      </c>
      <c r="BG366" s="499">
        <v>24.884146660325094</v>
      </c>
      <c r="BI366" s="499">
        <f t="shared" ref="BI366:BJ366" si="559">AS369</f>
        <v>101</v>
      </c>
      <c r="BJ366" s="499">
        <f t="shared" si="559"/>
        <v>7.1013390000000003</v>
      </c>
      <c r="BK366" s="5">
        <f t="shared" si="493"/>
        <v>0</v>
      </c>
      <c r="BL366" s="499">
        <f t="shared" si="494"/>
        <v>23.021032000000002</v>
      </c>
      <c r="BM366" s="499">
        <f t="shared" si="495"/>
        <v>1263.2569309999999</v>
      </c>
      <c r="BO366" s="499">
        <f t="shared" si="496"/>
        <v>101</v>
      </c>
      <c r="BP366" s="499">
        <f t="shared" si="497"/>
        <v>7.1013390000000003</v>
      </c>
      <c r="BQ366" s="5">
        <f t="shared" si="490"/>
        <v>0</v>
      </c>
      <c r="BR366" s="499">
        <f t="shared" si="498"/>
        <v>23.021032000000002</v>
      </c>
      <c r="BS366" s="499">
        <f t="shared" si="499"/>
        <v>1263.2569309999999</v>
      </c>
      <c r="BU366" s="499">
        <f t="shared" si="500"/>
        <v>101</v>
      </c>
      <c r="BV366" s="499">
        <f t="shared" si="501"/>
        <v>7.1013390000000003</v>
      </c>
      <c r="BW366" s="5">
        <f t="shared" si="491"/>
        <v>0</v>
      </c>
      <c r="BX366" s="499">
        <f t="shared" si="502"/>
        <v>23.021032000000002</v>
      </c>
      <c r="BY366" s="499">
        <f t="shared" si="503"/>
        <v>1263.2569309999999</v>
      </c>
      <c r="CA366">
        <v>101</v>
      </c>
      <c r="CB366">
        <v>7.1013390000000003</v>
      </c>
      <c r="CC366">
        <v>0</v>
      </c>
      <c r="CD366">
        <v>23.021032000000002</v>
      </c>
      <c r="CE366">
        <v>1263.2569309999999</v>
      </c>
      <c r="CG366" s="499">
        <f t="shared" si="504"/>
        <v>0</v>
      </c>
      <c r="CH366" s="499">
        <f t="shared" si="505"/>
        <v>0</v>
      </c>
      <c r="CI366" s="499">
        <f t="shared" si="506"/>
        <v>0</v>
      </c>
      <c r="CJ366" s="499">
        <f t="shared" si="507"/>
        <v>0</v>
      </c>
      <c r="CP366" s="499"/>
      <c r="CQ366" s="65">
        <f t="shared" si="509"/>
        <v>0.96129005177480753</v>
      </c>
      <c r="CR366" s="499">
        <f t="shared" si="510"/>
        <v>0.96129005177480753</v>
      </c>
      <c r="CS366" s="499">
        <f t="shared" si="511"/>
        <v>0.96129005177480753</v>
      </c>
      <c r="CT366" s="38">
        <f t="shared" si="512"/>
        <v>1</v>
      </c>
      <c r="CU366" s="498">
        <f t="shared" si="513"/>
        <v>1</v>
      </c>
    </row>
    <row r="367" spans="43:99">
      <c r="AQ367" s="499"/>
      <c r="AR367" s="228">
        <v>19.222422000000002</v>
      </c>
      <c r="AS367" s="13">
        <v>111</v>
      </c>
      <c r="AT367" s="13">
        <v>6.9527729999999996</v>
      </c>
      <c r="AU367" s="13">
        <f t="shared" si="524"/>
        <v>0</v>
      </c>
      <c r="AV367" s="13">
        <f t="shared" si="515"/>
        <v>19.222422000000002</v>
      </c>
      <c r="AW367" s="13">
        <f t="shared" si="516"/>
        <v>19.222422000000002</v>
      </c>
      <c r="AX367" s="13">
        <f t="shared" si="517"/>
        <v>19.222422000000002</v>
      </c>
      <c r="AY367" s="13">
        <v>1001.105086</v>
      </c>
      <c r="AZ367" s="13">
        <f t="shared" si="518"/>
        <v>0</v>
      </c>
      <c r="BA367" s="13">
        <f t="shared" si="519"/>
        <v>0</v>
      </c>
      <c r="BB367" s="97">
        <f t="shared" si="520"/>
        <v>0</v>
      </c>
      <c r="BC367" s="499"/>
      <c r="BD367" s="499">
        <v>40.549999999999997</v>
      </c>
      <c r="BE367" s="499">
        <v>26.081482661290323</v>
      </c>
      <c r="BF367" s="499">
        <v>19.851925403225799</v>
      </c>
      <c r="BG367" s="499">
        <v>24.837409026891031</v>
      </c>
      <c r="BI367" s="499">
        <f t="shared" ref="BI367:BJ367" si="560">AS370</f>
        <v>151</v>
      </c>
      <c r="BJ367" s="499">
        <f t="shared" si="560"/>
        <v>7.15</v>
      </c>
      <c r="BK367" s="5">
        <f t="shared" si="493"/>
        <v>0</v>
      </c>
      <c r="BL367" s="499">
        <f t="shared" si="494"/>
        <v>21.291104000000001</v>
      </c>
      <c r="BM367" s="499">
        <f t="shared" si="495"/>
        <v>998.93022299999996</v>
      </c>
      <c r="BO367" s="499">
        <f t="shared" si="496"/>
        <v>151</v>
      </c>
      <c r="BP367" s="499">
        <f t="shared" si="497"/>
        <v>7.15</v>
      </c>
      <c r="BQ367" s="5">
        <f t="shared" si="490"/>
        <v>0</v>
      </c>
      <c r="BR367" s="499">
        <f t="shared" si="498"/>
        <v>21.291104000000001</v>
      </c>
      <c r="BS367" s="499">
        <f t="shared" si="499"/>
        <v>998.93022299999996</v>
      </c>
      <c r="BU367" s="499">
        <f t="shared" si="500"/>
        <v>151</v>
      </c>
      <c r="BV367" s="499">
        <f t="shared" si="501"/>
        <v>7.15</v>
      </c>
      <c r="BW367" s="5">
        <f t="shared" si="491"/>
        <v>0</v>
      </c>
      <c r="BX367" s="499">
        <f t="shared" si="502"/>
        <v>21.291104000000001</v>
      </c>
      <c r="BY367" s="499">
        <f t="shared" si="503"/>
        <v>998.93022299999996</v>
      </c>
      <c r="CA367">
        <v>151</v>
      </c>
      <c r="CB367">
        <v>7.15</v>
      </c>
      <c r="CC367">
        <v>0</v>
      </c>
      <c r="CD367">
        <v>21.291104000000001</v>
      </c>
      <c r="CE367">
        <v>998.93022299999996</v>
      </c>
      <c r="CG367" s="499">
        <f t="shared" si="504"/>
        <v>0</v>
      </c>
      <c r="CH367" s="499">
        <f t="shared" si="505"/>
        <v>0</v>
      </c>
      <c r="CI367" s="499">
        <f t="shared" si="506"/>
        <v>0</v>
      </c>
      <c r="CJ367" s="499">
        <f t="shared" si="507"/>
        <v>0</v>
      </c>
      <c r="CP367" s="499"/>
      <c r="CQ367" s="65">
        <f t="shared" si="509"/>
        <v>0.91407910690160521</v>
      </c>
      <c r="CR367" s="499">
        <f t="shared" si="510"/>
        <v>0.91407910690160521</v>
      </c>
      <c r="CS367" s="499">
        <f t="shared" si="511"/>
        <v>0.91407910690160521</v>
      </c>
      <c r="CT367" s="38">
        <f t="shared" si="512"/>
        <v>1</v>
      </c>
      <c r="CU367" s="498">
        <f t="shared" si="513"/>
        <v>1</v>
      </c>
    </row>
    <row r="368" spans="43:99">
      <c r="AQ368" s="499"/>
      <c r="AR368" s="228">
        <v>22.33897</v>
      </c>
      <c r="AS368" s="13">
        <v>299</v>
      </c>
      <c r="AT368" s="13">
        <v>6.9809169999999998</v>
      </c>
      <c r="AU368" s="13">
        <f t="shared" si="524"/>
        <v>0</v>
      </c>
      <c r="AV368" s="13">
        <f t="shared" si="515"/>
        <v>22.33897</v>
      </c>
      <c r="AW368" s="13">
        <f t="shared" si="516"/>
        <v>22.33897</v>
      </c>
      <c r="AX368" s="13">
        <f t="shared" si="517"/>
        <v>22.33897</v>
      </c>
      <c r="AY368" s="13">
        <v>540.77966800000002</v>
      </c>
      <c r="AZ368" s="13">
        <f t="shared" si="518"/>
        <v>0</v>
      </c>
      <c r="BA368" s="13">
        <f t="shared" si="519"/>
        <v>0</v>
      </c>
      <c r="BB368" s="97">
        <f t="shared" si="520"/>
        <v>0</v>
      </c>
      <c r="BC368" s="499"/>
      <c r="BD368" s="499">
        <v>40.35</v>
      </c>
      <c r="BE368" s="499">
        <v>26.050057258064516</v>
      </c>
      <c r="BF368" s="499">
        <v>19.820134475806451</v>
      </c>
      <c r="BG368" s="499">
        <v>24.813185644070511</v>
      </c>
      <c r="BI368" s="499">
        <f t="shared" ref="BI368:BJ368" si="561">AS371</f>
        <v>37</v>
      </c>
      <c r="BJ368" s="499">
        <f t="shared" si="561"/>
        <v>7.2826469999999999</v>
      </c>
      <c r="BK368" s="5">
        <f t="shared" si="493"/>
        <v>0</v>
      </c>
      <c r="BL368" s="499">
        <f t="shared" si="494"/>
        <v>21.382977</v>
      </c>
      <c r="BM368" s="499">
        <f t="shared" si="495"/>
        <v>1001.74836</v>
      </c>
      <c r="BO368" s="499">
        <f t="shared" si="496"/>
        <v>37</v>
      </c>
      <c r="BP368" s="499">
        <f t="shared" si="497"/>
        <v>7.2826469999999999</v>
      </c>
      <c r="BQ368" s="5">
        <f t="shared" si="490"/>
        <v>0</v>
      </c>
      <c r="BR368" s="499">
        <f t="shared" si="498"/>
        <v>21.382977</v>
      </c>
      <c r="BS368" s="499">
        <f t="shared" si="499"/>
        <v>1001.74836</v>
      </c>
      <c r="BU368" s="499">
        <f t="shared" si="500"/>
        <v>37</v>
      </c>
      <c r="BV368" s="499">
        <f t="shared" si="501"/>
        <v>7.2826469999999999</v>
      </c>
      <c r="BW368" s="5">
        <f t="shared" si="491"/>
        <v>0</v>
      </c>
      <c r="BX368" s="499">
        <f t="shared" si="502"/>
        <v>21.382977</v>
      </c>
      <c r="BY368" s="499">
        <f t="shared" si="503"/>
        <v>1001.74836</v>
      </c>
      <c r="CA368">
        <v>37</v>
      </c>
      <c r="CB368">
        <v>7.2826469999999999</v>
      </c>
      <c r="CC368">
        <v>0</v>
      </c>
      <c r="CD368">
        <v>21.382977</v>
      </c>
      <c r="CE368">
        <v>1001.74836</v>
      </c>
      <c r="CG368" s="499">
        <f t="shared" si="504"/>
        <v>0</v>
      </c>
      <c r="CH368" s="499">
        <f t="shared" si="505"/>
        <v>0</v>
      </c>
      <c r="CI368" s="499">
        <f t="shared" si="506"/>
        <v>0</v>
      </c>
      <c r="CJ368" s="499">
        <f t="shared" si="507"/>
        <v>0</v>
      </c>
      <c r="CP368" s="499"/>
      <c r="CQ368" s="65">
        <f t="shared" si="509"/>
        <v>0.97663438058824714</v>
      </c>
      <c r="CR368" s="499">
        <f t="shared" si="510"/>
        <v>0.97663438058824714</v>
      </c>
      <c r="CS368" s="499">
        <f t="shared" si="511"/>
        <v>0.97663438058824714</v>
      </c>
      <c r="CT368" s="38">
        <f t="shared" si="512"/>
        <v>1</v>
      </c>
      <c r="CU368" s="498">
        <f t="shared" si="513"/>
        <v>1</v>
      </c>
    </row>
    <row r="369" spans="43:99">
      <c r="AQ369" s="499"/>
      <c r="AR369" s="228">
        <v>23.021032000000002</v>
      </c>
      <c r="AS369" s="13">
        <v>101</v>
      </c>
      <c r="AT369" s="13">
        <v>7.1013390000000003</v>
      </c>
      <c r="AU369" s="13">
        <f t="shared" si="524"/>
        <v>0</v>
      </c>
      <c r="AV369" s="13">
        <f t="shared" si="515"/>
        <v>23.021032000000002</v>
      </c>
      <c r="AW369" s="13">
        <f t="shared" si="516"/>
        <v>23.021032000000002</v>
      </c>
      <c r="AX369" s="13">
        <f t="shared" si="517"/>
        <v>23.021032000000002</v>
      </c>
      <c r="AY369" s="13">
        <v>1263.2569309999999</v>
      </c>
      <c r="AZ369" s="13">
        <f t="shared" si="518"/>
        <v>0</v>
      </c>
      <c r="BA369" s="13">
        <f t="shared" si="519"/>
        <v>0</v>
      </c>
      <c r="BB369" s="97">
        <f t="shared" si="520"/>
        <v>0</v>
      </c>
      <c r="BC369" s="499"/>
      <c r="BD369" s="499">
        <v>40.15</v>
      </c>
      <c r="BE369" s="499">
        <v>26.00001028225806</v>
      </c>
      <c r="BF369" s="499">
        <v>19.78739818548387</v>
      </c>
      <c r="BG369" s="499">
        <v>24.758964308933148</v>
      </c>
      <c r="BI369" s="499">
        <f t="shared" ref="BI369:BJ369" si="562">AS372</f>
        <v>467</v>
      </c>
      <c r="BJ369" s="499">
        <f t="shared" si="562"/>
        <v>7.2826469999999999</v>
      </c>
      <c r="BK369" s="5">
        <f t="shared" si="493"/>
        <v>0</v>
      </c>
      <c r="BL369" s="499">
        <f t="shared" si="494"/>
        <v>21.382977</v>
      </c>
      <c r="BM369" s="499">
        <f t="shared" si="495"/>
        <v>1001.4426989999999</v>
      </c>
      <c r="BO369" s="499">
        <f t="shared" si="496"/>
        <v>467</v>
      </c>
      <c r="BP369" s="499">
        <f t="shared" si="497"/>
        <v>7.2826469999999999</v>
      </c>
      <c r="BQ369" s="5">
        <f t="shared" si="490"/>
        <v>0</v>
      </c>
      <c r="BR369" s="499">
        <f t="shared" si="498"/>
        <v>21.382977</v>
      </c>
      <c r="BS369" s="499">
        <f t="shared" si="499"/>
        <v>1001.4426989999999</v>
      </c>
      <c r="BU369" s="499">
        <f t="shared" si="500"/>
        <v>467</v>
      </c>
      <c r="BV369" s="499">
        <f t="shared" si="501"/>
        <v>7.2826469999999999</v>
      </c>
      <c r="BW369" s="5">
        <f t="shared" si="491"/>
        <v>0</v>
      </c>
      <c r="BX369" s="499">
        <f t="shared" si="502"/>
        <v>21.382977</v>
      </c>
      <c r="BY369" s="499">
        <f t="shared" si="503"/>
        <v>1001.4426989999999</v>
      </c>
      <c r="CA369">
        <v>467</v>
      </c>
      <c r="CB369">
        <v>7.2826469999999999</v>
      </c>
      <c r="CC369">
        <v>0</v>
      </c>
      <c r="CD369">
        <v>21.382977</v>
      </c>
      <c r="CE369">
        <v>1001.4426989999999</v>
      </c>
      <c r="CG369" s="499">
        <f t="shared" si="504"/>
        <v>0</v>
      </c>
      <c r="CH369" s="499">
        <f t="shared" si="505"/>
        <v>0</v>
      </c>
      <c r="CI369" s="499">
        <f t="shared" si="506"/>
        <v>0</v>
      </c>
      <c r="CJ369" s="499">
        <f t="shared" si="507"/>
        <v>0</v>
      </c>
      <c r="CP369" s="499"/>
      <c r="CQ369" s="65">
        <f t="shared" si="509"/>
        <v>0.97618988575665611</v>
      </c>
      <c r="CR369" s="499">
        <f t="shared" si="510"/>
        <v>0.97618988575665611</v>
      </c>
      <c r="CS369" s="499">
        <f t="shared" si="511"/>
        <v>0.97618988575665611</v>
      </c>
      <c r="CT369" s="38">
        <f t="shared" si="512"/>
        <v>1</v>
      </c>
      <c r="CU369" s="498">
        <f t="shared" si="513"/>
        <v>1</v>
      </c>
    </row>
    <row r="370" spans="43:99">
      <c r="AQ370" s="499"/>
      <c r="AR370" s="228">
        <v>21.291104000000001</v>
      </c>
      <c r="AS370" s="13">
        <v>151</v>
      </c>
      <c r="AT370" s="13">
        <v>7.15</v>
      </c>
      <c r="AU370" s="13">
        <f t="shared" si="524"/>
        <v>0</v>
      </c>
      <c r="AV370" s="13">
        <f t="shared" si="515"/>
        <v>21.291104000000001</v>
      </c>
      <c r="AW370" s="13">
        <f t="shared" si="516"/>
        <v>21.291104000000001</v>
      </c>
      <c r="AX370" s="13">
        <f t="shared" si="517"/>
        <v>21.291104000000001</v>
      </c>
      <c r="AY370" s="13">
        <v>998.93022299999996</v>
      </c>
      <c r="AZ370" s="13">
        <f t="shared" si="518"/>
        <v>0</v>
      </c>
      <c r="BA370" s="13">
        <f t="shared" si="519"/>
        <v>0</v>
      </c>
      <c r="BB370" s="97">
        <f t="shared" si="520"/>
        <v>0</v>
      </c>
      <c r="BC370" s="499"/>
      <c r="BD370" s="499">
        <v>39.950000000000003</v>
      </c>
      <c r="BE370" s="499">
        <v>25.890181653225813</v>
      </c>
      <c r="BF370" s="499">
        <v>19.767032056451615</v>
      </c>
      <c r="BG370" s="499">
        <v>24.613194832765569</v>
      </c>
      <c r="BI370" s="499">
        <f t="shared" ref="BI370:BJ370" si="563">AS373</f>
        <v>301</v>
      </c>
      <c r="BJ370" s="499">
        <f t="shared" si="563"/>
        <v>7.2826469999999999</v>
      </c>
      <c r="BK370" s="5">
        <f t="shared" si="493"/>
        <v>0</v>
      </c>
      <c r="BL370" s="499">
        <f t="shared" si="494"/>
        <v>21.940852</v>
      </c>
      <c r="BM370" s="499">
        <f t="shared" si="495"/>
        <v>1263.456124</v>
      </c>
      <c r="BO370" s="499">
        <f t="shared" si="496"/>
        <v>301</v>
      </c>
      <c r="BP370" s="499">
        <f t="shared" si="497"/>
        <v>7.2826469999999999</v>
      </c>
      <c r="BQ370" s="5">
        <f t="shared" si="490"/>
        <v>0</v>
      </c>
      <c r="BR370" s="499">
        <f t="shared" si="498"/>
        <v>21.940852</v>
      </c>
      <c r="BS370" s="499">
        <f t="shared" si="499"/>
        <v>1263.456124</v>
      </c>
      <c r="BU370" s="499">
        <f t="shared" si="500"/>
        <v>301</v>
      </c>
      <c r="BV370" s="499">
        <f t="shared" si="501"/>
        <v>7.2826469999999999</v>
      </c>
      <c r="BW370" s="5">
        <f t="shared" si="491"/>
        <v>0</v>
      </c>
      <c r="BX370" s="499">
        <f t="shared" si="502"/>
        <v>21.940852</v>
      </c>
      <c r="BY370" s="499">
        <f t="shared" si="503"/>
        <v>1263.456124</v>
      </c>
      <c r="CA370">
        <v>301</v>
      </c>
      <c r="CB370">
        <v>7.2826469999999999</v>
      </c>
      <c r="CC370">
        <v>0</v>
      </c>
      <c r="CD370">
        <v>21.940852</v>
      </c>
      <c r="CE370">
        <v>1263.456124</v>
      </c>
      <c r="CG370" s="499">
        <f t="shared" si="504"/>
        <v>0</v>
      </c>
      <c r="CH370" s="499">
        <f t="shared" si="505"/>
        <v>0</v>
      </c>
      <c r="CI370" s="499">
        <f t="shared" si="506"/>
        <v>0</v>
      </c>
      <c r="CJ370" s="499">
        <f t="shared" si="507"/>
        <v>0</v>
      </c>
      <c r="CP370" s="499"/>
      <c r="CQ370" s="65">
        <f t="shared" si="509"/>
        <v>0.97618988575665611</v>
      </c>
      <c r="CR370" s="499">
        <f t="shared" si="510"/>
        <v>0.97618988575665611</v>
      </c>
      <c r="CS370" s="499">
        <f t="shared" si="511"/>
        <v>0.97618988575665611</v>
      </c>
      <c r="CT370" s="38">
        <f t="shared" si="512"/>
        <v>1</v>
      </c>
      <c r="CU370" s="498">
        <f t="shared" si="513"/>
        <v>1</v>
      </c>
    </row>
    <row r="371" spans="43:99">
      <c r="AQ371" s="499"/>
      <c r="AR371" s="228">
        <v>21.382977</v>
      </c>
      <c r="AS371" s="13">
        <v>37</v>
      </c>
      <c r="AT371" s="13">
        <v>7.2826469999999999</v>
      </c>
      <c r="AU371" s="13">
        <f t="shared" si="524"/>
        <v>0</v>
      </c>
      <c r="AV371" s="13">
        <f t="shared" si="515"/>
        <v>21.382977</v>
      </c>
      <c r="AW371" s="13">
        <f t="shared" si="516"/>
        <v>21.382977</v>
      </c>
      <c r="AX371" s="13">
        <f t="shared" si="517"/>
        <v>21.382977</v>
      </c>
      <c r="AY371" s="13">
        <v>1001.74836</v>
      </c>
      <c r="AZ371" s="13">
        <f t="shared" si="518"/>
        <v>0</v>
      </c>
      <c r="BA371" s="13">
        <f t="shared" si="519"/>
        <v>0</v>
      </c>
      <c r="BB371" s="97">
        <f t="shared" si="520"/>
        <v>0</v>
      </c>
      <c r="BC371" s="499"/>
      <c r="BD371" s="499">
        <v>39.75</v>
      </c>
      <c r="BE371" s="499">
        <v>25.935811895161297</v>
      </c>
      <c r="BF371" s="499">
        <v>19.775858669354836</v>
      </c>
      <c r="BG371" s="499">
        <v>24.627451369496342</v>
      </c>
      <c r="BI371" s="499">
        <f t="shared" ref="BI371:BJ371" si="564">AS374</f>
        <v>414</v>
      </c>
      <c r="BJ371" s="499">
        <f t="shared" si="564"/>
        <v>7.2826469999999999</v>
      </c>
      <c r="BK371" s="5">
        <f t="shared" si="493"/>
        <v>0</v>
      </c>
      <c r="BL371" s="499">
        <f t="shared" si="494"/>
        <v>22.993153</v>
      </c>
      <c r="BM371" s="499">
        <f t="shared" si="495"/>
        <v>616.72423800000001</v>
      </c>
      <c r="BO371" s="499">
        <f t="shared" si="496"/>
        <v>414</v>
      </c>
      <c r="BP371" s="499">
        <f t="shared" si="497"/>
        <v>7.2826469999999999</v>
      </c>
      <c r="BQ371" s="5">
        <f t="shared" si="490"/>
        <v>0</v>
      </c>
      <c r="BR371" s="499">
        <f t="shared" si="498"/>
        <v>22.993153</v>
      </c>
      <c r="BS371" s="499">
        <f t="shared" si="499"/>
        <v>616.72423800000001</v>
      </c>
      <c r="BU371" s="499">
        <f t="shared" si="500"/>
        <v>414</v>
      </c>
      <c r="BV371" s="499">
        <f t="shared" si="501"/>
        <v>7.2826469999999999</v>
      </c>
      <c r="BW371" s="5">
        <f t="shared" si="491"/>
        <v>0</v>
      </c>
      <c r="BX371" s="499">
        <f t="shared" si="502"/>
        <v>22.993153</v>
      </c>
      <c r="BY371" s="499">
        <f t="shared" si="503"/>
        <v>616.72423800000001</v>
      </c>
      <c r="CA371">
        <v>414</v>
      </c>
      <c r="CB371">
        <v>7.2826469999999999</v>
      </c>
      <c r="CC371">
        <v>0</v>
      </c>
      <c r="CD371">
        <v>22.993153</v>
      </c>
      <c r="CE371">
        <v>616.72423800000001</v>
      </c>
      <c r="CG371" s="499">
        <f t="shared" si="504"/>
        <v>0</v>
      </c>
      <c r="CH371" s="499">
        <f t="shared" si="505"/>
        <v>0</v>
      </c>
      <c r="CI371" s="499">
        <f t="shared" si="506"/>
        <v>0</v>
      </c>
      <c r="CJ371" s="499">
        <f t="shared" si="507"/>
        <v>0</v>
      </c>
      <c r="CP371" s="499"/>
      <c r="CQ371" s="65">
        <f t="shared" si="509"/>
        <v>0.97081513073640635</v>
      </c>
      <c r="CR371" s="499">
        <f t="shared" si="510"/>
        <v>0.97081513073640635</v>
      </c>
      <c r="CS371" s="499">
        <f t="shared" si="511"/>
        <v>0.97081513073640635</v>
      </c>
      <c r="CT371" s="38">
        <f t="shared" si="512"/>
        <v>1</v>
      </c>
      <c r="CU371" s="498">
        <f t="shared" si="513"/>
        <v>1</v>
      </c>
    </row>
    <row r="372" spans="43:99">
      <c r="AQ372" s="499"/>
      <c r="AR372" s="228">
        <v>21.382977</v>
      </c>
      <c r="AS372" s="13">
        <v>467</v>
      </c>
      <c r="AT372" s="13">
        <v>7.2826469999999999</v>
      </c>
      <c r="AU372" s="13">
        <f t="shared" si="524"/>
        <v>0</v>
      </c>
      <c r="AV372" s="13">
        <f t="shared" si="515"/>
        <v>21.382977</v>
      </c>
      <c r="AW372" s="13">
        <f t="shared" si="516"/>
        <v>21.382977</v>
      </c>
      <c r="AX372" s="13">
        <f t="shared" si="517"/>
        <v>21.382977</v>
      </c>
      <c r="AY372" s="13">
        <v>1001.4426989999999</v>
      </c>
      <c r="AZ372" s="13">
        <f t="shared" si="518"/>
        <v>0</v>
      </c>
      <c r="BA372" s="13">
        <f t="shared" si="519"/>
        <v>0</v>
      </c>
      <c r="BB372" s="97">
        <f t="shared" si="520"/>
        <v>0</v>
      </c>
      <c r="BC372" s="499"/>
      <c r="BD372" s="499">
        <v>39.549999999999997</v>
      </c>
      <c r="BE372" s="499">
        <v>25.982910483870977</v>
      </c>
      <c r="BF372" s="499">
        <v>19.762942338709664</v>
      </c>
      <c r="BG372" s="499">
        <v>24.643727511442307</v>
      </c>
      <c r="BI372" s="499">
        <f t="shared" ref="BI372:BJ372" si="565">AS375</f>
        <v>305</v>
      </c>
      <c r="BJ372" s="499">
        <f t="shared" si="565"/>
        <v>7.4074499999999999</v>
      </c>
      <c r="BK372" s="5">
        <f t="shared" si="493"/>
        <v>1</v>
      </c>
      <c r="BL372" s="499">
        <f t="shared" si="494"/>
        <v>27.506598</v>
      </c>
      <c r="BM372" s="499">
        <f t="shared" si="495"/>
        <v>1386.3381589999999</v>
      </c>
      <c r="BO372" s="499">
        <f t="shared" si="496"/>
        <v>305</v>
      </c>
      <c r="BP372" s="499">
        <f t="shared" si="497"/>
        <v>7.4074499999999999</v>
      </c>
      <c r="BQ372" s="5">
        <f t="shared" si="490"/>
        <v>1</v>
      </c>
      <c r="BR372" s="499">
        <f t="shared" si="498"/>
        <v>27.506598</v>
      </c>
      <c r="BS372" s="499">
        <f t="shared" si="499"/>
        <v>1386.3381589999999</v>
      </c>
      <c r="BU372" s="499">
        <f t="shared" si="500"/>
        <v>305</v>
      </c>
      <c r="BV372" s="499">
        <f t="shared" si="501"/>
        <v>7.4074499999999999</v>
      </c>
      <c r="BW372" s="5">
        <f t="shared" si="491"/>
        <v>1</v>
      </c>
      <c r="BX372" s="499">
        <f t="shared" si="502"/>
        <v>27.506598</v>
      </c>
      <c r="BY372" s="499">
        <f t="shared" si="503"/>
        <v>1386.3381589999999</v>
      </c>
      <c r="CA372">
        <v>305</v>
      </c>
      <c r="CB372">
        <v>7.4074499999999999</v>
      </c>
      <c r="CC372">
        <v>1</v>
      </c>
      <c r="CD372">
        <v>27.506598</v>
      </c>
      <c r="CE372">
        <v>1386.3381589999999</v>
      </c>
      <c r="CG372" s="499">
        <f t="shared" si="504"/>
        <v>1</v>
      </c>
      <c r="CH372" s="499">
        <f t="shared" si="505"/>
        <v>1</v>
      </c>
      <c r="CI372" s="499">
        <f t="shared" si="506"/>
        <v>1</v>
      </c>
      <c r="CJ372" s="499">
        <f t="shared" si="507"/>
        <v>1</v>
      </c>
      <c r="CP372" s="499"/>
      <c r="CQ372" s="65">
        <f t="shared" si="509"/>
        <v>0.91735054832278762</v>
      </c>
      <c r="CR372" s="499">
        <f t="shared" si="510"/>
        <v>0.91735054832278762</v>
      </c>
      <c r="CS372" s="499">
        <f t="shared" si="511"/>
        <v>0.91735054832278762</v>
      </c>
      <c r="CT372" s="38">
        <f t="shared" si="512"/>
        <v>1</v>
      </c>
      <c r="CU372" s="498">
        <f t="shared" si="513"/>
        <v>1</v>
      </c>
    </row>
    <row r="373" spans="43:99">
      <c r="AQ373" s="499"/>
      <c r="AR373" s="228">
        <v>21.940852</v>
      </c>
      <c r="AS373" s="13">
        <v>301</v>
      </c>
      <c r="AT373" s="13">
        <v>7.2826469999999999</v>
      </c>
      <c r="AU373" s="13">
        <f t="shared" si="524"/>
        <v>0</v>
      </c>
      <c r="AV373" s="13">
        <f t="shared" si="515"/>
        <v>21.940852</v>
      </c>
      <c r="AW373" s="13">
        <f t="shared" si="516"/>
        <v>21.940852</v>
      </c>
      <c r="AX373" s="13">
        <f t="shared" si="517"/>
        <v>21.940852</v>
      </c>
      <c r="AY373" s="13">
        <v>1263.456124</v>
      </c>
      <c r="AZ373" s="13">
        <f t="shared" si="518"/>
        <v>0</v>
      </c>
      <c r="BA373" s="13">
        <f t="shared" si="519"/>
        <v>0</v>
      </c>
      <c r="BB373" s="97">
        <f t="shared" si="520"/>
        <v>0</v>
      </c>
      <c r="BC373" s="499"/>
      <c r="BD373" s="499">
        <v>39.35</v>
      </c>
      <c r="BE373" s="499">
        <v>25.99930262096775</v>
      </c>
      <c r="BF373" s="499">
        <v>19.762509274193544</v>
      </c>
      <c r="BG373" s="499">
        <v>24.666635804619961</v>
      </c>
      <c r="BI373" s="499">
        <f t="shared" ref="BI373:BJ373" si="566">AS376</f>
        <v>198</v>
      </c>
      <c r="BJ373" s="499">
        <f t="shared" si="566"/>
        <v>7.4152909999999999</v>
      </c>
      <c r="BK373" s="5">
        <f t="shared" si="493"/>
        <v>0</v>
      </c>
      <c r="BL373" s="499">
        <f t="shared" si="494"/>
        <v>21.940852</v>
      </c>
      <c r="BM373" s="499">
        <f t="shared" si="495"/>
        <v>1539.161934</v>
      </c>
      <c r="BO373" s="499">
        <f t="shared" si="496"/>
        <v>198</v>
      </c>
      <c r="BP373" s="499">
        <f t="shared" si="497"/>
        <v>7.4152909999999999</v>
      </c>
      <c r="BQ373" s="5">
        <f t="shared" si="490"/>
        <v>0</v>
      </c>
      <c r="BR373" s="499">
        <f t="shared" si="498"/>
        <v>21.940852</v>
      </c>
      <c r="BS373" s="499">
        <f t="shared" si="499"/>
        <v>1539.161934</v>
      </c>
      <c r="BU373" s="499">
        <f t="shared" si="500"/>
        <v>198</v>
      </c>
      <c r="BV373" s="499">
        <f t="shared" si="501"/>
        <v>7.4152909999999999</v>
      </c>
      <c r="BW373" s="5">
        <f t="shared" si="491"/>
        <v>0</v>
      </c>
      <c r="BX373" s="499">
        <f t="shared" si="502"/>
        <v>21.940852</v>
      </c>
      <c r="BY373" s="499">
        <f t="shared" si="503"/>
        <v>1539.161934</v>
      </c>
      <c r="CA373">
        <v>198</v>
      </c>
      <c r="CB373">
        <v>7.4152909999999999</v>
      </c>
      <c r="CC373">
        <v>0</v>
      </c>
      <c r="CD373">
        <v>21.940852</v>
      </c>
      <c r="CE373">
        <v>1539.161934</v>
      </c>
      <c r="CG373" s="499">
        <f t="shared" si="504"/>
        <v>0</v>
      </c>
      <c r="CH373" s="499">
        <f t="shared" si="505"/>
        <v>0</v>
      </c>
      <c r="CI373" s="499">
        <f t="shared" si="506"/>
        <v>0</v>
      </c>
      <c r="CJ373" s="499">
        <f t="shared" si="507"/>
        <v>0</v>
      </c>
      <c r="CP373" s="499"/>
      <c r="CQ373" s="65">
        <f t="shared" si="509"/>
        <v>1.8572281934782049E-3</v>
      </c>
      <c r="CR373" s="499">
        <f t="shared" si="510"/>
        <v>1.8572281934782049E-3</v>
      </c>
      <c r="CS373" s="499">
        <f t="shared" si="511"/>
        <v>1.8572281934782049E-3</v>
      </c>
      <c r="CT373" s="38">
        <f t="shared" si="512"/>
        <v>1</v>
      </c>
      <c r="CU373" s="498">
        <f t="shared" si="513"/>
        <v>1</v>
      </c>
    </row>
    <row r="374" spans="43:99">
      <c r="AQ374" s="499"/>
      <c r="AR374" s="228">
        <v>22.993153</v>
      </c>
      <c r="AS374" s="13">
        <v>414</v>
      </c>
      <c r="AT374" s="13">
        <v>7.2826469999999999</v>
      </c>
      <c r="AU374" s="13">
        <f t="shared" si="524"/>
        <v>0</v>
      </c>
      <c r="AV374" s="13">
        <f t="shared" si="515"/>
        <v>22.993153</v>
      </c>
      <c r="AW374" s="13">
        <f t="shared" si="516"/>
        <v>22.993153</v>
      </c>
      <c r="AX374" s="13">
        <f t="shared" si="517"/>
        <v>22.993153</v>
      </c>
      <c r="AY374" s="13">
        <v>616.72423800000001</v>
      </c>
      <c r="AZ374" s="13">
        <f t="shared" si="518"/>
        <v>0</v>
      </c>
      <c r="BA374" s="13">
        <f t="shared" si="519"/>
        <v>0</v>
      </c>
      <c r="BB374" s="97">
        <f t="shared" si="520"/>
        <v>0</v>
      </c>
      <c r="BC374" s="499"/>
      <c r="BD374" s="499">
        <v>39.15</v>
      </c>
      <c r="BE374" s="499">
        <v>26.060341733870967</v>
      </c>
      <c r="BF374" s="499">
        <v>19.751480645161291</v>
      </c>
      <c r="BG374" s="499">
        <v>24.733420536268316</v>
      </c>
      <c r="BI374" s="499">
        <f t="shared" ref="BI374:BJ374" si="567">AS377</f>
        <v>328</v>
      </c>
      <c r="BJ374" s="499">
        <f t="shared" si="567"/>
        <v>7.4271409999999998</v>
      </c>
      <c r="BK374" s="5">
        <f t="shared" si="493"/>
        <v>1</v>
      </c>
      <c r="BL374" s="499">
        <f t="shared" si="494"/>
        <v>26.033114999999999</v>
      </c>
      <c r="BM374" s="499">
        <f t="shared" si="495"/>
        <v>1328.5837449999999</v>
      </c>
      <c r="BO374" s="499">
        <f t="shared" si="496"/>
        <v>328</v>
      </c>
      <c r="BP374" s="499">
        <f t="shared" si="497"/>
        <v>7.4271409999999998</v>
      </c>
      <c r="BQ374" s="5">
        <f t="shared" si="490"/>
        <v>1</v>
      </c>
      <c r="BR374" s="499">
        <f t="shared" si="498"/>
        <v>26.033114999999999</v>
      </c>
      <c r="BS374" s="499">
        <f t="shared" si="499"/>
        <v>1328.5837449999999</v>
      </c>
      <c r="BU374" s="499">
        <f t="shared" si="500"/>
        <v>328</v>
      </c>
      <c r="BV374" s="499">
        <f t="shared" si="501"/>
        <v>7.4271409999999998</v>
      </c>
      <c r="BW374" s="5">
        <f t="shared" si="491"/>
        <v>1</v>
      </c>
      <c r="BX374" s="499">
        <f t="shared" si="502"/>
        <v>26.033114999999999</v>
      </c>
      <c r="BY374" s="499">
        <f t="shared" si="503"/>
        <v>1328.5837449999999</v>
      </c>
      <c r="CA374">
        <v>328</v>
      </c>
      <c r="CB374">
        <v>7.4271409999999998</v>
      </c>
      <c r="CC374">
        <v>1</v>
      </c>
      <c r="CD374">
        <v>26.033114999999999</v>
      </c>
      <c r="CE374">
        <v>1328.5837449999999</v>
      </c>
      <c r="CG374" s="499">
        <f t="shared" si="504"/>
        <v>1</v>
      </c>
      <c r="CH374" s="499">
        <f t="shared" si="505"/>
        <v>1</v>
      </c>
      <c r="CI374" s="499">
        <f t="shared" si="506"/>
        <v>1</v>
      </c>
      <c r="CJ374" s="499">
        <f t="shared" si="507"/>
        <v>1</v>
      </c>
      <c r="CP374" s="499"/>
      <c r="CQ374" s="65">
        <f t="shared" si="509"/>
        <v>0.97081513073640635</v>
      </c>
      <c r="CR374" s="499">
        <f t="shared" si="510"/>
        <v>0.97081513073640635</v>
      </c>
      <c r="CS374" s="499">
        <f t="shared" si="511"/>
        <v>0.97081513073640635</v>
      </c>
      <c r="CT374" s="38">
        <f t="shared" si="512"/>
        <v>1</v>
      </c>
      <c r="CU374" s="498">
        <f t="shared" si="513"/>
        <v>1</v>
      </c>
    </row>
    <row r="375" spans="43:99">
      <c r="AQ375" s="499"/>
      <c r="AR375" s="228">
        <v>27.506598</v>
      </c>
      <c r="AS375" s="13">
        <v>305</v>
      </c>
      <c r="AT375" s="13">
        <v>7.4074499999999999</v>
      </c>
      <c r="AU375" s="13">
        <f t="shared" si="524"/>
        <v>1</v>
      </c>
      <c r="AV375" s="13">
        <f t="shared" si="515"/>
        <v>27.506598</v>
      </c>
      <c r="AW375" s="13">
        <f t="shared" si="516"/>
        <v>27.506598</v>
      </c>
      <c r="AX375" s="13">
        <f t="shared" si="517"/>
        <v>27.506598</v>
      </c>
      <c r="AY375" s="13">
        <v>1386.3381589999999</v>
      </c>
      <c r="AZ375" s="13">
        <f t="shared" si="518"/>
        <v>0</v>
      </c>
      <c r="BA375" s="13">
        <f t="shared" si="519"/>
        <v>0</v>
      </c>
      <c r="BB375" s="97">
        <f t="shared" si="520"/>
        <v>0</v>
      </c>
      <c r="BC375" s="499"/>
      <c r="BD375" s="499">
        <v>38.950000000000003</v>
      </c>
      <c r="BE375" s="499">
        <v>26.083936491935482</v>
      </c>
      <c r="BF375" s="499">
        <v>19.740443951612892</v>
      </c>
      <c r="BG375" s="499">
        <v>24.788684366204215</v>
      </c>
      <c r="BI375" s="499">
        <f t="shared" ref="BI375:BJ375" si="568">AS378</f>
        <v>52</v>
      </c>
      <c r="BJ375" s="499">
        <f t="shared" si="568"/>
        <v>7.5133390000000002</v>
      </c>
      <c r="BK375" s="5">
        <f t="shared" si="493"/>
        <v>0</v>
      </c>
      <c r="BL375" s="499">
        <f t="shared" si="494"/>
        <v>23.306222000000002</v>
      </c>
      <c r="BM375" s="499">
        <f t="shared" si="495"/>
        <v>1000.23197</v>
      </c>
      <c r="BO375" s="499">
        <f t="shared" si="496"/>
        <v>52</v>
      </c>
      <c r="BP375" s="499">
        <f t="shared" si="497"/>
        <v>7.5133390000000002</v>
      </c>
      <c r="BQ375" s="5">
        <f t="shared" si="490"/>
        <v>0</v>
      </c>
      <c r="BR375" s="499">
        <f t="shared" si="498"/>
        <v>23.306222000000002</v>
      </c>
      <c r="BS375" s="499">
        <f t="shared" si="499"/>
        <v>1000.23197</v>
      </c>
      <c r="BU375" s="499">
        <f t="shared" si="500"/>
        <v>52</v>
      </c>
      <c r="BV375" s="499">
        <f t="shared" si="501"/>
        <v>7.5133390000000002</v>
      </c>
      <c r="BW375" s="5">
        <f t="shared" si="491"/>
        <v>0</v>
      </c>
      <c r="BX375" s="499">
        <f t="shared" si="502"/>
        <v>23.306222000000002</v>
      </c>
      <c r="BY375" s="499">
        <f t="shared" si="503"/>
        <v>1000.23197</v>
      </c>
      <c r="CA375">
        <v>52</v>
      </c>
      <c r="CB375">
        <v>7.5133390000000002</v>
      </c>
      <c r="CC375">
        <v>0</v>
      </c>
      <c r="CD375">
        <v>23.306222000000002</v>
      </c>
      <c r="CE375">
        <v>1000.23197</v>
      </c>
      <c r="CG375" s="499">
        <f t="shared" si="504"/>
        <v>0</v>
      </c>
      <c r="CH375" s="499">
        <f t="shared" si="505"/>
        <v>0</v>
      </c>
      <c r="CI375" s="499">
        <f t="shared" si="506"/>
        <v>0</v>
      </c>
      <c r="CJ375" s="499">
        <f t="shared" si="507"/>
        <v>0</v>
      </c>
      <c r="CP375" s="499"/>
      <c r="CQ375" s="65">
        <f t="shared" si="509"/>
        <v>3.3573182654366721E-2</v>
      </c>
      <c r="CR375" s="499">
        <f t="shared" si="510"/>
        <v>3.3573182654366721E-2</v>
      </c>
      <c r="CS375" s="499">
        <f t="shared" si="511"/>
        <v>3.3573182654366721E-2</v>
      </c>
      <c r="CT375" s="38">
        <f t="shared" si="512"/>
        <v>1</v>
      </c>
      <c r="CU375" s="498">
        <f t="shared" si="513"/>
        <v>1</v>
      </c>
    </row>
    <row r="376" spans="43:99">
      <c r="AQ376" s="499"/>
      <c r="AR376" s="228">
        <v>21.940852</v>
      </c>
      <c r="AS376" s="13">
        <v>198</v>
      </c>
      <c r="AT376" s="13">
        <v>7.4152909999999999</v>
      </c>
      <c r="AU376" s="13">
        <f t="shared" si="524"/>
        <v>0</v>
      </c>
      <c r="AV376" s="13">
        <f t="shared" si="515"/>
        <v>21.940852</v>
      </c>
      <c r="AW376" s="13">
        <f t="shared" si="516"/>
        <v>21.940852</v>
      </c>
      <c r="AX376" s="13">
        <f t="shared" si="517"/>
        <v>21.940852</v>
      </c>
      <c r="AY376" s="13">
        <v>1539.161934</v>
      </c>
      <c r="AZ376" s="13">
        <f t="shared" si="518"/>
        <v>0</v>
      </c>
      <c r="BA376" s="13">
        <f t="shared" si="519"/>
        <v>0</v>
      </c>
      <c r="BB376" s="97">
        <f t="shared" si="520"/>
        <v>0</v>
      </c>
      <c r="BC376" s="499"/>
      <c r="BD376" s="499">
        <v>38.75</v>
      </c>
      <c r="BE376" s="499">
        <v>26.15239314516128</v>
      </c>
      <c r="BF376" s="499">
        <v>19.729097782258069</v>
      </c>
      <c r="BG376" s="499">
        <v>24.859300915054952</v>
      </c>
      <c r="BI376" s="499">
        <f t="shared" ref="BI376:BJ376" si="569">AS379</f>
        <v>287</v>
      </c>
      <c r="BJ376" s="499">
        <f t="shared" si="569"/>
        <v>7.6</v>
      </c>
      <c r="BK376" s="5">
        <f t="shared" si="493"/>
        <v>0</v>
      </c>
      <c r="BL376" s="499">
        <f t="shared" si="494"/>
        <v>18.903458000000001</v>
      </c>
      <c r="BM376" s="499">
        <f t="shared" si="495"/>
        <v>1049.1285889999999</v>
      </c>
      <c r="BO376" s="499">
        <f t="shared" si="496"/>
        <v>287</v>
      </c>
      <c r="BP376" s="499">
        <f t="shared" si="497"/>
        <v>7.6</v>
      </c>
      <c r="BQ376" s="5">
        <f t="shared" si="490"/>
        <v>0</v>
      </c>
      <c r="BR376" s="499">
        <f t="shared" si="498"/>
        <v>18.903458000000001</v>
      </c>
      <c r="BS376" s="499">
        <f t="shared" si="499"/>
        <v>1049.1285889999999</v>
      </c>
      <c r="BU376" s="499">
        <f t="shared" si="500"/>
        <v>287</v>
      </c>
      <c r="BV376" s="499">
        <f t="shared" si="501"/>
        <v>7.6</v>
      </c>
      <c r="BW376" s="5">
        <f t="shared" si="491"/>
        <v>0</v>
      </c>
      <c r="BX376" s="499">
        <f t="shared" si="502"/>
        <v>18.903458000000001</v>
      </c>
      <c r="BY376" s="499">
        <f t="shared" si="503"/>
        <v>1049.1285889999999</v>
      </c>
      <c r="CA376">
        <v>287</v>
      </c>
      <c r="CB376">
        <v>7.6</v>
      </c>
      <c r="CC376">
        <v>0</v>
      </c>
      <c r="CD376">
        <v>18.903458000000001</v>
      </c>
      <c r="CE376">
        <v>1049.1285889999999</v>
      </c>
      <c r="CG376" s="499">
        <f t="shared" si="504"/>
        <v>0</v>
      </c>
      <c r="CH376" s="499">
        <f t="shared" si="505"/>
        <v>0</v>
      </c>
      <c r="CI376" s="499">
        <f t="shared" si="506"/>
        <v>0</v>
      </c>
      <c r="CJ376" s="499">
        <f t="shared" si="507"/>
        <v>0</v>
      </c>
      <c r="CP376" s="499"/>
      <c r="CQ376" s="65">
        <f t="shared" si="509"/>
        <v>0.87017748227842373</v>
      </c>
      <c r="CR376" s="499">
        <f t="shared" si="510"/>
        <v>0.87017748227842373</v>
      </c>
      <c r="CS376" s="499">
        <f t="shared" si="511"/>
        <v>0.87017748227842373</v>
      </c>
      <c r="CT376" s="38">
        <f t="shared" si="512"/>
        <v>1</v>
      </c>
      <c r="CU376" s="498">
        <f t="shared" si="513"/>
        <v>1</v>
      </c>
    </row>
    <row r="377" spans="43:99">
      <c r="AQ377" s="499"/>
      <c r="AR377" s="228">
        <v>26.033114999999999</v>
      </c>
      <c r="AS377" s="13">
        <v>328</v>
      </c>
      <c r="AT377" s="13">
        <v>7.4271409999999998</v>
      </c>
      <c r="AU377" s="13">
        <f t="shared" si="524"/>
        <v>1</v>
      </c>
      <c r="AV377" s="13">
        <f t="shared" si="515"/>
        <v>26.033114999999999</v>
      </c>
      <c r="AW377" s="13">
        <f t="shared" si="516"/>
        <v>26.033114999999999</v>
      </c>
      <c r="AX377" s="13">
        <f t="shared" si="517"/>
        <v>26.033114999999999</v>
      </c>
      <c r="AY377" s="13">
        <v>1328.5837449999999</v>
      </c>
      <c r="AZ377" s="13">
        <f t="shared" si="518"/>
        <v>0</v>
      </c>
      <c r="BA377" s="13">
        <f t="shared" si="519"/>
        <v>0</v>
      </c>
      <c r="BB377" s="97">
        <f t="shared" si="520"/>
        <v>0</v>
      </c>
      <c r="BC377" s="499"/>
      <c r="BD377" s="499">
        <v>38.549999999999997</v>
      </c>
      <c r="BE377" s="499">
        <v>26.203828830645158</v>
      </c>
      <c r="BF377" s="499">
        <v>19.715314314516128</v>
      </c>
      <c r="BG377" s="499">
        <v>24.847401688617222</v>
      </c>
      <c r="BI377" s="499">
        <f t="shared" ref="BI377:BJ377" si="570">AS380</f>
        <v>457</v>
      </c>
      <c r="BJ377" s="499">
        <f t="shared" si="570"/>
        <v>7.6297620000000004</v>
      </c>
      <c r="BK377" s="5">
        <f t="shared" si="493"/>
        <v>1</v>
      </c>
      <c r="BL377" s="499">
        <f t="shared" si="494"/>
        <v>24.628802</v>
      </c>
      <c r="BM377" s="499">
        <f t="shared" si="495"/>
        <v>1050.658281</v>
      </c>
      <c r="BO377" s="499">
        <f t="shared" si="496"/>
        <v>457</v>
      </c>
      <c r="BP377" s="499">
        <f t="shared" si="497"/>
        <v>7.6297620000000004</v>
      </c>
      <c r="BQ377" s="5">
        <f t="shared" si="490"/>
        <v>1</v>
      </c>
      <c r="BR377" s="499">
        <f t="shared" si="498"/>
        <v>24.628802</v>
      </c>
      <c r="BS377" s="499">
        <f t="shared" si="499"/>
        <v>1050.658281</v>
      </c>
      <c r="BU377" s="499">
        <f t="shared" si="500"/>
        <v>457</v>
      </c>
      <c r="BV377" s="499">
        <f t="shared" si="501"/>
        <v>7.6297620000000004</v>
      </c>
      <c r="BW377" s="5">
        <f t="shared" si="491"/>
        <v>1</v>
      </c>
      <c r="BX377" s="499">
        <f t="shared" si="502"/>
        <v>24.628802</v>
      </c>
      <c r="BY377" s="499">
        <f t="shared" si="503"/>
        <v>1050.658281</v>
      </c>
      <c r="CA377">
        <v>457</v>
      </c>
      <c r="CB377">
        <v>7.6297620000000004</v>
      </c>
      <c r="CC377">
        <v>1</v>
      </c>
      <c r="CD377">
        <v>24.628802</v>
      </c>
      <c r="CE377">
        <v>1050.658281</v>
      </c>
      <c r="CG377" s="499">
        <f t="shared" si="504"/>
        <v>1</v>
      </c>
      <c r="CH377" s="499">
        <f t="shared" si="505"/>
        <v>1</v>
      </c>
      <c r="CI377" s="499">
        <f t="shared" si="506"/>
        <v>1</v>
      </c>
      <c r="CJ377" s="499">
        <f t="shared" si="507"/>
        <v>1</v>
      </c>
      <c r="CP377" s="499"/>
      <c r="CQ377" s="65">
        <f t="shared" si="509"/>
        <v>0.97884058462531942</v>
      </c>
      <c r="CR377" s="499">
        <f t="shared" si="510"/>
        <v>0.97884058462531942</v>
      </c>
      <c r="CS377" s="499">
        <f t="shared" si="511"/>
        <v>0.97884058462531942</v>
      </c>
      <c r="CT377" s="38">
        <f t="shared" si="512"/>
        <v>1</v>
      </c>
      <c r="CU377" s="498">
        <f t="shared" si="513"/>
        <v>1</v>
      </c>
    </row>
    <row r="378" spans="43:99">
      <c r="AQ378" s="499"/>
      <c r="AR378" s="228">
        <v>23.306222000000002</v>
      </c>
      <c r="AS378" s="13">
        <v>52</v>
      </c>
      <c r="AT378" s="13">
        <v>7.5133390000000002</v>
      </c>
      <c r="AU378" s="13">
        <f t="shared" si="524"/>
        <v>0</v>
      </c>
      <c r="AV378" s="13">
        <f t="shared" si="515"/>
        <v>23.306222000000002</v>
      </c>
      <c r="AW378" s="13">
        <f t="shared" si="516"/>
        <v>23.306222000000002</v>
      </c>
      <c r="AX378" s="13">
        <f t="shared" si="517"/>
        <v>23.306222000000002</v>
      </c>
      <c r="AY378" s="13">
        <v>1000.23197</v>
      </c>
      <c r="AZ378" s="13">
        <f t="shared" si="518"/>
        <v>0</v>
      </c>
      <c r="BA378" s="13">
        <f t="shared" si="519"/>
        <v>0</v>
      </c>
      <c r="BB378" s="97">
        <f t="shared" si="520"/>
        <v>0</v>
      </c>
      <c r="BC378" s="499"/>
      <c r="BD378" s="499">
        <v>38.35</v>
      </c>
      <c r="BE378" s="499">
        <v>26.267035483870973</v>
      </c>
      <c r="BF378" s="499">
        <v>19.700792338709675</v>
      </c>
      <c r="BG378" s="499">
        <v>24.931122026071435</v>
      </c>
      <c r="BI378" s="499">
        <f t="shared" ref="BI378:BJ378" si="571">AS381</f>
        <v>223</v>
      </c>
      <c r="BJ378" s="499">
        <f t="shared" si="571"/>
        <v>7.6640189999999997</v>
      </c>
      <c r="BK378" s="5">
        <f t="shared" si="493"/>
        <v>0</v>
      </c>
      <c r="BL378" s="499">
        <f t="shared" si="494"/>
        <v>21.940852</v>
      </c>
      <c r="BM378" s="499">
        <f t="shared" si="495"/>
        <v>938.03245600000002</v>
      </c>
      <c r="BO378" s="499">
        <f t="shared" si="496"/>
        <v>223</v>
      </c>
      <c r="BP378" s="499">
        <f t="shared" si="497"/>
        <v>7.6640189999999997</v>
      </c>
      <c r="BQ378" s="5">
        <f t="shared" si="490"/>
        <v>0</v>
      </c>
      <c r="BR378" s="499">
        <f t="shared" si="498"/>
        <v>21.940852</v>
      </c>
      <c r="BS378" s="499">
        <f t="shared" si="499"/>
        <v>938.03245600000002</v>
      </c>
      <c r="BU378" s="499">
        <f t="shared" si="500"/>
        <v>223</v>
      </c>
      <c r="BV378" s="499">
        <f t="shared" si="501"/>
        <v>7.6640189999999997</v>
      </c>
      <c r="BW378" s="5">
        <f t="shared" si="491"/>
        <v>0</v>
      </c>
      <c r="BX378" s="499">
        <f t="shared" si="502"/>
        <v>21.940852</v>
      </c>
      <c r="BY378" s="499">
        <f t="shared" si="503"/>
        <v>938.03245600000002</v>
      </c>
      <c r="CA378">
        <v>223</v>
      </c>
      <c r="CB378">
        <v>7.6640189999999997</v>
      </c>
      <c r="CC378">
        <v>0</v>
      </c>
      <c r="CD378">
        <v>21.940852</v>
      </c>
      <c r="CE378">
        <v>938.03245600000002</v>
      </c>
      <c r="CG378" s="499">
        <f t="shared" si="504"/>
        <v>0</v>
      </c>
      <c r="CH378" s="499">
        <f t="shared" si="505"/>
        <v>0</v>
      </c>
      <c r="CI378" s="499">
        <f t="shared" si="506"/>
        <v>0</v>
      </c>
      <c r="CJ378" s="499">
        <f t="shared" si="507"/>
        <v>0</v>
      </c>
      <c r="CP378" s="499"/>
      <c r="CQ378" s="65">
        <f t="shared" si="509"/>
        <v>0.35868658199100634</v>
      </c>
      <c r="CR378" s="499">
        <f t="shared" si="510"/>
        <v>0.35868658199100634</v>
      </c>
      <c r="CS378" s="499">
        <f t="shared" si="511"/>
        <v>0.35868658199100634</v>
      </c>
      <c r="CT378" s="38">
        <f t="shared" si="512"/>
        <v>1</v>
      </c>
      <c r="CU378" s="498">
        <f t="shared" si="513"/>
        <v>1</v>
      </c>
    </row>
    <row r="379" spans="43:99">
      <c r="AQ379" s="499"/>
      <c r="AR379" s="228">
        <v>18.903458000000001</v>
      </c>
      <c r="AS379" s="13">
        <v>287</v>
      </c>
      <c r="AT379" s="13">
        <v>7.6</v>
      </c>
      <c r="AU379" s="13">
        <f t="shared" si="524"/>
        <v>0</v>
      </c>
      <c r="AV379" s="13">
        <f t="shared" si="515"/>
        <v>18.903458000000001</v>
      </c>
      <c r="AW379" s="13">
        <f t="shared" si="516"/>
        <v>18.903458000000001</v>
      </c>
      <c r="AX379" s="13">
        <f t="shared" si="517"/>
        <v>18.903458000000001</v>
      </c>
      <c r="AY379" s="13">
        <v>1049.1285889999999</v>
      </c>
      <c r="AZ379" s="13">
        <f t="shared" si="518"/>
        <v>0</v>
      </c>
      <c r="BA379" s="13">
        <f t="shared" si="519"/>
        <v>0</v>
      </c>
      <c r="BB379" s="97">
        <f t="shared" si="520"/>
        <v>0</v>
      </c>
      <c r="BC379" s="499"/>
      <c r="BD379" s="499">
        <v>38.15</v>
      </c>
      <c r="BE379" s="499">
        <v>26.327117137096781</v>
      </c>
      <c r="BF379" s="499">
        <v>19.72599899193548</v>
      </c>
      <c r="BG379" s="499">
        <v>25.031170228127298</v>
      </c>
      <c r="BI379" s="499">
        <f t="shared" ref="BI379:BJ379" si="572">AS382</f>
        <v>16</v>
      </c>
      <c r="BJ379" s="499">
        <f t="shared" si="572"/>
        <v>7.7077989999999996</v>
      </c>
      <c r="BK379" s="5">
        <f t="shared" si="493"/>
        <v>0</v>
      </c>
      <c r="BL379" s="499">
        <f t="shared" si="494"/>
        <v>23.401133999999999</v>
      </c>
      <c r="BM379" s="499">
        <f t="shared" si="495"/>
        <v>1216.8144589999999</v>
      </c>
      <c r="BO379" s="499">
        <f t="shared" si="496"/>
        <v>16</v>
      </c>
      <c r="BP379" s="499">
        <f t="shared" si="497"/>
        <v>7.7077989999999996</v>
      </c>
      <c r="BQ379" s="5">
        <f t="shared" si="490"/>
        <v>0</v>
      </c>
      <c r="BR379" s="499">
        <f t="shared" si="498"/>
        <v>23.401133999999999</v>
      </c>
      <c r="BS379" s="499">
        <f t="shared" si="499"/>
        <v>1216.8144589999999</v>
      </c>
      <c r="BU379" s="499">
        <f t="shared" si="500"/>
        <v>16</v>
      </c>
      <c r="BV379" s="499">
        <f t="shared" si="501"/>
        <v>7.7077989999999996</v>
      </c>
      <c r="BW379" s="5">
        <f t="shared" si="491"/>
        <v>0</v>
      </c>
      <c r="BX379" s="499">
        <f t="shared" si="502"/>
        <v>23.401133999999999</v>
      </c>
      <c r="BY379" s="499">
        <f t="shared" si="503"/>
        <v>1216.8144589999999</v>
      </c>
      <c r="CA379">
        <v>16</v>
      </c>
      <c r="CB379">
        <v>7.7077989999999996</v>
      </c>
      <c r="CC379">
        <v>0</v>
      </c>
      <c r="CD379">
        <v>23.401133999999999</v>
      </c>
      <c r="CE379">
        <v>1216.8144589999999</v>
      </c>
      <c r="CG379" s="499">
        <f t="shared" si="504"/>
        <v>0</v>
      </c>
      <c r="CH379" s="499">
        <f t="shared" si="505"/>
        <v>0</v>
      </c>
      <c r="CI379" s="499">
        <f t="shared" si="506"/>
        <v>0</v>
      </c>
      <c r="CJ379" s="499">
        <f t="shared" si="507"/>
        <v>0</v>
      </c>
      <c r="CP379" s="499"/>
      <c r="CQ379" s="65">
        <f t="shared" si="509"/>
        <v>0.97081513073640635</v>
      </c>
      <c r="CR379" s="499">
        <f t="shared" si="510"/>
        <v>0.97081513073640635</v>
      </c>
      <c r="CS379" s="499">
        <f t="shared" si="511"/>
        <v>0.97081513073640635</v>
      </c>
      <c r="CT379" s="38">
        <f t="shared" si="512"/>
        <v>1</v>
      </c>
      <c r="CU379" s="498">
        <f t="shared" si="513"/>
        <v>1</v>
      </c>
    </row>
    <row r="380" spans="43:99">
      <c r="AQ380" s="499"/>
      <c r="AR380" s="228">
        <v>24.628802</v>
      </c>
      <c r="AS380" s="13">
        <v>457</v>
      </c>
      <c r="AT380" s="13">
        <v>7.6297620000000004</v>
      </c>
      <c r="AU380" s="13">
        <f t="shared" si="524"/>
        <v>1</v>
      </c>
      <c r="AV380" s="13">
        <f t="shared" si="515"/>
        <v>24.628802</v>
      </c>
      <c r="AW380" s="13">
        <f t="shared" si="516"/>
        <v>24.628802</v>
      </c>
      <c r="AX380" s="13">
        <f t="shared" si="517"/>
        <v>24.628802</v>
      </c>
      <c r="AY380" s="13">
        <v>1050.658281</v>
      </c>
      <c r="AZ380" s="13">
        <f t="shared" si="518"/>
        <v>0</v>
      </c>
      <c r="BA380" s="13">
        <f t="shared" si="519"/>
        <v>0</v>
      </c>
      <c r="BB380" s="97">
        <f t="shared" si="520"/>
        <v>0</v>
      </c>
      <c r="BC380" s="499"/>
      <c r="BD380" s="499">
        <v>37.950000000000003</v>
      </c>
      <c r="BE380" s="499">
        <v>26.370992338709684</v>
      </c>
      <c r="BF380" s="499">
        <v>19.751878629032255</v>
      </c>
      <c r="BG380" s="499">
        <v>25.122149191488099</v>
      </c>
      <c r="BI380" s="499">
        <f t="shared" ref="BI380:BJ380" si="573">AS383</f>
        <v>330</v>
      </c>
      <c r="BJ380" s="499">
        <f t="shared" si="573"/>
        <v>7.7724669999999998</v>
      </c>
      <c r="BK380" s="5">
        <f t="shared" si="493"/>
        <v>0</v>
      </c>
      <c r="BL380" s="499">
        <f t="shared" si="494"/>
        <v>23.021032000000002</v>
      </c>
      <c r="BM380" s="499">
        <f t="shared" si="495"/>
        <v>507.92385999999999</v>
      </c>
      <c r="BO380" s="499">
        <f t="shared" si="496"/>
        <v>330</v>
      </c>
      <c r="BP380" s="499">
        <f t="shared" si="497"/>
        <v>7.7724669999999998</v>
      </c>
      <c r="BQ380" s="5">
        <f t="shared" si="490"/>
        <v>0</v>
      </c>
      <c r="BR380" s="499">
        <f t="shared" si="498"/>
        <v>23.021032000000002</v>
      </c>
      <c r="BS380" s="499">
        <f t="shared" si="499"/>
        <v>507.92385999999999</v>
      </c>
      <c r="BU380" s="499">
        <f t="shared" si="500"/>
        <v>330</v>
      </c>
      <c r="BV380" s="499">
        <f t="shared" si="501"/>
        <v>7.7724669999999998</v>
      </c>
      <c r="BW380" s="5">
        <f t="shared" si="491"/>
        <v>0</v>
      </c>
      <c r="BX380" s="499">
        <f t="shared" si="502"/>
        <v>23.021032000000002</v>
      </c>
      <c r="BY380" s="499">
        <f t="shared" si="503"/>
        <v>507.92385999999999</v>
      </c>
      <c r="CA380">
        <v>330</v>
      </c>
      <c r="CB380">
        <v>7.7724669999999998</v>
      </c>
      <c r="CC380">
        <v>0</v>
      </c>
      <c r="CD380">
        <v>23.021032000000002</v>
      </c>
      <c r="CE380">
        <v>507.92385999999999</v>
      </c>
      <c r="CG380" s="499">
        <f t="shared" si="504"/>
        <v>0</v>
      </c>
      <c r="CH380" s="499">
        <f t="shared" si="505"/>
        <v>0</v>
      </c>
      <c r="CI380" s="499">
        <f t="shared" si="506"/>
        <v>0</v>
      </c>
      <c r="CJ380" s="499">
        <f t="shared" si="507"/>
        <v>0</v>
      </c>
      <c r="CP380" s="499"/>
      <c r="CQ380" s="65">
        <f t="shared" si="509"/>
        <v>0.85057819104766574</v>
      </c>
      <c r="CR380" s="499">
        <f t="shared" si="510"/>
        <v>0.85057819104766574</v>
      </c>
      <c r="CS380" s="499">
        <f t="shared" si="511"/>
        <v>0.85057819104766574</v>
      </c>
      <c r="CT380" s="38">
        <f t="shared" si="512"/>
        <v>1</v>
      </c>
      <c r="CU380" s="498">
        <f t="shared" si="513"/>
        <v>1</v>
      </c>
    </row>
    <row r="381" spans="43:99">
      <c r="AQ381" s="499"/>
      <c r="AR381" s="228">
        <v>21.940852</v>
      </c>
      <c r="AS381" s="13">
        <v>223</v>
      </c>
      <c r="AT381" s="13">
        <v>7.6640189999999997</v>
      </c>
      <c r="AU381" s="13">
        <f t="shared" si="524"/>
        <v>0</v>
      </c>
      <c r="AV381" s="13">
        <f t="shared" si="515"/>
        <v>21.940852</v>
      </c>
      <c r="AW381" s="13">
        <f t="shared" si="516"/>
        <v>21.940852</v>
      </c>
      <c r="AX381" s="13">
        <f t="shared" si="517"/>
        <v>21.940852</v>
      </c>
      <c r="AY381" s="13">
        <v>938.03245600000002</v>
      </c>
      <c r="AZ381" s="13">
        <f t="shared" si="518"/>
        <v>0</v>
      </c>
      <c r="BA381" s="13">
        <f t="shared" si="519"/>
        <v>0</v>
      </c>
      <c r="BB381" s="97">
        <f t="shared" si="520"/>
        <v>0</v>
      </c>
      <c r="BC381" s="499"/>
      <c r="BD381" s="499">
        <v>37.75</v>
      </c>
      <c r="BE381" s="499">
        <v>26.402046572580655</v>
      </c>
      <c r="BF381" s="499">
        <v>19.766024798387104</v>
      </c>
      <c r="BG381" s="499">
        <v>25.183315938040302</v>
      </c>
      <c r="BI381" s="499">
        <f t="shared" ref="BI381:BJ381" si="574">AS384</f>
        <v>137</v>
      </c>
      <c r="BJ381" s="499">
        <f t="shared" si="574"/>
        <v>7.9234200000000001</v>
      </c>
      <c r="BK381" s="5">
        <f t="shared" si="493"/>
        <v>0</v>
      </c>
      <c r="BL381" s="499">
        <f t="shared" si="494"/>
        <v>22.918113000000002</v>
      </c>
      <c r="BM381" s="499">
        <f t="shared" si="495"/>
        <v>987.24128900000005</v>
      </c>
      <c r="BO381" s="499">
        <f t="shared" si="496"/>
        <v>137</v>
      </c>
      <c r="BP381" s="499">
        <f t="shared" si="497"/>
        <v>7.9234200000000001</v>
      </c>
      <c r="BQ381" s="5">
        <f t="shared" si="490"/>
        <v>0</v>
      </c>
      <c r="BR381" s="499">
        <f t="shared" si="498"/>
        <v>22.918113000000002</v>
      </c>
      <c r="BS381" s="499">
        <f t="shared" si="499"/>
        <v>987.24128900000005</v>
      </c>
      <c r="BU381" s="499">
        <f t="shared" si="500"/>
        <v>137</v>
      </c>
      <c r="BV381" s="499">
        <f t="shared" si="501"/>
        <v>7.9234200000000001</v>
      </c>
      <c r="BW381" s="5">
        <f t="shared" si="491"/>
        <v>0</v>
      </c>
      <c r="BX381" s="499">
        <f t="shared" si="502"/>
        <v>22.918113000000002</v>
      </c>
      <c r="BY381" s="499">
        <f t="shared" si="503"/>
        <v>987.24128900000005</v>
      </c>
      <c r="CA381">
        <v>137</v>
      </c>
      <c r="CB381">
        <v>7.9234200000000001</v>
      </c>
      <c r="CC381">
        <v>0</v>
      </c>
      <c r="CD381">
        <v>22.918113000000002</v>
      </c>
      <c r="CE381">
        <v>987.24128900000005</v>
      </c>
      <c r="CG381" s="499">
        <f t="shared" si="504"/>
        <v>0</v>
      </c>
      <c r="CH381" s="499">
        <f t="shared" si="505"/>
        <v>0</v>
      </c>
      <c r="CI381" s="499">
        <f t="shared" si="506"/>
        <v>0</v>
      </c>
      <c r="CJ381" s="499">
        <f t="shared" si="507"/>
        <v>0</v>
      </c>
      <c r="CP381" s="499"/>
      <c r="CQ381" s="65">
        <f t="shared" si="509"/>
        <v>0.91407910690160521</v>
      </c>
      <c r="CR381" s="499">
        <f t="shared" si="510"/>
        <v>0.91407910690160521</v>
      </c>
      <c r="CS381" s="499">
        <f t="shared" si="511"/>
        <v>0.91407910690160521</v>
      </c>
      <c r="CT381" s="38">
        <f t="shared" si="512"/>
        <v>1</v>
      </c>
      <c r="CU381" s="498">
        <f t="shared" si="513"/>
        <v>1</v>
      </c>
    </row>
    <row r="382" spans="43:99">
      <c r="AQ382" s="499"/>
      <c r="AR382" s="228">
        <v>23.401133999999999</v>
      </c>
      <c r="AS382" s="13">
        <v>16</v>
      </c>
      <c r="AT382" s="13">
        <v>7.7077989999999996</v>
      </c>
      <c r="AU382" s="13">
        <f t="shared" si="524"/>
        <v>0</v>
      </c>
      <c r="AV382" s="13">
        <f t="shared" si="515"/>
        <v>23.401133999999999</v>
      </c>
      <c r="AW382" s="13">
        <f t="shared" si="516"/>
        <v>23.401133999999999</v>
      </c>
      <c r="AX382" s="13">
        <f t="shared" si="517"/>
        <v>23.401133999999999</v>
      </c>
      <c r="AY382" s="13">
        <v>1216.8144589999999</v>
      </c>
      <c r="AZ382" s="13">
        <f t="shared" si="518"/>
        <v>0</v>
      </c>
      <c r="BA382" s="13">
        <f t="shared" si="519"/>
        <v>0</v>
      </c>
      <c r="BB382" s="97">
        <f t="shared" si="520"/>
        <v>0</v>
      </c>
      <c r="BC382" s="499"/>
      <c r="BD382" s="499">
        <v>37.549999999999997</v>
      </c>
      <c r="BE382" s="499">
        <v>26.375551008064512</v>
      </c>
      <c r="BF382" s="499">
        <v>19.728977620967747</v>
      </c>
      <c r="BG382" s="499">
        <v>25.225580841117221</v>
      </c>
      <c r="BI382" s="499">
        <f t="shared" ref="BI382:BJ382" si="575">AS385</f>
        <v>439</v>
      </c>
      <c r="BJ382" s="499">
        <f t="shared" si="575"/>
        <v>7.9335399999999998</v>
      </c>
      <c r="BK382" s="5">
        <f t="shared" si="493"/>
        <v>0</v>
      </c>
      <c r="BL382" s="499">
        <f t="shared" si="494"/>
        <v>23.306222000000002</v>
      </c>
      <c r="BM382" s="499">
        <f t="shared" si="495"/>
        <v>1000.173144</v>
      </c>
      <c r="BO382" s="499">
        <f t="shared" si="496"/>
        <v>439</v>
      </c>
      <c r="BP382" s="499">
        <f t="shared" si="497"/>
        <v>7.9335399999999998</v>
      </c>
      <c r="BQ382" s="5">
        <f t="shared" si="490"/>
        <v>0</v>
      </c>
      <c r="BR382" s="499">
        <f t="shared" si="498"/>
        <v>23.306222000000002</v>
      </c>
      <c r="BS382" s="499">
        <f t="shared" si="499"/>
        <v>1000.173144</v>
      </c>
      <c r="BU382" s="499">
        <f t="shared" si="500"/>
        <v>439</v>
      </c>
      <c r="BV382" s="499">
        <f t="shared" si="501"/>
        <v>7.9335399999999998</v>
      </c>
      <c r="BW382" s="5">
        <f t="shared" si="491"/>
        <v>0</v>
      </c>
      <c r="BX382" s="499">
        <f t="shared" si="502"/>
        <v>23.306222000000002</v>
      </c>
      <c r="BY382" s="499">
        <f t="shared" si="503"/>
        <v>1000.173144</v>
      </c>
      <c r="CA382">
        <v>439</v>
      </c>
      <c r="CB382">
        <v>7.9335399999999998</v>
      </c>
      <c r="CC382">
        <v>0</v>
      </c>
      <c r="CD382">
        <v>23.306222000000002</v>
      </c>
      <c r="CE382">
        <v>1000.173144</v>
      </c>
      <c r="CG382" s="499">
        <f t="shared" si="504"/>
        <v>0</v>
      </c>
      <c r="CH382" s="499">
        <f t="shared" si="505"/>
        <v>0</v>
      </c>
      <c r="CI382" s="499">
        <f t="shared" si="506"/>
        <v>0</v>
      </c>
      <c r="CJ382" s="499">
        <f t="shared" si="507"/>
        <v>0</v>
      </c>
      <c r="CP382" s="499"/>
      <c r="CQ382" s="65">
        <f t="shared" si="509"/>
        <v>0.92540517653638821</v>
      </c>
      <c r="CR382" s="499">
        <f t="shared" si="510"/>
        <v>0.92540517653638821</v>
      </c>
      <c r="CS382" s="499">
        <f t="shared" si="511"/>
        <v>0.92540517653638821</v>
      </c>
      <c r="CT382" s="38">
        <f t="shared" si="512"/>
        <v>1</v>
      </c>
      <c r="CU382" s="498">
        <f t="shared" si="513"/>
        <v>1</v>
      </c>
    </row>
    <row r="383" spans="43:99">
      <c r="AQ383" s="499"/>
      <c r="AR383" s="228">
        <v>23.021032000000002</v>
      </c>
      <c r="AS383" s="13">
        <v>330</v>
      </c>
      <c r="AT383" s="13">
        <v>7.7724669999999998</v>
      </c>
      <c r="AU383" s="13">
        <f t="shared" si="524"/>
        <v>0</v>
      </c>
      <c r="AV383" s="13">
        <f t="shared" si="515"/>
        <v>23.021032000000002</v>
      </c>
      <c r="AW383" s="13">
        <f t="shared" si="516"/>
        <v>23.021032000000002</v>
      </c>
      <c r="AX383" s="13">
        <f t="shared" si="517"/>
        <v>23.021032000000002</v>
      </c>
      <c r="AY383" s="13">
        <v>507.92385999999999</v>
      </c>
      <c r="AZ383" s="13">
        <f t="shared" si="518"/>
        <v>0</v>
      </c>
      <c r="BA383" s="13">
        <f t="shared" si="519"/>
        <v>0</v>
      </c>
      <c r="BB383" s="97">
        <f t="shared" si="520"/>
        <v>0</v>
      </c>
      <c r="BC383" s="499"/>
      <c r="BD383" s="499">
        <v>37.35</v>
      </c>
      <c r="BE383" s="499">
        <v>26.405923588709676</v>
      </c>
      <c r="BF383" s="499">
        <v>19.764159072580647</v>
      </c>
      <c r="BG383" s="499">
        <v>25.336280209239931</v>
      </c>
      <c r="BI383" s="499">
        <f t="shared" ref="BI383:BJ383" si="576">AS386</f>
        <v>190</v>
      </c>
      <c r="BJ383" s="499">
        <f t="shared" si="576"/>
        <v>7.9953260000000004</v>
      </c>
      <c r="BK383" s="5">
        <f t="shared" si="493"/>
        <v>0</v>
      </c>
      <c r="BL383" s="499">
        <f t="shared" si="494"/>
        <v>23.306222000000002</v>
      </c>
      <c r="BM383" s="499">
        <f t="shared" si="495"/>
        <v>999.08233399999995</v>
      </c>
      <c r="BO383" s="499">
        <f t="shared" si="496"/>
        <v>190</v>
      </c>
      <c r="BP383" s="499">
        <f t="shared" si="497"/>
        <v>7.9953260000000004</v>
      </c>
      <c r="BQ383" s="5">
        <f t="shared" si="490"/>
        <v>0</v>
      </c>
      <c r="BR383" s="499">
        <f t="shared" si="498"/>
        <v>23.306222000000002</v>
      </c>
      <c r="BS383" s="499">
        <f t="shared" si="499"/>
        <v>999.08233399999995</v>
      </c>
      <c r="BU383" s="499">
        <f t="shared" si="500"/>
        <v>190</v>
      </c>
      <c r="BV383" s="499">
        <f t="shared" si="501"/>
        <v>7.9953260000000004</v>
      </c>
      <c r="BW383" s="5">
        <f t="shared" si="491"/>
        <v>0</v>
      </c>
      <c r="BX383" s="499">
        <f t="shared" si="502"/>
        <v>23.306222000000002</v>
      </c>
      <c r="BY383" s="499">
        <f t="shared" si="503"/>
        <v>999.08233399999995</v>
      </c>
      <c r="CA383">
        <v>190</v>
      </c>
      <c r="CB383">
        <v>7.9953260000000004</v>
      </c>
      <c r="CC383">
        <v>0</v>
      </c>
      <c r="CD383">
        <v>23.306222000000002</v>
      </c>
      <c r="CE383">
        <v>999.08233399999995</v>
      </c>
      <c r="CG383" s="499">
        <f t="shared" si="504"/>
        <v>0</v>
      </c>
      <c r="CH383" s="499">
        <f t="shared" si="505"/>
        <v>0</v>
      </c>
      <c r="CI383" s="499">
        <f t="shared" si="506"/>
        <v>0</v>
      </c>
      <c r="CJ383" s="499">
        <f t="shared" si="507"/>
        <v>0</v>
      </c>
      <c r="CP383" s="499"/>
      <c r="CQ383" s="65">
        <f t="shared" si="509"/>
        <v>0.87017748227842373</v>
      </c>
      <c r="CR383" s="499">
        <f t="shared" si="510"/>
        <v>0.87017748227842373</v>
      </c>
      <c r="CS383" s="499">
        <f t="shared" si="511"/>
        <v>0.87017748227842373</v>
      </c>
      <c r="CT383" s="38">
        <f t="shared" si="512"/>
        <v>1</v>
      </c>
      <c r="CU383" s="498">
        <f t="shared" si="513"/>
        <v>1</v>
      </c>
    </row>
    <row r="384" spans="43:99">
      <c r="AQ384" s="499"/>
      <c r="AR384" s="228">
        <v>22.918113000000002</v>
      </c>
      <c r="AS384" s="13">
        <v>137</v>
      </c>
      <c r="AT384" s="13">
        <v>7.9234200000000001</v>
      </c>
      <c r="AU384" s="13">
        <f t="shared" si="524"/>
        <v>0</v>
      </c>
      <c r="AV384" s="13">
        <f t="shared" si="515"/>
        <v>22.918113000000002</v>
      </c>
      <c r="AW384" s="13">
        <f t="shared" si="516"/>
        <v>22.918113000000002</v>
      </c>
      <c r="AX384" s="13">
        <f t="shared" si="517"/>
        <v>22.918113000000002</v>
      </c>
      <c r="AY384" s="13">
        <v>987.24128900000005</v>
      </c>
      <c r="AZ384" s="13">
        <f t="shared" si="518"/>
        <v>0</v>
      </c>
      <c r="BA384" s="13">
        <f t="shared" si="519"/>
        <v>0</v>
      </c>
      <c r="BB384" s="97">
        <f t="shared" si="520"/>
        <v>0</v>
      </c>
      <c r="BC384" s="499"/>
      <c r="BD384" s="499">
        <v>37.15</v>
      </c>
      <c r="BE384" s="499">
        <v>26.424168548387101</v>
      </c>
      <c r="BF384" s="499">
        <v>19.752854838709684</v>
      </c>
      <c r="BG384" s="499">
        <v>25.439685769084253</v>
      </c>
      <c r="BI384" s="499">
        <f t="shared" ref="BI384:BJ384" si="577">AS387</f>
        <v>70</v>
      </c>
      <c r="BJ384" s="499">
        <f t="shared" si="577"/>
        <v>8</v>
      </c>
      <c r="BK384" s="5">
        <f t="shared" si="493"/>
        <v>0</v>
      </c>
      <c r="BL384" s="499">
        <f t="shared" si="494"/>
        <v>22.133448999999999</v>
      </c>
      <c r="BM384" s="499">
        <f t="shared" si="495"/>
        <v>827.18559500000003</v>
      </c>
      <c r="BO384" s="499">
        <f t="shared" si="496"/>
        <v>70</v>
      </c>
      <c r="BP384" s="499">
        <f t="shared" si="497"/>
        <v>8</v>
      </c>
      <c r="BQ384" s="5">
        <f t="shared" si="490"/>
        <v>0</v>
      </c>
      <c r="BR384" s="499">
        <f t="shared" si="498"/>
        <v>22.133448999999999</v>
      </c>
      <c r="BS384" s="499">
        <f t="shared" si="499"/>
        <v>827.18559500000003</v>
      </c>
      <c r="BU384" s="499">
        <f t="shared" si="500"/>
        <v>70</v>
      </c>
      <c r="BV384" s="499">
        <f t="shared" si="501"/>
        <v>8</v>
      </c>
      <c r="BW384" s="5">
        <f t="shared" si="491"/>
        <v>0</v>
      </c>
      <c r="BX384" s="499">
        <f t="shared" si="502"/>
        <v>22.133448999999999</v>
      </c>
      <c r="BY384" s="499">
        <f t="shared" si="503"/>
        <v>827.18559500000003</v>
      </c>
      <c r="CA384">
        <v>70</v>
      </c>
      <c r="CB384">
        <v>8</v>
      </c>
      <c r="CC384">
        <v>0</v>
      </c>
      <c r="CD384">
        <v>22.133448999999999</v>
      </c>
      <c r="CE384">
        <v>827.18559500000003</v>
      </c>
      <c r="CG384" s="499">
        <f t="shared" si="504"/>
        <v>0</v>
      </c>
      <c r="CH384" s="499">
        <f t="shared" si="505"/>
        <v>0</v>
      </c>
      <c r="CI384" s="499">
        <f t="shared" si="506"/>
        <v>0</v>
      </c>
      <c r="CJ384" s="499">
        <f t="shared" si="507"/>
        <v>0</v>
      </c>
      <c r="CP384" s="499"/>
      <c r="CQ384" s="65">
        <f t="shared" si="509"/>
        <v>0.87017748227842373</v>
      </c>
      <c r="CR384" s="499">
        <f t="shared" si="510"/>
        <v>0.87017748227842373</v>
      </c>
      <c r="CS384" s="499">
        <f t="shared" si="511"/>
        <v>0.87017748227842373</v>
      </c>
      <c r="CT384" s="38">
        <f t="shared" si="512"/>
        <v>1</v>
      </c>
      <c r="CU384" s="498">
        <f t="shared" si="513"/>
        <v>1</v>
      </c>
    </row>
    <row r="385" spans="43:99">
      <c r="AQ385" s="499"/>
      <c r="AR385" s="228">
        <v>23.306222000000002</v>
      </c>
      <c r="AS385" s="13">
        <v>439</v>
      </c>
      <c r="AT385" s="13">
        <v>7.9335399999999998</v>
      </c>
      <c r="AU385" s="13">
        <f t="shared" si="524"/>
        <v>0</v>
      </c>
      <c r="AV385" s="13">
        <f t="shared" si="515"/>
        <v>23.306222000000002</v>
      </c>
      <c r="AW385" s="13">
        <f t="shared" si="516"/>
        <v>23.306222000000002</v>
      </c>
      <c r="AX385" s="13">
        <f t="shared" si="517"/>
        <v>23.306222000000002</v>
      </c>
      <c r="AY385" s="13">
        <v>1000.173144</v>
      </c>
      <c r="AZ385" s="13">
        <f t="shared" si="518"/>
        <v>0</v>
      </c>
      <c r="BA385" s="13">
        <f t="shared" si="519"/>
        <v>0</v>
      </c>
      <c r="BB385" s="97">
        <f t="shared" si="520"/>
        <v>0</v>
      </c>
      <c r="BC385" s="499"/>
      <c r="BD385" s="499">
        <v>36.950000000000003</v>
      </c>
      <c r="BE385" s="499">
        <v>26.433898588709674</v>
      </c>
      <c r="BF385" s="499">
        <v>19.800595362903231</v>
      </c>
      <c r="BG385" s="499">
        <v>25.53892998540751</v>
      </c>
      <c r="BI385" s="499">
        <f t="shared" ref="BI385:BJ385" si="578">AS388</f>
        <v>119</v>
      </c>
      <c r="BJ385" s="499">
        <f t="shared" si="578"/>
        <v>8.0085669999999993</v>
      </c>
      <c r="BK385" s="5">
        <f t="shared" si="493"/>
        <v>0</v>
      </c>
      <c r="BL385" s="499">
        <f t="shared" si="494"/>
        <v>23.306222000000002</v>
      </c>
      <c r="BM385" s="499">
        <f t="shared" si="495"/>
        <v>999.38422300000002</v>
      </c>
      <c r="BO385" s="499">
        <f t="shared" si="496"/>
        <v>119</v>
      </c>
      <c r="BP385" s="499">
        <f t="shared" si="497"/>
        <v>8.0085669999999993</v>
      </c>
      <c r="BQ385" s="5">
        <f t="shared" si="490"/>
        <v>0</v>
      </c>
      <c r="BR385" s="499">
        <f t="shared" si="498"/>
        <v>23.306222000000002</v>
      </c>
      <c r="BS385" s="499">
        <f t="shared" si="499"/>
        <v>999.38422300000002</v>
      </c>
      <c r="BU385" s="499">
        <f t="shared" si="500"/>
        <v>119</v>
      </c>
      <c r="BV385" s="499">
        <f t="shared" si="501"/>
        <v>8.0085669999999993</v>
      </c>
      <c r="BW385" s="5">
        <f t="shared" si="491"/>
        <v>0</v>
      </c>
      <c r="BX385" s="499">
        <f t="shared" si="502"/>
        <v>23.306222000000002</v>
      </c>
      <c r="BY385" s="499">
        <f t="shared" si="503"/>
        <v>999.38422300000002</v>
      </c>
      <c r="CA385">
        <v>119</v>
      </c>
      <c r="CB385">
        <v>8.0085669999999993</v>
      </c>
      <c r="CC385">
        <v>0</v>
      </c>
      <c r="CD385">
        <v>23.306222000000002</v>
      </c>
      <c r="CE385">
        <v>999.38422300000002</v>
      </c>
      <c r="CG385" s="499">
        <f t="shared" si="504"/>
        <v>0</v>
      </c>
      <c r="CH385" s="499">
        <f t="shared" si="505"/>
        <v>0</v>
      </c>
      <c r="CI385" s="499">
        <f t="shared" si="506"/>
        <v>0</v>
      </c>
      <c r="CJ385" s="499">
        <f t="shared" si="507"/>
        <v>0</v>
      </c>
      <c r="CP385" s="499"/>
      <c r="CQ385" s="65">
        <f t="shared" si="509"/>
        <v>0.96710969977695826</v>
      </c>
      <c r="CR385" s="499">
        <f t="shared" si="510"/>
        <v>0.96710969977695826</v>
      </c>
      <c r="CS385" s="499">
        <f t="shared" si="511"/>
        <v>0.96710969977695826</v>
      </c>
      <c r="CT385" s="38">
        <f t="shared" si="512"/>
        <v>1</v>
      </c>
      <c r="CU385" s="498">
        <f t="shared" si="513"/>
        <v>1</v>
      </c>
    </row>
    <row r="386" spans="43:99">
      <c r="AQ386" s="499"/>
      <c r="AR386" s="228">
        <v>23.306222000000002</v>
      </c>
      <c r="AS386" s="13">
        <v>190</v>
      </c>
      <c r="AT386" s="13">
        <v>7.9953260000000004</v>
      </c>
      <c r="AU386" s="13">
        <f t="shared" si="524"/>
        <v>0</v>
      </c>
      <c r="AV386" s="13">
        <f t="shared" si="515"/>
        <v>23.306222000000002</v>
      </c>
      <c r="AW386" s="13">
        <f t="shared" si="516"/>
        <v>23.306222000000002</v>
      </c>
      <c r="AX386" s="13">
        <f t="shared" si="517"/>
        <v>23.306222000000002</v>
      </c>
      <c r="AY386" s="13">
        <v>999.08233399999995</v>
      </c>
      <c r="AZ386" s="13">
        <f t="shared" si="518"/>
        <v>0</v>
      </c>
      <c r="BA386" s="13">
        <f t="shared" si="519"/>
        <v>0</v>
      </c>
      <c r="BB386" s="97">
        <f t="shared" si="520"/>
        <v>0</v>
      </c>
      <c r="BC386" s="499"/>
      <c r="BD386" s="499">
        <v>36.75</v>
      </c>
      <c r="BE386" s="499">
        <v>26.407371572580647</v>
      </c>
      <c r="BF386" s="499">
        <v>19.773888709677415</v>
      </c>
      <c r="BG386" s="499">
        <v>25.617031423937739</v>
      </c>
      <c r="BI386" s="499">
        <f t="shared" ref="BI386:BJ386" si="579">AS389</f>
        <v>256</v>
      </c>
      <c r="BJ386" s="499">
        <f t="shared" si="579"/>
        <v>8.0807749999999992</v>
      </c>
      <c r="BK386" s="5">
        <f t="shared" si="493"/>
        <v>0</v>
      </c>
      <c r="BL386" s="499">
        <f t="shared" si="494"/>
        <v>22.436817000000001</v>
      </c>
      <c r="BM386" s="499">
        <f t="shared" si="495"/>
        <v>971.17383600000005</v>
      </c>
      <c r="BO386" s="499">
        <f t="shared" si="496"/>
        <v>256</v>
      </c>
      <c r="BP386" s="499">
        <f t="shared" si="497"/>
        <v>8.0807749999999992</v>
      </c>
      <c r="BQ386" s="5">
        <f t="shared" si="490"/>
        <v>0</v>
      </c>
      <c r="BR386" s="499">
        <f t="shared" si="498"/>
        <v>22.436817000000001</v>
      </c>
      <c r="BS386" s="499">
        <f t="shared" si="499"/>
        <v>971.17383600000005</v>
      </c>
      <c r="BU386" s="499">
        <f t="shared" si="500"/>
        <v>256</v>
      </c>
      <c r="BV386" s="499">
        <f t="shared" si="501"/>
        <v>8.0807749999999992</v>
      </c>
      <c r="BW386" s="5">
        <f t="shared" si="491"/>
        <v>0</v>
      </c>
      <c r="BX386" s="499">
        <f t="shared" si="502"/>
        <v>22.436817000000001</v>
      </c>
      <c r="BY386" s="499">
        <f t="shared" si="503"/>
        <v>971.17383600000005</v>
      </c>
      <c r="CA386">
        <v>256</v>
      </c>
      <c r="CB386">
        <v>8.0807749999999992</v>
      </c>
      <c r="CC386">
        <v>0</v>
      </c>
      <c r="CD386">
        <v>22.436817000000001</v>
      </c>
      <c r="CE386">
        <v>971.17383600000005</v>
      </c>
      <c r="CG386" s="499">
        <f t="shared" si="504"/>
        <v>0</v>
      </c>
      <c r="CH386" s="499">
        <f t="shared" si="505"/>
        <v>0</v>
      </c>
      <c r="CI386" s="499">
        <f t="shared" si="506"/>
        <v>0</v>
      </c>
      <c r="CJ386" s="499">
        <f t="shared" si="507"/>
        <v>0</v>
      </c>
      <c r="CP386" s="499"/>
      <c r="CQ386" s="65">
        <f t="shared" si="509"/>
        <v>0.87017748227842373</v>
      </c>
      <c r="CR386" s="499">
        <f t="shared" si="510"/>
        <v>0.87017748227842373</v>
      </c>
      <c r="CS386" s="499">
        <f t="shared" si="511"/>
        <v>0.87017748227842373</v>
      </c>
      <c r="CT386" s="38">
        <f t="shared" si="512"/>
        <v>1</v>
      </c>
      <c r="CU386" s="498">
        <f t="shared" si="513"/>
        <v>1</v>
      </c>
    </row>
    <row r="387" spans="43:99">
      <c r="AQ387" s="499"/>
      <c r="AR387" s="228">
        <v>22.133448999999999</v>
      </c>
      <c r="AS387" s="13">
        <v>70</v>
      </c>
      <c r="AT387" s="13">
        <v>8</v>
      </c>
      <c r="AU387" s="13">
        <f t="shared" si="524"/>
        <v>0</v>
      </c>
      <c r="AV387" s="13">
        <f t="shared" si="515"/>
        <v>22.133448999999999</v>
      </c>
      <c r="AW387" s="13">
        <f t="shared" si="516"/>
        <v>22.133448999999999</v>
      </c>
      <c r="AX387" s="13">
        <f t="shared" si="517"/>
        <v>22.133448999999999</v>
      </c>
      <c r="AY387" s="13">
        <v>827.18559500000003</v>
      </c>
      <c r="AZ387" s="13">
        <f t="shared" si="518"/>
        <v>0</v>
      </c>
      <c r="BA387" s="13">
        <f t="shared" si="519"/>
        <v>0</v>
      </c>
      <c r="BB387" s="97">
        <f t="shared" si="520"/>
        <v>0</v>
      </c>
      <c r="BC387" s="499"/>
      <c r="BD387" s="499">
        <v>36.549999999999997</v>
      </c>
      <c r="BE387" s="499">
        <v>26.285631653225796</v>
      </c>
      <c r="BF387" s="499">
        <v>19.753592943548384</v>
      </c>
      <c r="BG387" s="499">
        <v>25.621244947028391</v>
      </c>
      <c r="BI387" s="499">
        <f t="shared" ref="BI387:BJ387" si="580">AS390</f>
        <v>24</v>
      </c>
      <c r="BJ387" s="499">
        <f t="shared" si="580"/>
        <v>8.5878499999999995</v>
      </c>
      <c r="BK387" s="5">
        <f t="shared" si="493"/>
        <v>0</v>
      </c>
      <c r="BL387" s="499">
        <f t="shared" si="494"/>
        <v>22.900805999999999</v>
      </c>
      <c r="BM387" s="499">
        <f t="shared" si="495"/>
        <v>835.63168800000005</v>
      </c>
      <c r="BO387" s="499">
        <f t="shared" si="496"/>
        <v>24</v>
      </c>
      <c r="BP387" s="499">
        <f t="shared" si="497"/>
        <v>8.5878499999999995</v>
      </c>
      <c r="BQ387" s="5">
        <f t="shared" si="490"/>
        <v>0</v>
      </c>
      <c r="BR387" s="499">
        <f t="shared" si="498"/>
        <v>22.900805999999999</v>
      </c>
      <c r="BS387" s="499">
        <f t="shared" si="499"/>
        <v>835.63168800000005</v>
      </c>
      <c r="BU387" s="499">
        <f t="shared" si="500"/>
        <v>24</v>
      </c>
      <c r="BV387" s="499">
        <f t="shared" si="501"/>
        <v>8.5878499999999995</v>
      </c>
      <c r="BW387" s="5">
        <f t="shared" si="491"/>
        <v>0</v>
      </c>
      <c r="BX387" s="499">
        <f t="shared" si="502"/>
        <v>22.900805999999999</v>
      </c>
      <c r="BY387" s="499">
        <f t="shared" si="503"/>
        <v>835.63168800000005</v>
      </c>
      <c r="CA387">
        <v>24</v>
      </c>
      <c r="CB387">
        <v>8.5878499999999995</v>
      </c>
      <c r="CC387">
        <v>0</v>
      </c>
      <c r="CD387">
        <v>22.900805999999999</v>
      </c>
      <c r="CE387">
        <v>835.63168800000005</v>
      </c>
      <c r="CG387" s="499">
        <f t="shared" si="504"/>
        <v>0</v>
      </c>
      <c r="CH387" s="499">
        <f t="shared" si="505"/>
        <v>0</v>
      </c>
      <c r="CI387" s="499">
        <f t="shared" si="506"/>
        <v>0</v>
      </c>
      <c r="CJ387" s="499">
        <f t="shared" si="507"/>
        <v>0</v>
      </c>
      <c r="CP387" s="499"/>
      <c r="CQ387" s="65">
        <f t="shared" si="509"/>
        <v>0.95760150909800434</v>
      </c>
      <c r="CR387" s="499">
        <f t="shared" si="510"/>
        <v>0.95760150909800434</v>
      </c>
      <c r="CS387" s="499">
        <f t="shared" si="511"/>
        <v>0.95760150909800434</v>
      </c>
      <c r="CT387" s="38">
        <f t="shared" si="512"/>
        <v>1</v>
      </c>
      <c r="CU387" s="498">
        <f t="shared" si="513"/>
        <v>1</v>
      </c>
    </row>
    <row r="388" spans="43:99">
      <c r="AQ388" s="499"/>
      <c r="AR388" s="228">
        <v>23.306222000000002</v>
      </c>
      <c r="AS388" s="13">
        <v>119</v>
      </c>
      <c r="AT388" s="13">
        <v>8.0085669999999993</v>
      </c>
      <c r="AU388" s="13">
        <f t="shared" si="524"/>
        <v>0</v>
      </c>
      <c r="AV388" s="13">
        <f t="shared" si="515"/>
        <v>23.306222000000002</v>
      </c>
      <c r="AW388" s="13">
        <f t="shared" si="516"/>
        <v>23.306222000000002</v>
      </c>
      <c r="AX388" s="13">
        <f t="shared" si="517"/>
        <v>23.306222000000002</v>
      </c>
      <c r="AY388" s="13">
        <v>999.38422300000002</v>
      </c>
      <c r="AZ388" s="13">
        <f t="shared" si="518"/>
        <v>0</v>
      </c>
      <c r="BA388" s="13">
        <f t="shared" si="519"/>
        <v>0</v>
      </c>
      <c r="BB388" s="97">
        <f t="shared" si="520"/>
        <v>0</v>
      </c>
      <c r="BC388" s="499"/>
      <c r="BD388" s="499">
        <v>36.35</v>
      </c>
      <c r="BE388" s="499">
        <v>26.377921774193549</v>
      </c>
      <c r="BF388" s="499">
        <v>19.74189939516129</v>
      </c>
      <c r="BG388" s="499">
        <v>25.773615047367223</v>
      </c>
      <c r="BI388" s="499">
        <f t="shared" ref="BI388:BJ388" si="581">AS391</f>
        <v>117</v>
      </c>
      <c r="BJ388" s="499">
        <f t="shared" si="581"/>
        <v>8.6290320000000005</v>
      </c>
      <c r="BK388" s="5">
        <f t="shared" si="493"/>
        <v>0</v>
      </c>
      <c r="BL388" s="499">
        <f t="shared" si="494"/>
        <v>23.358263999999998</v>
      </c>
      <c r="BM388" s="499">
        <f t="shared" si="495"/>
        <v>1122.6086539999999</v>
      </c>
      <c r="BO388" s="499">
        <f t="shared" si="496"/>
        <v>117</v>
      </c>
      <c r="BP388" s="499">
        <f t="shared" si="497"/>
        <v>8.6290320000000005</v>
      </c>
      <c r="BQ388" s="5">
        <f t="shared" si="490"/>
        <v>0</v>
      </c>
      <c r="BR388" s="499">
        <f t="shared" si="498"/>
        <v>23.358263999999998</v>
      </c>
      <c r="BS388" s="499">
        <f t="shared" si="499"/>
        <v>1122.6086539999999</v>
      </c>
      <c r="BU388" s="499">
        <f t="shared" si="500"/>
        <v>117</v>
      </c>
      <c r="BV388" s="499">
        <f t="shared" si="501"/>
        <v>8.6290320000000005</v>
      </c>
      <c r="BW388" s="5">
        <f t="shared" si="491"/>
        <v>0</v>
      </c>
      <c r="BX388" s="499">
        <f t="shared" si="502"/>
        <v>23.358263999999998</v>
      </c>
      <c r="BY388" s="499">
        <f t="shared" si="503"/>
        <v>1122.6086539999999</v>
      </c>
      <c r="CA388">
        <v>117</v>
      </c>
      <c r="CB388">
        <v>8.6290320000000005</v>
      </c>
      <c r="CC388">
        <v>0</v>
      </c>
      <c r="CD388">
        <v>23.358263999999998</v>
      </c>
      <c r="CE388">
        <v>1122.6086539999999</v>
      </c>
      <c r="CG388" s="499">
        <f t="shared" si="504"/>
        <v>0</v>
      </c>
      <c r="CH388" s="499">
        <f t="shared" si="505"/>
        <v>0</v>
      </c>
      <c r="CI388" s="499">
        <f t="shared" si="506"/>
        <v>0</v>
      </c>
      <c r="CJ388" s="499">
        <f t="shared" si="507"/>
        <v>0</v>
      </c>
      <c r="CP388" s="499"/>
      <c r="CQ388" s="65">
        <f t="shared" si="509"/>
        <v>0.92711657000150405</v>
      </c>
      <c r="CR388" s="499">
        <f t="shared" si="510"/>
        <v>0.92711657000150405</v>
      </c>
      <c r="CS388" s="499">
        <f t="shared" si="511"/>
        <v>0.92711657000150405</v>
      </c>
      <c r="CT388" s="38">
        <f t="shared" si="512"/>
        <v>1</v>
      </c>
      <c r="CU388" s="498">
        <f t="shared" si="513"/>
        <v>1</v>
      </c>
    </row>
    <row r="389" spans="43:99">
      <c r="AQ389" s="499"/>
      <c r="AR389" s="228">
        <v>22.436817000000001</v>
      </c>
      <c r="AS389" s="13">
        <v>256</v>
      </c>
      <c r="AT389" s="13">
        <v>8.0807749999999992</v>
      </c>
      <c r="AU389" s="13">
        <f t="shared" si="524"/>
        <v>0</v>
      </c>
      <c r="AV389" s="13">
        <f t="shared" si="515"/>
        <v>22.436817000000001</v>
      </c>
      <c r="AW389" s="13">
        <f t="shared" si="516"/>
        <v>22.436817000000001</v>
      </c>
      <c r="AX389" s="13">
        <f t="shared" si="517"/>
        <v>22.436817000000001</v>
      </c>
      <c r="AY389" s="13">
        <v>971.17383600000005</v>
      </c>
      <c r="AZ389" s="13">
        <f t="shared" si="518"/>
        <v>0</v>
      </c>
      <c r="BA389" s="13">
        <f t="shared" si="519"/>
        <v>0</v>
      </c>
      <c r="BB389" s="97">
        <f t="shared" si="520"/>
        <v>0</v>
      </c>
      <c r="BC389" s="499"/>
      <c r="BD389" s="499">
        <v>36.15</v>
      </c>
      <c r="BE389" s="499">
        <v>26.474342943548375</v>
      </c>
      <c r="BF389" s="499">
        <v>19.799969959677423</v>
      </c>
      <c r="BG389" s="499">
        <v>25.92016589202839</v>
      </c>
      <c r="BI389" s="499">
        <f t="shared" ref="BI389:BJ389" si="582">AS392</f>
        <v>478</v>
      </c>
      <c r="BJ389" s="499">
        <f t="shared" si="582"/>
        <v>8.7274279999999997</v>
      </c>
      <c r="BK389" s="5">
        <f t="shared" si="493"/>
        <v>0</v>
      </c>
      <c r="BL389" s="499">
        <f t="shared" si="494"/>
        <v>23.463294999999999</v>
      </c>
      <c r="BM389" s="499">
        <f t="shared" si="495"/>
        <v>595.24459899999999</v>
      </c>
      <c r="BO389" s="499">
        <f t="shared" si="496"/>
        <v>478</v>
      </c>
      <c r="BP389" s="499">
        <f t="shared" si="497"/>
        <v>8.7274279999999997</v>
      </c>
      <c r="BQ389" s="5">
        <f t="shared" ref="BQ389:BQ452" si="583">IF(BR389&gt;=24.4,1,0)</f>
        <v>0</v>
      </c>
      <c r="BR389" s="499">
        <f t="shared" si="498"/>
        <v>23.463294999999999</v>
      </c>
      <c r="BS389" s="499">
        <f t="shared" si="499"/>
        <v>595.24459899999999</v>
      </c>
      <c r="BU389" s="499">
        <f t="shared" si="500"/>
        <v>478</v>
      </c>
      <c r="BV389" s="499">
        <f t="shared" si="501"/>
        <v>8.7274279999999997</v>
      </c>
      <c r="BW389" s="5">
        <f t="shared" ref="BW389:BW452" si="584">IF(BX389&gt;=24.4,1,0)</f>
        <v>0</v>
      </c>
      <c r="BX389" s="499">
        <f t="shared" si="502"/>
        <v>23.463294999999999</v>
      </c>
      <c r="BY389" s="499">
        <f t="shared" si="503"/>
        <v>595.24459899999999</v>
      </c>
      <c r="CA389">
        <v>478</v>
      </c>
      <c r="CB389">
        <v>8.7274279999999997</v>
      </c>
      <c r="CC389">
        <v>0</v>
      </c>
      <c r="CD389">
        <v>23.463294999999999</v>
      </c>
      <c r="CE389">
        <v>595.24459899999999</v>
      </c>
      <c r="CG389" s="499">
        <f t="shared" si="504"/>
        <v>0</v>
      </c>
      <c r="CH389" s="499">
        <f t="shared" si="505"/>
        <v>0</v>
      </c>
      <c r="CI389" s="499">
        <f t="shared" si="506"/>
        <v>0</v>
      </c>
      <c r="CJ389" s="499">
        <f t="shared" si="507"/>
        <v>0</v>
      </c>
      <c r="CP389" s="499"/>
      <c r="CQ389" s="65">
        <f t="shared" si="509"/>
        <v>0.85977829371095937</v>
      </c>
      <c r="CR389" s="499">
        <f t="shared" si="510"/>
        <v>0.85977829371095937</v>
      </c>
      <c r="CS389" s="499">
        <f t="shared" si="511"/>
        <v>0.85977829371095937</v>
      </c>
      <c r="CT389" s="38">
        <f t="shared" si="512"/>
        <v>1</v>
      </c>
      <c r="CU389" s="498">
        <f t="shared" si="513"/>
        <v>1</v>
      </c>
    </row>
    <row r="390" spans="43:99">
      <c r="AQ390" s="499"/>
      <c r="AR390" s="228">
        <v>22.900805999999999</v>
      </c>
      <c r="AS390" s="13">
        <v>24</v>
      </c>
      <c r="AT390" s="13">
        <v>8.5878499999999995</v>
      </c>
      <c r="AU390" s="13">
        <f t="shared" si="524"/>
        <v>0</v>
      </c>
      <c r="AV390" s="13">
        <f t="shared" si="515"/>
        <v>22.900805999999999</v>
      </c>
      <c r="AW390" s="13">
        <f t="shared" si="516"/>
        <v>22.900805999999999</v>
      </c>
      <c r="AX390" s="13">
        <f t="shared" si="517"/>
        <v>22.900805999999999</v>
      </c>
      <c r="AY390" s="13">
        <v>835.63168800000005</v>
      </c>
      <c r="AZ390" s="13">
        <f t="shared" si="518"/>
        <v>0</v>
      </c>
      <c r="BA390" s="13">
        <f t="shared" si="519"/>
        <v>0</v>
      </c>
      <c r="BB390" s="97">
        <f t="shared" si="520"/>
        <v>0</v>
      </c>
      <c r="BC390" s="499"/>
      <c r="BD390" s="499">
        <v>35.950000000000003</v>
      </c>
      <c r="BE390" s="499">
        <v>26.541343145161292</v>
      </c>
      <c r="BF390" s="499">
        <v>19.788015120967735</v>
      </c>
      <c r="BG390" s="499">
        <v>26.013726830256402</v>
      </c>
      <c r="BI390" s="499">
        <f t="shared" ref="BI390:BJ390" si="585">AS393</f>
        <v>116</v>
      </c>
      <c r="BJ390" s="499">
        <f t="shared" si="585"/>
        <v>8.8234110000000001</v>
      </c>
      <c r="BK390" s="5">
        <f t="shared" ref="BK390:BK453" si="586">IF(BL390&gt;=24.4,1,0)</f>
        <v>0</v>
      </c>
      <c r="BL390" s="499">
        <f t="shared" ref="BL390:BL453" si="587">AR393</f>
        <v>19.601751</v>
      </c>
      <c r="BM390" s="499">
        <f t="shared" ref="BM390:BM453" si="588">AY393</f>
        <v>553.26062200000001</v>
      </c>
      <c r="BO390" s="499">
        <f t="shared" ref="BO390:BO453" si="589">BI390</f>
        <v>116</v>
      </c>
      <c r="BP390" s="499">
        <f t="shared" ref="BP390:BP453" si="590">BJ390</f>
        <v>8.8234110000000001</v>
      </c>
      <c r="BQ390" s="5">
        <f t="shared" si="583"/>
        <v>0</v>
      </c>
      <c r="BR390" s="499">
        <f t="shared" ref="BR390:BR453" si="591">$BL390-AZ393</f>
        <v>19.601751</v>
      </c>
      <c r="BS390" s="499">
        <f t="shared" ref="BS390:BS453" si="592">BM390</f>
        <v>553.26062200000001</v>
      </c>
      <c r="BU390" s="499">
        <f t="shared" ref="BU390:BU453" si="593">BI390</f>
        <v>116</v>
      </c>
      <c r="BV390" s="499">
        <f t="shared" ref="BV390:BV453" si="594">BJ390</f>
        <v>8.8234110000000001</v>
      </c>
      <c r="BW390" s="5">
        <f t="shared" si="584"/>
        <v>0</v>
      </c>
      <c r="BX390" s="499">
        <f t="shared" ref="BX390:BX453" si="595">$BL390-BA393</f>
        <v>19.601751</v>
      </c>
      <c r="BY390" s="499">
        <f t="shared" ref="BY390:BY453" si="596">BM390</f>
        <v>553.26062200000001</v>
      </c>
      <c r="CA390">
        <v>116</v>
      </c>
      <c r="CB390">
        <v>8.8234110000000001</v>
      </c>
      <c r="CC390">
        <v>0</v>
      </c>
      <c r="CD390">
        <v>19.601751</v>
      </c>
      <c r="CE390">
        <v>553.26062200000001</v>
      </c>
      <c r="CG390" s="499">
        <f t="shared" ref="CG390:CG453" si="597">BK390</f>
        <v>0</v>
      </c>
      <c r="CH390" s="499">
        <f t="shared" ref="CH390:CH453" si="598">BQ390</f>
        <v>0</v>
      </c>
      <c r="CI390" s="499">
        <f t="shared" ref="CI390:CI453" si="599">BW390</f>
        <v>0</v>
      </c>
      <c r="CJ390" s="499">
        <f t="shared" ref="CJ390:CJ453" si="600">CC390</f>
        <v>0</v>
      </c>
      <c r="CP390" s="499"/>
      <c r="CQ390" s="65">
        <f t="shared" si="509"/>
        <v>0.83617274434871258</v>
      </c>
      <c r="CR390" s="499">
        <f t="shared" si="510"/>
        <v>0.83617274434871258</v>
      </c>
      <c r="CS390" s="499">
        <f t="shared" si="511"/>
        <v>0.83617274434871258</v>
      </c>
      <c r="CT390" s="38">
        <f t="shared" si="512"/>
        <v>1</v>
      </c>
      <c r="CU390" s="498">
        <f t="shared" si="513"/>
        <v>1</v>
      </c>
    </row>
    <row r="391" spans="43:99">
      <c r="AQ391" s="499"/>
      <c r="AR391" s="228">
        <v>23.358263999999998</v>
      </c>
      <c r="AS391" s="13">
        <v>117</v>
      </c>
      <c r="AT391" s="13">
        <v>8.6290320000000005</v>
      </c>
      <c r="AU391" s="13">
        <f t="shared" si="524"/>
        <v>0</v>
      </c>
      <c r="AV391" s="13">
        <f t="shared" si="515"/>
        <v>23.358263999999998</v>
      </c>
      <c r="AW391" s="13">
        <f t="shared" si="516"/>
        <v>23.358263999999998</v>
      </c>
      <c r="AX391" s="13">
        <f t="shared" si="517"/>
        <v>23.358263999999998</v>
      </c>
      <c r="AY391" s="13">
        <v>1122.6086539999999</v>
      </c>
      <c r="AZ391" s="13">
        <f t="shared" si="518"/>
        <v>0</v>
      </c>
      <c r="BA391" s="13">
        <f t="shared" si="519"/>
        <v>0</v>
      </c>
      <c r="BB391" s="97">
        <f t="shared" si="520"/>
        <v>0</v>
      </c>
      <c r="BC391" s="499"/>
      <c r="BD391" s="499">
        <v>35.75</v>
      </c>
      <c r="BE391" s="499">
        <v>26.607323790322582</v>
      </c>
      <c r="BF391" s="499">
        <v>19.790438508064504</v>
      </c>
      <c r="BG391" s="499">
        <v>26.134759169592488</v>
      </c>
      <c r="BI391" s="499">
        <f t="shared" ref="BI391:BJ391" si="601">AS394</f>
        <v>206</v>
      </c>
      <c r="BJ391" s="499">
        <f t="shared" si="601"/>
        <v>9.0618350000000003</v>
      </c>
      <c r="BK391" s="5">
        <f t="shared" si="586"/>
        <v>0</v>
      </c>
      <c r="BL391" s="499">
        <f t="shared" si="587"/>
        <v>21.496413</v>
      </c>
      <c r="BM391" s="499">
        <f t="shared" si="588"/>
        <v>1093.8564980000001</v>
      </c>
      <c r="BO391" s="499">
        <f t="shared" si="589"/>
        <v>206</v>
      </c>
      <c r="BP391" s="499">
        <f t="shared" si="590"/>
        <v>9.0618350000000003</v>
      </c>
      <c r="BQ391" s="5">
        <f t="shared" si="583"/>
        <v>0</v>
      </c>
      <c r="BR391" s="499">
        <f t="shared" si="591"/>
        <v>19.204567233870968</v>
      </c>
      <c r="BS391" s="499">
        <f t="shared" si="592"/>
        <v>1093.8564980000001</v>
      </c>
      <c r="BU391" s="499">
        <f t="shared" si="593"/>
        <v>206</v>
      </c>
      <c r="BV391" s="499">
        <f t="shared" si="594"/>
        <v>9.0618350000000003</v>
      </c>
      <c r="BW391" s="5">
        <f t="shared" si="584"/>
        <v>0</v>
      </c>
      <c r="BX391" s="499">
        <f t="shared" si="595"/>
        <v>17.695280803294938</v>
      </c>
      <c r="BY391" s="499">
        <f t="shared" si="596"/>
        <v>1093.8564980000001</v>
      </c>
      <c r="CA391">
        <v>206</v>
      </c>
      <c r="CB391">
        <v>9.0618350000000003</v>
      </c>
      <c r="CC391">
        <v>0</v>
      </c>
      <c r="CD391">
        <v>18.563899079999999</v>
      </c>
      <c r="CE391">
        <v>1093.8564980000001</v>
      </c>
      <c r="CG391" s="499">
        <f t="shared" si="597"/>
        <v>0</v>
      </c>
      <c r="CH391" s="499">
        <f t="shared" si="598"/>
        <v>0</v>
      </c>
      <c r="CI391" s="499">
        <f t="shared" si="599"/>
        <v>0</v>
      </c>
      <c r="CJ391" s="499">
        <f t="shared" si="600"/>
        <v>0</v>
      </c>
      <c r="CP391" s="499"/>
      <c r="CQ391" s="65">
        <f t="shared" ref="CQ391:CQ454" si="602">(97.886/(1+EXP(-((BL390-24.35322)/-0.5033))))/100</f>
        <v>0.97878225496908333</v>
      </c>
      <c r="CR391" s="499">
        <f t="shared" ref="CR391:CR454" si="603">(97.886/(1+EXP(-((BR390-24.35322)/-0.5033))))/100</f>
        <v>0.97878225496908333</v>
      </c>
      <c r="CS391" s="499">
        <f t="shared" ref="CS391:CS454" si="604">(97.886/(1+EXP(-((BX390-24.35322)/-0.5033))))/100</f>
        <v>0.97878225496908333</v>
      </c>
      <c r="CT391" s="38">
        <f t="shared" ref="CT391:CT454" si="605">CR391/CQ391</f>
        <v>1</v>
      </c>
      <c r="CU391" s="498">
        <f t="shared" ref="CU391:CU454" si="606">CS391/CQ391</f>
        <v>1</v>
      </c>
    </row>
    <row r="392" spans="43:99">
      <c r="AQ392" s="499"/>
      <c r="AR392" s="228">
        <v>23.463294999999999</v>
      </c>
      <c r="AS392" s="13">
        <v>478</v>
      </c>
      <c r="AT392" s="13">
        <v>8.7274279999999997</v>
      </c>
      <c r="AU392" s="13">
        <f>IF(AW392&gt;=24.4,1,0)</f>
        <v>0</v>
      </c>
      <c r="AV392" s="13">
        <f t="shared" si="515"/>
        <v>23.463294999999999</v>
      </c>
      <c r="AW392" s="13">
        <f t="shared" si="516"/>
        <v>23.463294999999999</v>
      </c>
      <c r="AX392" s="13">
        <f t="shared" si="517"/>
        <v>23.463294999999999</v>
      </c>
      <c r="AY392" s="13">
        <v>595.24459899999999</v>
      </c>
      <c r="AZ392" s="13">
        <f t="shared" si="518"/>
        <v>0</v>
      </c>
      <c r="BA392" s="13">
        <f t="shared" si="519"/>
        <v>0</v>
      </c>
      <c r="BB392" s="97">
        <f t="shared" si="520"/>
        <v>0</v>
      </c>
      <c r="BC392" s="499"/>
      <c r="BD392" s="499">
        <v>35.549999999999997</v>
      </c>
      <c r="BE392" s="499">
        <v>26.636671975806458</v>
      </c>
      <c r="BF392" s="499">
        <v>19.773760282258067</v>
      </c>
      <c r="BG392" s="499">
        <v>26.217579797847989</v>
      </c>
      <c r="BI392" s="499">
        <f t="shared" ref="BI392:BJ392" si="607">AS395</f>
        <v>253</v>
      </c>
      <c r="BJ392" s="499">
        <f t="shared" si="607"/>
        <v>10.063871000000001</v>
      </c>
      <c r="BK392" s="5">
        <f t="shared" si="586"/>
        <v>0</v>
      </c>
      <c r="BL392" s="499">
        <f t="shared" si="587"/>
        <v>22.525600000000001</v>
      </c>
      <c r="BM392" s="499">
        <f t="shared" si="588"/>
        <v>884.22825599999999</v>
      </c>
      <c r="BO392" s="499">
        <f t="shared" si="589"/>
        <v>253</v>
      </c>
      <c r="BP392" s="499">
        <f t="shared" si="590"/>
        <v>10.063871000000001</v>
      </c>
      <c r="BQ392" s="5">
        <f t="shared" si="583"/>
        <v>0</v>
      </c>
      <c r="BR392" s="499">
        <f t="shared" si="591"/>
        <v>21.203743346774186</v>
      </c>
      <c r="BS392" s="499">
        <f t="shared" si="592"/>
        <v>884.22825599999999</v>
      </c>
      <c r="BU392" s="499">
        <f t="shared" si="593"/>
        <v>253</v>
      </c>
      <c r="BV392" s="499">
        <f t="shared" si="594"/>
        <v>10.063871000000001</v>
      </c>
      <c r="BW392" s="5">
        <f t="shared" si="584"/>
        <v>0</v>
      </c>
      <c r="BX392" s="499">
        <f t="shared" si="595"/>
        <v>20.252049977781223</v>
      </c>
      <c r="BY392" s="499">
        <f t="shared" si="596"/>
        <v>884.22825599999999</v>
      </c>
      <c r="CA392">
        <v>253</v>
      </c>
      <c r="CB392">
        <v>10.063871000000001</v>
      </c>
      <c r="CC392">
        <v>0</v>
      </c>
      <c r="CD392">
        <v>21.39607114</v>
      </c>
      <c r="CE392">
        <v>884.22825599999999</v>
      </c>
      <c r="CG392" s="499">
        <f t="shared" si="597"/>
        <v>0</v>
      </c>
      <c r="CH392" s="499">
        <f t="shared" si="598"/>
        <v>0</v>
      </c>
      <c r="CI392" s="499">
        <f t="shared" si="599"/>
        <v>0</v>
      </c>
      <c r="CJ392" s="499">
        <f t="shared" si="600"/>
        <v>0</v>
      </c>
      <c r="CP392" s="499"/>
      <c r="CQ392" s="65">
        <f t="shared" si="602"/>
        <v>0.97551717464143584</v>
      </c>
      <c r="CR392" s="499">
        <f t="shared" si="603"/>
        <v>0.97882468460795602</v>
      </c>
      <c r="CS392" s="499">
        <f t="shared" si="604"/>
        <v>0.97885823954503726</v>
      </c>
      <c r="CT392" s="38">
        <f t="shared" si="605"/>
        <v>1.0033905194623927</v>
      </c>
      <c r="CU392" s="498">
        <f t="shared" si="606"/>
        <v>1.0034249165370455</v>
      </c>
    </row>
    <row r="393" spans="43:99">
      <c r="AQ393" s="499"/>
      <c r="AR393" s="228">
        <v>19.601751</v>
      </c>
      <c r="AS393" s="13">
        <v>116</v>
      </c>
      <c r="AT393" s="13">
        <v>8.8234110000000001</v>
      </c>
      <c r="AU393" s="13">
        <f t="shared" si="524"/>
        <v>0</v>
      </c>
      <c r="AV393" s="13">
        <f t="shared" ref="AV393:AV456" si="608">IF(ISERROR(VLOOKUP(AS393,B$3:AP$102,40,FALSE))=TRUE,AR393,VLOOKUP(AS393,B$3:AP$102,40,FALSE))</f>
        <v>0</v>
      </c>
      <c r="AW393" s="13">
        <f t="shared" ref="AW393:AW456" si="609">IF(ISERROR(VLOOKUP(AS393,B$3:AP$102,39,FALSE))=TRUE,AR393,VLOOKUP(AS393,B$3:AP$102,39,FALSE))</f>
        <v>0</v>
      </c>
      <c r="AX393" s="13">
        <f t="shared" ref="AX393:AX456" si="610">IF(ISERROR(VLOOKUP(AS393,B$3:AP$102,41,FALSE))=TRUE,AR393,VLOOKUP(AS393,B$3:AP$102,41,FALSE))</f>
        <v>0</v>
      </c>
      <c r="AY393" s="13">
        <v>553.26062200000001</v>
      </c>
      <c r="AZ393" s="13">
        <f t="shared" ref="AZ393:AZ456" si="611">IF($AV393=0,0,$AV393-AW393)</f>
        <v>0</v>
      </c>
      <c r="BA393" s="13">
        <f t="shared" ref="BA393:BA456" si="612">IF($AV393=0,0,$AV393-AX393)</f>
        <v>0</v>
      </c>
      <c r="BB393" s="97">
        <f t="shared" ref="BB393:BB456" si="613">IF(AV393=0,0,$AR393-AV393)</f>
        <v>0</v>
      </c>
      <c r="BC393" s="499"/>
      <c r="BD393" s="499">
        <v>35.35</v>
      </c>
      <c r="BE393" s="499">
        <v>26.71898850806452</v>
      </c>
      <c r="BF393" s="499">
        <v>19.785653629032257</v>
      </c>
      <c r="BG393" s="499">
        <v>26.315377653159342</v>
      </c>
      <c r="BI393" s="499">
        <f t="shared" ref="BI393:BJ393" si="614">AS396</f>
        <v>203</v>
      </c>
      <c r="BJ393" s="499">
        <f t="shared" si="614"/>
        <v>10.636253999999999</v>
      </c>
      <c r="BK393" s="5">
        <f t="shared" si="586"/>
        <v>0</v>
      </c>
      <c r="BL393" s="499">
        <f t="shared" si="587"/>
        <v>22.133448999999999</v>
      </c>
      <c r="BM393" s="499">
        <f t="shared" si="588"/>
        <v>625.01359100000002</v>
      </c>
      <c r="BO393" s="499">
        <f t="shared" si="589"/>
        <v>203</v>
      </c>
      <c r="BP393" s="499">
        <f t="shared" si="590"/>
        <v>10.636253999999999</v>
      </c>
      <c r="BQ393" s="5">
        <f t="shared" si="583"/>
        <v>0</v>
      </c>
      <c r="BR393" s="499">
        <f t="shared" si="591"/>
        <v>20.005731459677421</v>
      </c>
      <c r="BS393" s="499">
        <f t="shared" si="592"/>
        <v>625.01359100000002</v>
      </c>
      <c r="BU393" s="499">
        <f t="shared" si="593"/>
        <v>203</v>
      </c>
      <c r="BV393" s="499">
        <f t="shared" si="594"/>
        <v>10.636253999999999</v>
      </c>
      <c r="BW393" s="5">
        <f t="shared" si="584"/>
        <v>0</v>
      </c>
      <c r="BX393" s="499">
        <f t="shared" si="595"/>
        <v>18.52548774779142</v>
      </c>
      <c r="BY393" s="499">
        <f t="shared" si="596"/>
        <v>625.01359100000002</v>
      </c>
      <c r="CA393">
        <v>203</v>
      </c>
      <c r="CB393">
        <v>10.636253999999999</v>
      </c>
      <c r="CC393">
        <v>0</v>
      </c>
      <c r="CD393">
        <v>19.91293443</v>
      </c>
      <c r="CE393">
        <v>625.01359100000002</v>
      </c>
      <c r="CG393" s="499">
        <f t="shared" si="597"/>
        <v>0</v>
      </c>
      <c r="CH393" s="499">
        <f t="shared" si="598"/>
        <v>0</v>
      </c>
      <c r="CI393" s="499">
        <f t="shared" si="599"/>
        <v>0</v>
      </c>
      <c r="CJ393" s="499">
        <f t="shared" si="600"/>
        <v>0</v>
      </c>
      <c r="CP393" s="499"/>
      <c r="CQ393" s="65">
        <f t="shared" si="602"/>
        <v>0.95360618611835091</v>
      </c>
      <c r="CR393" s="499">
        <f t="shared" si="603"/>
        <v>0.97698834713257254</v>
      </c>
      <c r="CS393" s="499">
        <f t="shared" si="604"/>
        <v>0.97857704291386294</v>
      </c>
      <c r="CT393" s="38">
        <f t="shared" si="605"/>
        <v>1.024519724551493</v>
      </c>
      <c r="CU393" s="498">
        <f t="shared" si="606"/>
        <v>1.0261857118368283</v>
      </c>
    </row>
    <row r="394" spans="43:99">
      <c r="AQ394" s="499"/>
      <c r="AR394" s="228">
        <v>21.496413</v>
      </c>
      <c r="AS394" s="13">
        <v>206</v>
      </c>
      <c r="AT394" s="13">
        <v>9.0618350000000003</v>
      </c>
      <c r="AU394" s="13">
        <f t="shared" si="524"/>
        <v>0</v>
      </c>
      <c r="AV394" s="13">
        <f t="shared" si="608"/>
        <v>23.092290927419352</v>
      </c>
      <c r="AW394" s="13">
        <f t="shared" si="609"/>
        <v>20.80044516129032</v>
      </c>
      <c r="AX394" s="13">
        <f t="shared" si="610"/>
        <v>19.29115873071429</v>
      </c>
      <c r="AY394" s="13">
        <v>1093.8564980000001</v>
      </c>
      <c r="AZ394" s="13">
        <f t="shared" si="611"/>
        <v>2.2918457661290326</v>
      </c>
      <c r="BA394" s="13">
        <f t="shared" si="612"/>
        <v>3.801132196705062</v>
      </c>
      <c r="BB394" s="97">
        <f t="shared" si="613"/>
        <v>-1.5958779274193517</v>
      </c>
      <c r="BC394" s="499"/>
      <c r="BD394" s="499">
        <v>35.15</v>
      </c>
      <c r="BE394" s="499">
        <v>26.802777016129046</v>
      </c>
      <c r="BF394" s="499">
        <v>19.846428830645159</v>
      </c>
      <c r="BG394" s="499">
        <v>26.418766489954212</v>
      </c>
      <c r="BI394" s="499">
        <f t="shared" ref="BI394:BJ394" si="615">AS397</f>
        <v>420</v>
      </c>
      <c r="BJ394" s="499">
        <f t="shared" si="615"/>
        <v>10.710905</v>
      </c>
      <c r="BK394" s="5">
        <f t="shared" si="586"/>
        <v>0</v>
      </c>
      <c r="BL394" s="499">
        <f t="shared" si="587"/>
        <v>21.942233999999999</v>
      </c>
      <c r="BM394" s="499">
        <f t="shared" si="588"/>
        <v>776.18885499999999</v>
      </c>
      <c r="BO394" s="499">
        <f t="shared" si="589"/>
        <v>420</v>
      </c>
      <c r="BP394" s="499">
        <f t="shared" si="590"/>
        <v>10.710905</v>
      </c>
      <c r="BQ394" s="5">
        <f t="shared" si="583"/>
        <v>0</v>
      </c>
      <c r="BR394" s="499">
        <f t="shared" si="591"/>
        <v>20.114890250000002</v>
      </c>
      <c r="BS394" s="499">
        <f t="shared" si="592"/>
        <v>776.18885499999999</v>
      </c>
      <c r="BU394" s="499">
        <f t="shared" si="593"/>
        <v>420</v>
      </c>
      <c r="BV394" s="499">
        <f t="shared" si="594"/>
        <v>10.710905</v>
      </c>
      <c r="BW394" s="5">
        <f t="shared" si="584"/>
        <v>0</v>
      </c>
      <c r="BX394" s="499">
        <f t="shared" si="595"/>
        <v>19.254459436596065</v>
      </c>
      <c r="BY394" s="499">
        <f t="shared" si="596"/>
        <v>776.18885499999999</v>
      </c>
      <c r="CA394">
        <v>420</v>
      </c>
      <c r="CB394">
        <v>10.710905</v>
      </c>
      <c r="CC394">
        <v>0</v>
      </c>
      <c r="CD394">
        <v>20.13813369</v>
      </c>
      <c r="CE394">
        <v>776.18885499999999</v>
      </c>
      <c r="CG394" s="499">
        <f t="shared" si="597"/>
        <v>0</v>
      </c>
      <c r="CH394" s="499">
        <f t="shared" si="598"/>
        <v>0</v>
      </c>
      <c r="CI394" s="499">
        <f t="shared" si="599"/>
        <v>0</v>
      </c>
      <c r="CJ394" s="499">
        <f t="shared" si="600"/>
        <v>0</v>
      </c>
      <c r="CP394" s="499"/>
      <c r="CQ394" s="65">
        <f t="shared" si="602"/>
        <v>0.96710969977695826</v>
      </c>
      <c r="CR394" s="499">
        <f t="shared" si="603"/>
        <v>0.97868653078036094</v>
      </c>
      <c r="CS394" s="499">
        <f t="shared" si="604"/>
        <v>0.97885083775050807</v>
      </c>
      <c r="CT394" s="38">
        <f t="shared" si="605"/>
        <v>1.011970545850251</v>
      </c>
      <c r="CU394" s="498">
        <f t="shared" si="606"/>
        <v>1.0121404407134553</v>
      </c>
    </row>
    <row r="395" spans="43:99">
      <c r="AQ395" s="499"/>
      <c r="AR395" s="228">
        <v>22.525600000000001</v>
      </c>
      <c r="AS395" s="13">
        <v>253</v>
      </c>
      <c r="AT395" s="13">
        <v>10.063871000000001</v>
      </c>
      <c r="AU395" s="13">
        <f t="shared" si="524"/>
        <v>0</v>
      </c>
      <c r="AV395" s="13">
        <f t="shared" si="608"/>
        <v>23.420152016129038</v>
      </c>
      <c r="AW395" s="13">
        <f t="shared" si="609"/>
        <v>22.098295362903222</v>
      </c>
      <c r="AX395" s="13">
        <f t="shared" si="610"/>
        <v>21.146601993910259</v>
      </c>
      <c r="AY395" s="13">
        <v>884.22825599999999</v>
      </c>
      <c r="AZ395" s="13">
        <f t="shared" si="611"/>
        <v>1.3218566532258151</v>
      </c>
      <c r="BA395" s="13">
        <f t="shared" si="612"/>
        <v>2.2735500222187781</v>
      </c>
      <c r="BB395" s="97">
        <f t="shared" si="613"/>
        <v>-0.89455201612903679</v>
      </c>
      <c r="BC395" s="499"/>
      <c r="BD395" s="499">
        <v>34.950000000000003</v>
      </c>
      <c r="BE395" s="499">
        <v>26.847855645161282</v>
      </c>
      <c r="BF395" s="499">
        <v>19.919452822580645</v>
      </c>
      <c r="BG395" s="499">
        <v>26.495822829276559</v>
      </c>
      <c r="BI395" s="499">
        <f t="shared" ref="BI395:BJ395" si="616">AS398</f>
        <v>400</v>
      </c>
      <c r="BJ395" s="499">
        <f t="shared" si="616"/>
        <v>10.834405</v>
      </c>
      <c r="BK395" s="5">
        <f t="shared" si="586"/>
        <v>0</v>
      </c>
      <c r="BL395" s="499">
        <f t="shared" si="587"/>
        <v>20.335678000000001</v>
      </c>
      <c r="BM395" s="499">
        <f t="shared" si="588"/>
        <v>1000.22528</v>
      </c>
      <c r="BO395" s="499">
        <f t="shared" si="589"/>
        <v>400</v>
      </c>
      <c r="BP395" s="499">
        <f t="shared" si="590"/>
        <v>10.834405</v>
      </c>
      <c r="BQ395" s="5">
        <f t="shared" si="583"/>
        <v>0</v>
      </c>
      <c r="BR395" s="499">
        <f t="shared" si="591"/>
        <v>17.697675782258063</v>
      </c>
      <c r="BS395" s="499">
        <f t="shared" si="592"/>
        <v>1000.22528</v>
      </c>
      <c r="BU395" s="499">
        <f t="shared" si="593"/>
        <v>400</v>
      </c>
      <c r="BV395" s="499">
        <f t="shared" si="594"/>
        <v>10.834405</v>
      </c>
      <c r="BW395" s="5">
        <f t="shared" si="584"/>
        <v>0</v>
      </c>
      <c r="BX395" s="499">
        <f t="shared" si="595"/>
        <v>15.801832335810882</v>
      </c>
      <c r="BY395" s="499">
        <f t="shared" si="596"/>
        <v>1000.22528</v>
      </c>
      <c r="CA395">
        <v>400</v>
      </c>
      <c r="CB395">
        <v>10.834405</v>
      </c>
      <c r="CC395">
        <v>0</v>
      </c>
      <c r="CD395">
        <v>16.981763740000002</v>
      </c>
      <c r="CE395">
        <v>1000.22528</v>
      </c>
      <c r="CG395" s="499">
        <f t="shared" si="597"/>
        <v>0</v>
      </c>
      <c r="CH395" s="499">
        <f t="shared" si="598"/>
        <v>0</v>
      </c>
      <c r="CI395" s="499">
        <f t="shared" si="599"/>
        <v>0</v>
      </c>
      <c r="CJ395" s="499">
        <f t="shared" si="600"/>
        <v>0</v>
      </c>
      <c r="CP395" s="499"/>
      <c r="CQ395" s="65">
        <f t="shared" si="602"/>
        <v>0.970793192453135</v>
      </c>
      <c r="CR395" s="499">
        <f t="shared" si="603"/>
        <v>0.97864452532478285</v>
      </c>
      <c r="CS395" s="499">
        <f t="shared" si="604"/>
        <v>0.97882100453758869</v>
      </c>
      <c r="CT395" s="38">
        <f t="shared" si="605"/>
        <v>1.0080875442191843</v>
      </c>
      <c r="CU395" s="498">
        <f t="shared" si="606"/>
        <v>1.0082693328989749</v>
      </c>
    </row>
    <row r="396" spans="43:99">
      <c r="AQ396" s="499"/>
      <c r="AR396" s="228">
        <v>22.133448999999999</v>
      </c>
      <c r="AS396" s="13">
        <v>203</v>
      </c>
      <c r="AT396" s="13">
        <v>10.636253999999999</v>
      </c>
      <c r="AU396" s="13">
        <f t="shared" ref="AU396:AU459" si="617">IF(AW396&gt;=24.4,1,0)</f>
        <v>0</v>
      </c>
      <c r="AV396" s="13">
        <f t="shared" si="608"/>
        <v>23.468765120967742</v>
      </c>
      <c r="AW396" s="13">
        <f t="shared" si="609"/>
        <v>21.341047580645164</v>
      </c>
      <c r="AX396" s="13">
        <f t="shared" si="610"/>
        <v>19.860803868759163</v>
      </c>
      <c r="AY396" s="13">
        <v>625.01359100000002</v>
      </c>
      <c r="AZ396" s="13">
        <f t="shared" si="611"/>
        <v>2.1277175403225783</v>
      </c>
      <c r="BA396" s="13">
        <f t="shared" si="612"/>
        <v>3.6079612522085789</v>
      </c>
      <c r="BB396" s="97">
        <f t="shared" si="613"/>
        <v>-1.3353161209677431</v>
      </c>
      <c r="BC396" s="499"/>
      <c r="BD396" s="499">
        <v>34.75</v>
      </c>
      <c r="BE396" s="499">
        <v>26.737278225806453</v>
      </c>
      <c r="BF396" s="499">
        <v>19.88579254032258</v>
      </c>
      <c r="BG396" s="499">
        <v>26.472934640311358</v>
      </c>
      <c r="BI396" s="499">
        <f t="shared" ref="BI396:BJ396" si="618">AS399</f>
        <v>406</v>
      </c>
      <c r="BJ396" s="499">
        <f t="shared" si="618"/>
        <v>10.916366999999999</v>
      </c>
      <c r="BK396" s="5">
        <f t="shared" si="586"/>
        <v>0</v>
      </c>
      <c r="BL396" s="499">
        <f t="shared" si="587"/>
        <v>21.262176</v>
      </c>
      <c r="BM396" s="499">
        <f t="shared" si="588"/>
        <v>644.32779900000003</v>
      </c>
      <c r="BO396" s="499">
        <f t="shared" si="589"/>
        <v>406</v>
      </c>
      <c r="BP396" s="499">
        <f t="shared" si="590"/>
        <v>10.916366999999999</v>
      </c>
      <c r="BQ396" s="5">
        <f t="shared" si="583"/>
        <v>0</v>
      </c>
      <c r="BR396" s="499">
        <f t="shared" si="591"/>
        <v>19.044335475806442</v>
      </c>
      <c r="BS396" s="499">
        <f t="shared" si="592"/>
        <v>644.32779900000003</v>
      </c>
      <c r="BU396" s="499">
        <f t="shared" si="593"/>
        <v>406</v>
      </c>
      <c r="BV396" s="499">
        <f t="shared" si="594"/>
        <v>10.916366999999999</v>
      </c>
      <c r="BW396" s="5">
        <f t="shared" si="584"/>
        <v>0</v>
      </c>
      <c r="BX396" s="499">
        <f t="shared" si="595"/>
        <v>16.503578201363727</v>
      </c>
      <c r="BY396" s="499">
        <f t="shared" si="596"/>
        <v>644.32779900000003</v>
      </c>
      <c r="CA396">
        <v>406</v>
      </c>
      <c r="CB396">
        <v>10.916366999999999</v>
      </c>
      <c r="CC396">
        <v>0</v>
      </c>
      <c r="CD396">
        <v>18.337062589999999</v>
      </c>
      <c r="CE396">
        <v>644.32779900000003</v>
      </c>
      <c r="CG396" s="499">
        <f t="shared" si="597"/>
        <v>0</v>
      </c>
      <c r="CH396" s="499">
        <f t="shared" si="598"/>
        <v>0</v>
      </c>
      <c r="CI396" s="499">
        <f t="shared" si="599"/>
        <v>0</v>
      </c>
      <c r="CJ396" s="499">
        <f t="shared" si="600"/>
        <v>0</v>
      </c>
      <c r="CP396" s="499"/>
      <c r="CQ396" s="65">
        <f t="shared" si="602"/>
        <v>0.97852591268246247</v>
      </c>
      <c r="CR396" s="499">
        <f t="shared" si="603"/>
        <v>0.9788582311478734</v>
      </c>
      <c r="CS396" s="499">
        <f t="shared" si="604"/>
        <v>0.97885995909460266</v>
      </c>
      <c r="CT396" s="38">
        <f t="shared" si="605"/>
        <v>1.0003396113082994</v>
      </c>
      <c r="CU396" s="498">
        <f t="shared" si="606"/>
        <v>1.0003413771754133</v>
      </c>
    </row>
    <row r="397" spans="43:99">
      <c r="AQ397" s="499"/>
      <c r="AR397" s="228">
        <v>21.942233999999999</v>
      </c>
      <c r="AS397" s="13">
        <v>420</v>
      </c>
      <c r="AT397" s="13">
        <v>10.710905</v>
      </c>
      <c r="AU397" s="13">
        <f t="shared" si="617"/>
        <v>0</v>
      </c>
      <c r="AV397" s="13">
        <f t="shared" si="608"/>
        <v>23.583422983870967</v>
      </c>
      <c r="AW397" s="13">
        <f t="shared" si="609"/>
        <v>21.75607923387097</v>
      </c>
      <c r="AX397" s="13">
        <f t="shared" si="610"/>
        <v>20.895648420467033</v>
      </c>
      <c r="AY397" s="13">
        <v>776.18885499999999</v>
      </c>
      <c r="AZ397" s="13">
        <f t="shared" si="611"/>
        <v>1.8273437499999972</v>
      </c>
      <c r="BA397" s="13">
        <f t="shared" si="612"/>
        <v>2.6877745634039343</v>
      </c>
      <c r="BB397" s="97">
        <f t="shared" si="613"/>
        <v>-1.6411889838709683</v>
      </c>
      <c r="BC397" s="499"/>
      <c r="BD397" s="499">
        <v>34.549999999999997</v>
      </c>
      <c r="BE397" s="499">
        <v>26.646480846774196</v>
      </c>
      <c r="BF397" s="499">
        <v>19.862975604838713</v>
      </c>
      <c r="BG397" s="499">
        <v>26.453729314610808</v>
      </c>
      <c r="BI397" s="499">
        <f t="shared" ref="BI397:BJ397" si="619">AS400</f>
        <v>59</v>
      </c>
      <c r="BJ397" s="499">
        <f t="shared" si="619"/>
        <v>11.003518</v>
      </c>
      <c r="BK397" s="5">
        <f t="shared" si="586"/>
        <v>0</v>
      </c>
      <c r="BL397" s="499">
        <f t="shared" si="587"/>
        <v>21.747067000000001</v>
      </c>
      <c r="BM397" s="499">
        <f t="shared" si="588"/>
        <v>483.06021199999998</v>
      </c>
      <c r="BO397" s="499">
        <f t="shared" si="589"/>
        <v>59</v>
      </c>
      <c r="BP397" s="499">
        <f t="shared" si="590"/>
        <v>11.003518</v>
      </c>
      <c r="BQ397" s="5">
        <f t="shared" si="583"/>
        <v>0</v>
      </c>
      <c r="BR397" s="499">
        <f t="shared" si="591"/>
        <v>20.382529499999997</v>
      </c>
      <c r="BS397" s="499">
        <f t="shared" si="592"/>
        <v>483.06021199999998</v>
      </c>
      <c r="BU397" s="499">
        <f t="shared" si="593"/>
        <v>59</v>
      </c>
      <c r="BV397" s="499">
        <f t="shared" si="594"/>
        <v>11.003518</v>
      </c>
      <c r="BW397" s="5">
        <f t="shared" si="584"/>
        <v>0</v>
      </c>
      <c r="BX397" s="499">
        <f t="shared" si="595"/>
        <v>19.79289624714227</v>
      </c>
      <c r="BY397" s="499">
        <f t="shared" si="596"/>
        <v>483.06021199999998</v>
      </c>
      <c r="CA397">
        <v>59</v>
      </c>
      <c r="CB397">
        <v>11.003518</v>
      </c>
      <c r="CC397">
        <v>0</v>
      </c>
      <c r="CD397">
        <v>20.750366710000002</v>
      </c>
      <c r="CE397">
        <v>483.06021199999998</v>
      </c>
      <c r="CG397" s="499">
        <f t="shared" si="597"/>
        <v>0</v>
      </c>
      <c r="CH397" s="499">
        <f t="shared" si="598"/>
        <v>0</v>
      </c>
      <c r="CI397" s="499">
        <f t="shared" si="599"/>
        <v>0</v>
      </c>
      <c r="CJ397" s="499">
        <f t="shared" si="600"/>
        <v>0</v>
      </c>
      <c r="CP397" s="499"/>
      <c r="CQ397" s="65">
        <f t="shared" si="602"/>
        <v>0.97675842803960489</v>
      </c>
      <c r="CR397" s="499">
        <f t="shared" si="603"/>
        <v>0.97883431347805283</v>
      </c>
      <c r="CS397" s="499">
        <f t="shared" si="604"/>
        <v>0.97885983506502316</v>
      </c>
      <c r="CT397" s="38">
        <f t="shared" si="605"/>
        <v>1.0021252802933212</v>
      </c>
      <c r="CU397" s="498">
        <f t="shared" si="606"/>
        <v>1.002151409156137</v>
      </c>
    </row>
    <row r="398" spans="43:99">
      <c r="AQ398" s="499"/>
      <c r="AR398" s="228">
        <v>20.335678000000001</v>
      </c>
      <c r="AS398" s="13">
        <v>400</v>
      </c>
      <c r="AT398" s="13">
        <v>10.834405</v>
      </c>
      <c r="AU398" s="13">
        <f t="shared" si="617"/>
        <v>0</v>
      </c>
      <c r="AV398" s="13">
        <f t="shared" si="608"/>
        <v>23.460622580645161</v>
      </c>
      <c r="AW398" s="13">
        <f t="shared" si="609"/>
        <v>20.822620362903223</v>
      </c>
      <c r="AX398" s="13">
        <f t="shared" si="610"/>
        <v>18.926776916456042</v>
      </c>
      <c r="AY398" s="13">
        <v>1000.22528</v>
      </c>
      <c r="AZ398" s="13">
        <f t="shared" si="611"/>
        <v>2.6380022177419384</v>
      </c>
      <c r="BA398" s="13">
        <f t="shared" si="612"/>
        <v>4.5338456641891192</v>
      </c>
      <c r="BB398" s="97">
        <f t="shared" si="613"/>
        <v>-3.1249445806451597</v>
      </c>
      <c r="BC398" s="499"/>
      <c r="BD398" s="499">
        <v>34.35</v>
      </c>
      <c r="BE398" s="499">
        <v>26.70396895161289</v>
      </c>
      <c r="BF398" s="499">
        <v>19.841130645161289</v>
      </c>
      <c r="BG398" s="499">
        <v>26.536623094784801</v>
      </c>
      <c r="BI398" s="499">
        <f t="shared" ref="BI398:BJ398" si="620">AS401</f>
        <v>72</v>
      </c>
      <c r="BJ398" s="499">
        <f t="shared" si="620"/>
        <v>11.038104000000001</v>
      </c>
      <c r="BK398" s="5">
        <f t="shared" si="586"/>
        <v>0</v>
      </c>
      <c r="BL398" s="499">
        <f t="shared" si="587"/>
        <v>20.551707</v>
      </c>
      <c r="BM398" s="499">
        <f t="shared" si="588"/>
        <v>1317.2734439999999</v>
      </c>
      <c r="BO398" s="499">
        <f t="shared" si="589"/>
        <v>72</v>
      </c>
      <c r="BP398" s="499">
        <f t="shared" si="590"/>
        <v>11.038104000000001</v>
      </c>
      <c r="BQ398" s="5">
        <f t="shared" si="583"/>
        <v>0</v>
      </c>
      <c r="BR398" s="499">
        <f t="shared" si="591"/>
        <v>17.826887443548401</v>
      </c>
      <c r="BS398" s="499">
        <f t="shared" si="592"/>
        <v>1317.2734439999999</v>
      </c>
      <c r="BU398" s="499">
        <f t="shared" si="593"/>
        <v>72</v>
      </c>
      <c r="BV398" s="499">
        <f t="shared" si="594"/>
        <v>11.038104000000001</v>
      </c>
      <c r="BW398" s="5">
        <f t="shared" si="584"/>
        <v>0</v>
      </c>
      <c r="BX398" s="499">
        <f t="shared" si="595"/>
        <v>15.397179794369901</v>
      </c>
      <c r="BY398" s="499">
        <f t="shared" si="596"/>
        <v>1317.2734439999999</v>
      </c>
      <c r="CA398">
        <v>72</v>
      </c>
      <c r="CB398">
        <v>11.038104000000001</v>
      </c>
      <c r="CC398">
        <v>0</v>
      </c>
      <c r="CD398">
        <v>16.83555045</v>
      </c>
      <c r="CE398">
        <v>1317.2734439999999</v>
      </c>
      <c r="CG398" s="499">
        <f t="shared" si="597"/>
        <v>0</v>
      </c>
      <c r="CH398" s="499">
        <f t="shared" si="598"/>
        <v>0</v>
      </c>
      <c r="CI398" s="499">
        <f t="shared" si="599"/>
        <v>0</v>
      </c>
      <c r="CJ398" s="499">
        <f t="shared" si="600"/>
        <v>0</v>
      </c>
      <c r="CP398" s="499"/>
      <c r="CQ398" s="65">
        <f t="shared" si="602"/>
        <v>0.97337160651057719</v>
      </c>
      <c r="CR398" s="499">
        <f t="shared" si="603"/>
        <v>0.97849333166975683</v>
      </c>
      <c r="CS398" s="499">
        <f t="shared" si="604"/>
        <v>0.97874634337204125</v>
      </c>
      <c r="CT398" s="38">
        <f t="shared" si="605"/>
        <v>1.0052618394916413</v>
      </c>
      <c r="CU398" s="498">
        <f t="shared" si="606"/>
        <v>1.0055217728003509</v>
      </c>
    </row>
    <row r="399" spans="43:99">
      <c r="AQ399" s="499"/>
      <c r="AR399" s="228">
        <v>21.262176</v>
      </c>
      <c r="AS399" s="13">
        <v>406</v>
      </c>
      <c r="AT399" s="13">
        <v>10.916366999999999</v>
      </c>
      <c r="AU399" s="13">
        <f t="shared" si="617"/>
        <v>0</v>
      </c>
      <c r="AV399" s="13">
        <f t="shared" si="608"/>
        <v>23.832222782258068</v>
      </c>
      <c r="AW399" s="13">
        <f t="shared" si="609"/>
        <v>21.614382258064509</v>
      </c>
      <c r="AX399" s="13">
        <f t="shared" si="610"/>
        <v>19.073624983621794</v>
      </c>
      <c r="AY399" s="13">
        <v>644.32779900000003</v>
      </c>
      <c r="AZ399" s="13">
        <f t="shared" si="611"/>
        <v>2.2178405241935586</v>
      </c>
      <c r="BA399" s="13">
        <f t="shared" si="612"/>
        <v>4.7585977986362735</v>
      </c>
      <c r="BB399" s="97">
        <f t="shared" si="613"/>
        <v>-2.5700467822580677</v>
      </c>
      <c r="BC399" s="499"/>
      <c r="BD399" s="499">
        <v>34.15</v>
      </c>
      <c r="BE399" s="499">
        <v>26.761358669354848</v>
      </c>
      <c r="BF399" s="499">
        <v>19.861332056451609</v>
      </c>
      <c r="BG399" s="499">
        <v>26.58970845053571</v>
      </c>
      <c r="BI399" s="499">
        <f t="shared" ref="BI399:BJ399" si="621">AS402</f>
        <v>454</v>
      </c>
      <c r="BJ399" s="499">
        <f t="shared" si="621"/>
        <v>11.266560999999999</v>
      </c>
      <c r="BK399" s="5">
        <f t="shared" si="586"/>
        <v>0</v>
      </c>
      <c r="BL399" s="499">
        <f t="shared" si="587"/>
        <v>22.133448999999999</v>
      </c>
      <c r="BM399" s="499">
        <f t="shared" si="588"/>
        <v>567.60278200000005</v>
      </c>
      <c r="BO399" s="499">
        <f t="shared" si="589"/>
        <v>454</v>
      </c>
      <c r="BP399" s="499">
        <f t="shared" si="590"/>
        <v>11.266560999999999</v>
      </c>
      <c r="BQ399" s="5">
        <f t="shared" si="583"/>
        <v>0</v>
      </c>
      <c r="BR399" s="499">
        <f t="shared" si="591"/>
        <v>19.878322991935491</v>
      </c>
      <c r="BS399" s="499">
        <f t="shared" si="592"/>
        <v>567.60278200000005</v>
      </c>
      <c r="BU399" s="499">
        <f t="shared" si="593"/>
        <v>454</v>
      </c>
      <c r="BV399" s="499">
        <f t="shared" si="594"/>
        <v>11.266560999999999</v>
      </c>
      <c r="BW399" s="5">
        <f t="shared" si="584"/>
        <v>0</v>
      </c>
      <c r="BX399" s="499">
        <f t="shared" si="595"/>
        <v>17.888332210659058</v>
      </c>
      <c r="BY399" s="499">
        <f t="shared" si="596"/>
        <v>567.60278200000005</v>
      </c>
      <c r="CA399">
        <v>454</v>
      </c>
      <c r="CB399">
        <v>11.266560999999999</v>
      </c>
      <c r="CC399">
        <v>0</v>
      </c>
      <c r="CD399">
        <v>19.582563390000001</v>
      </c>
      <c r="CE399">
        <v>567.60278200000005</v>
      </c>
      <c r="CG399" s="499">
        <f t="shared" si="597"/>
        <v>0</v>
      </c>
      <c r="CH399" s="499">
        <f t="shared" si="598"/>
        <v>0</v>
      </c>
      <c r="CI399" s="499">
        <f t="shared" si="599"/>
        <v>0</v>
      </c>
      <c r="CJ399" s="499">
        <f t="shared" si="600"/>
        <v>0</v>
      </c>
      <c r="CP399" s="499"/>
      <c r="CQ399" s="65">
        <f t="shared" si="602"/>
        <v>0.97834691344269076</v>
      </c>
      <c r="CR399" s="499">
        <f t="shared" si="603"/>
        <v>0.97885771341553762</v>
      </c>
      <c r="CS399" s="499">
        <f t="shared" si="604"/>
        <v>0.97885998169336874</v>
      </c>
      <c r="CT399" s="38">
        <f t="shared" si="605"/>
        <v>1.000522105161092</v>
      </c>
      <c r="CU399" s="498">
        <f t="shared" si="606"/>
        <v>1.000524423641173</v>
      </c>
    </row>
    <row r="400" spans="43:99">
      <c r="AQ400" s="499"/>
      <c r="AR400" s="228">
        <v>21.747067000000001</v>
      </c>
      <c r="AS400" s="13">
        <v>59</v>
      </c>
      <c r="AT400" s="13">
        <v>11.003518</v>
      </c>
      <c r="AU400" s="13">
        <f t="shared" si="617"/>
        <v>0</v>
      </c>
      <c r="AV400" s="13">
        <f t="shared" si="608"/>
        <v>23.461415725806457</v>
      </c>
      <c r="AW400" s="13">
        <f t="shared" si="609"/>
        <v>22.096878225806453</v>
      </c>
      <c r="AX400" s="13">
        <f t="shared" si="610"/>
        <v>21.507244972948726</v>
      </c>
      <c r="AY400" s="13">
        <v>483.06021199999998</v>
      </c>
      <c r="AZ400" s="13">
        <f t="shared" si="611"/>
        <v>1.3645375000000044</v>
      </c>
      <c r="BA400" s="13">
        <f t="shared" si="612"/>
        <v>1.9541707528577312</v>
      </c>
      <c r="BB400" s="97">
        <f t="shared" si="613"/>
        <v>-1.714348725806456</v>
      </c>
      <c r="BC400" s="499"/>
      <c r="BD400" s="499">
        <v>33.950000000000003</v>
      </c>
      <c r="BE400" s="499">
        <v>26.790116532258072</v>
      </c>
      <c r="BF400" s="499">
        <v>19.938527620967744</v>
      </c>
      <c r="BG400" s="499">
        <v>26.578361221804027</v>
      </c>
      <c r="BI400" s="499">
        <f t="shared" ref="BI400:BJ400" si="622">AS403</f>
        <v>96</v>
      </c>
      <c r="BJ400" s="499">
        <f t="shared" si="622"/>
        <v>11.333439</v>
      </c>
      <c r="BK400" s="5">
        <f t="shared" si="586"/>
        <v>0</v>
      </c>
      <c r="BL400" s="499">
        <f t="shared" si="587"/>
        <v>20.186008999999999</v>
      </c>
      <c r="BM400" s="499">
        <f t="shared" si="588"/>
        <v>924.541787</v>
      </c>
      <c r="BO400" s="499">
        <f t="shared" si="589"/>
        <v>96</v>
      </c>
      <c r="BP400" s="499">
        <f t="shared" si="590"/>
        <v>11.333439</v>
      </c>
      <c r="BQ400" s="5">
        <f t="shared" si="583"/>
        <v>0</v>
      </c>
      <c r="BR400" s="499">
        <f t="shared" si="591"/>
        <v>19.130402548387082</v>
      </c>
      <c r="BS400" s="499">
        <f t="shared" si="592"/>
        <v>924.541787</v>
      </c>
      <c r="BU400" s="499">
        <f t="shared" si="593"/>
        <v>96</v>
      </c>
      <c r="BV400" s="499">
        <f t="shared" si="594"/>
        <v>11.333439</v>
      </c>
      <c r="BW400" s="5">
        <f t="shared" si="584"/>
        <v>0</v>
      </c>
      <c r="BX400" s="499">
        <f t="shared" si="595"/>
        <v>18.315346140121399</v>
      </c>
      <c r="BY400" s="499">
        <f t="shared" si="596"/>
        <v>924.541787</v>
      </c>
      <c r="CA400">
        <v>96</v>
      </c>
      <c r="CB400">
        <v>11.333439</v>
      </c>
      <c r="CC400">
        <v>0</v>
      </c>
      <c r="CD400">
        <v>18.614537649999999</v>
      </c>
      <c r="CE400">
        <v>924.541787</v>
      </c>
      <c r="CG400" s="499">
        <f t="shared" si="597"/>
        <v>0</v>
      </c>
      <c r="CH400" s="499">
        <f t="shared" si="598"/>
        <v>0</v>
      </c>
      <c r="CI400" s="499">
        <f t="shared" si="599"/>
        <v>0</v>
      </c>
      <c r="CJ400" s="499">
        <f t="shared" si="600"/>
        <v>0</v>
      </c>
      <c r="CP400" s="499"/>
      <c r="CQ400" s="65">
        <f t="shared" si="602"/>
        <v>0.96710969977695826</v>
      </c>
      <c r="CR400" s="499">
        <f t="shared" si="603"/>
        <v>0.97872532107145005</v>
      </c>
      <c r="CS400" s="499">
        <f t="shared" si="604"/>
        <v>0.97885741650616898</v>
      </c>
      <c r="CT400" s="38">
        <f t="shared" si="605"/>
        <v>1.012010655354993</v>
      </c>
      <c r="CU400" s="498">
        <f t="shared" si="606"/>
        <v>1.0121472432051091</v>
      </c>
    </row>
    <row r="401" spans="43:99">
      <c r="AQ401" s="499"/>
      <c r="AR401" s="228">
        <v>20.551707</v>
      </c>
      <c r="AS401" s="13">
        <v>72</v>
      </c>
      <c r="AT401" s="13">
        <v>11.038104000000001</v>
      </c>
      <c r="AU401" s="13">
        <f t="shared" si="617"/>
        <v>0</v>
      </c>
      <c r="AV401" s="13">
        <f t="shared" si="608"/>
        <v>23.719034072580644</v>
      </c>
      <c r="AW401" s="13">
        <f t="shared" si="609"/>
        <v>20.994214516129045</v>
      </c>
      <c r="AX401" s="13">
        <f t="shared" si="610"/>
        <v>18.564506866950545</v>
      </c>
      <c r="AY401" s="13">
        <v>1317.2734439999999</v>
      </c>
      <c r="AZ401" s="13">
        <f t="shared" si="611"/>
        <v>2.7248195564515996</v>
      </c>
      <c r="BA401" s="13">
        <f t="shared" si="612"/>
        <v>5.1545272056300995</v>
      </c>
      <c r="BB401" s="97">
        <f t="shared" si="613"/>
        <v>-3.1673270725806439</v>
      </c>
      <c r="BC401" s="499"/>
      <c r="BD401" s="499">
        <v>33.75</v>
      </c>
      <c r="BE401" s="499">
        <v>26.649329032258059</v>
      </c>
      <c r="BF401" s="499">
        <v>19.932330645161294</v>
      </c>
      <c r="BG401" s="499">
        <v>26.390195571190471</v>
      </c>
      <c r="BI401" s="499">
        <f t="shared" ref="BI401:BJ401" si="623">AS404</f>
        <v>222</v>
      </c>
      <c r="BJ401" s="499">
        <f t="shared" si="623"/>
        <v>11.443966</v>
      </c>
      <c r="BK401" s="5">
        <f t="shared" si="586"/>
        <v>0</v>
      </c>
      <c r="BL401" s="499">
        <f t="shared" si="587"/>
        <v>21.503959999999999</v>
      </c>
      <c r="BM401" s="499">
        <f t="shared" si="588"/>
        <v>497.17684800000001</v>
      </c>
      <c r="BO401" s="499">
        <f t="shared" si="589"/>
        <v>222</v>
      </c>
      <c r="BP401" s="499">
        <f t="shared" si="590"/>
        <v>11.443966</v>
      </c>
      <c r="BQ401" s="5">
        <f t="shared" si="583"/>
        <v>0</v>
      </c>
      <c r="BR401" s="499">
        <f t="shared" si="591"/>
        <v>19.400503749999995</v>
      </c>
      <c r="BS401" s="499">
        <f t="shared" si="592"/>
        <v>497.17684800000001</v>
      </c>
      <c r="BU401" s="499">
        <f t="shared" si="593"/>
        <v>222</v>
      </c>
      <c r="BV401" s="499">
        <f t="shared" si="594"/>
        <v>11.443966</v>
      </c>
      <c r="BW401" s="5">
        <f t="shared" si="584"/>
        <v>0</v>
      </c>
      <c r="BX401" s="499">
        <f t="shared" si="595"/>
        <v>18.163370976973741</v>
      </c>
      <c r="BY401" s="499">
        <f t="shared" si="596"/>
        <v>497.17684800000001</v>
      </c>
      <c r="CA401">
        <v>222</v>
      </c>
      <c r="CB401">
        <v>11.443966</v>
      </c>
      <c r="CC401">
        <v>0</v>
      </c>
      <c r="CD401">
        <v>18.874160289999999</v>
      </c>
      <c r="CE401">
        <v>497.17684800000001</v>
      </c>
      <c r="CG401" s="499">
        <f t="shared" si="597"/>
        <v>0</v>
      </c>
      <c r="CH401" s="499">
        <f t="shared" si="598"/>
        <v>0</v>
      </c>
      <c r="CI401" s="499">
        <f t="shared" si="599"/>
        <v>0</v>
      </c>
      <c r="CJ401" s="499">
        <f t="shared" si="600"/>
        <v>0</v>
      </c>
      <c r="CP401" s="499"/>
      <c r="CQ401" s="65">
        <f t="shared" si="602"/>
        <v>0.97861182978428507</v>
      </c>
      <c r="CR401" s="499">
        <f t="shared" si="603"/>
        <v>0.97882952316059535</v>
      </c>
      <c r="CS401" s="499">
        <f t="shared" si="604"/>
        <v>0.97885396505109834</v>
      </c>
      <c r="CT401" s="38">
        <f t="shared" si="605"/>
        <v>1.0002224512004503</v>
      </c>
      <c r="CU401" s="498">
        <f t="shared" si="606"/>
        <v>1.0002474272836726</v>
      </c>
    </row>
    <row r="402" spans="43:99">
      <c r="AQ402" s="499"/>
      <c r="AR402" s="228">
        <v>22.133448999999999</v>
      </c>
      <c r="AS402" s="13">
        <v>454</v>
      </c>
      <c r="AT402" s="13">
        <v>11.266560999999999</v>
      </c>
      <c r="AU402" s="13">
        <f t="shared" si="617"/>
        <v>0</v>
      </c>
      <c r="AV402" s="13">
        <f t="shared" si="608"/>
        <v>23.493676612903215</v>
      </c>
      <c r="AW402" s="13">
        <f t="shared" si="609"/>
        <v>21.238550604838707</v>
      </c>
      <c r="AX402" s="13">
        <f t="shared" si="610"/>
        <v>19.248559823562275</v>
      </c>
      <c r="AY402" s="13">
        <v>567.60278200000005</v>
      </c>
      <c r="AZ402" s="13">
        <f t="shared" si="611"/>
        <v>2.2551260080645079</v>
      </c>
      <c r="BA402" s="13">
        <f t="shared" si="612"/>
        <v>4.2451167893409405</v>
      </c>
      <c r="BB402" s="97">
        <f t="shared" si="613"/>
        <v>-1.3602276129032163</v>
      </c>
      <c r="BC402" s="499"/>
      <c r="BD402" s="499">
        <v>33.549999999999997</v>
      </c>
      <c r="BE402" s="499">
        <v>26.661760483870964</v>
      </c>
      <c r="BF402" s="499">
        <v>19.920554032258064</v>
      </c>
      <c r="BG402" s="499">
        <v>26.374790444249083</v>
      </c>
      <c r="BI402" s="499">
        <f t="shared" ref="BI402:BJ402" si="624">AS405</f>
        <v>50</v>
      </c>
      <c r="BJ402" s="499">
        <f t="shared" si="624"/>
        <v>11.456374</v>
      </c>
      <c r="BK402" s="5">
        <f t="shared" si="586"/>
        <v>0</v>
      </c>
      <c r="BL402" s="499">
        <f t="shared" si="587"/>
        <v>21.595592</v>
      </c>
      <c r="BM402" s="499">
        <f t="shared" si="588"/>
        <v>998.90715499999999</v>
      </c>
      <c r="BO402" s="499">
        <f t="shared" si="589"/>
        <v>50</v>
      </c>
      <c r="BP402" s="499">
        <f t="shared" si="590"/>
        <v>11.456374</v>
      </c>
      <c r="BQ402" s="5">
        <f t="shared" si="583"/>
        <v>0</v>
      </c>
      <c r="BR402" s="499">
        <f t="shared" si="591"/>
        <v>21.580711153225792</v>
      </c>
      <c r="BS402" s="499">
        <f t="shared" si="592"/>
        <v>998.90715499999999</v>
      </c>
      <c r="BU402" s="499">
        <f t="shared" si="593"/>
        <v>50</v>
      </c>
      <c r="BV402" s="499">
        <f t="shared" si="594"/>
        <v>11.456374</v>
      </c>
      <c r="BW402" s="5">
        <f t="shared" si="584"/>
        <v>0</v>
      </c>
      <c r="BX402" s="499">
        <f t="shared" si="595"/>
        <v>21.142719006364906</v>
      </c>
      <c r="BY402" s="499">
        <f t="shared" si="596"/>
        <v>998.90715499999999</v>
      </c>
      <c r="CA402">
        <v>50</v>
      </c>
      <c r="CB402">
        <v>11.456374</v>
      </c>
      <c r="CC402">
        <v>0</v>
      </c>
      <c r="CD402">
        <v>20.593877289999998</v>
      </c>
      <c r="CE402">
        <v>998.90715499999999</v>
      </c>
      <c r="CG402" s="499">
        <f t="shared" si="597"/>
        <v>0</v>
      </c>
      <c r="CH402" s="499">
        <f t="shared" si="598"/>
        <v>0</v>
      </c>
      <c r="CI402" s="499">
        <f t="shared" si="599"/>
        <v>0</v>
      </c>
      <c r="CJ402" s="499">
        <f t="shared" si="600"/>
        <v>0</v>
      </c>
      <c r="CP402" s="499"/>
      <c r="CQ402" s="65">
        <f t="shared" si="602"/>
        <v>0.97546684622822366</v>
      </c>
      <c r="CR402" s="499">
        <f t="shared" si="603"/>
        <v>0.97880787704946159</v>
      </c>
      <c r="CS402" s="499">
        <f t="shared" si="604"/>
        <v>0.97885553793534086</v>
      </c>
      <c r="CT402" s="38">
        <f t="shared" si="605"/>
        <v>1.0034250583032693</v>
      </c>
      <c r="CU402" s="498">
        <f t="shared" si="606"/>
        <v>1.0034739178683725</v>
      </c>
    </row>
    <row r="403" spans="43:99">
      <c r="AQ403" s="499"/>
      <c r="AR403" s="228">
        <v>20.186008999999999</v>
      </c>
      <c r="AS403" s="13">
        <v>96</v>
      </c>
      <c r="AT403" s="13">
        <v>11.333439</v>
      </c>
      <c r="AU403" s="13">
        <f t="shared" si="617"/>
        <v>0</v>
      </c>
      <c r="AV403" s="13">
        <f t="shared" si="608"/>
        <v>22.185512096774204</v>
      </c>
      <c r="AW403" s="13">
        <f t="shared" si="609"/>
        <v>21.129905645161287</v>
      </c>
      <c r="AX403" s="13">
        <f t="shared" si="610"/>
        <v>20.314849236895604</v>
      </c>
      <c r="AY403" s="13">
        <v>924.541787</v>
      </c>
      <c r="AZ403" s="13">
        <f t="shared" si="611"/>
        <v>1.0556064516129169</v>
      </c>
      <c r="BA403" s="13">
        <f t="shared" si="612"/>
        <v>1.8706628598785997</v>
      </c>
      <c r="BB403" s="97">
        <f t="shared" si="613"/>
        <v>-1.9995030967742053</v>
      </c>
      <c r="BC403" s="499"/>
      <c r="BD403" s="499">
        <v>33.35</v>
      </c>
      <c r="BE403" s="499">
        <v>26.728808467741935</v>
      </c>
      <c r="BF403" s="499">
        <v>19.927521370967746</v>
      </c>
      <c r="BG403" s="499">
        <v>26.384402496680405</v>
      </c>
      <c r="BI403" s="499">
        <f t="shared" ref="BI403:BJ403" si="625">AS406</f>
        <v>338</v>
      </c>
      <c r="BJ403" s="499">
        <f t="shared" si="625"/>
        <v>11.490011000000001</v>
      </c>
      <c r="BK403" s="5">
        <f t="shared" si="586"/>
        <v>0</v>
      </c>
      <c r="BL403" s="499">
        <f t="shared" si="587"/>
        <v>22.231379</v>
      </c>
      <c r="BM403" s="499">
        <f t="shared" si="588"/>
        <v>678.37897499999997</v>
      </c>
      <c r="BO403" s="499">
        <f t="shared" si="589"/>
        <v>338</v>
      </c>
      <c r="BP403" s="499">
        <f t="shared" si="590"/>
        <v>11.490011000000001</v>
      </c>
      <c r="BQ403" s="5">
        <f t="shared" si="583"/>
        <v>0</v>
      </c>
      <c r="BR403" s="499">
        <f t="shared" si="591"/>
        <v>20.858521540322577</v>
      </c>
      <c r="BS403" s="499">
        <f t="shared" si="592"/>
        <v>678.37897499999997</v>
      </c>
      <c r="BU403" s="499">
        <f t="shared" si="593"/>
        <v>338</v>
      </c>
      <c r="BV403" s="499">
        <f t="shared" si="594"/>
        <v>11.490011000000001</v>
      </c>
      <c r="BW403" s="5">
        <f t="shared" si="584"/>
        <v>0</v>
      </c>
      <c r="BX403" s="499">
        <f t="shared" si="595"/>
        <v>22.018838820223916</v>
      </c>
      <c r="BY403" s="499">
        <f t="shared" si="596"/>
        <v>678.37897499999997</v>
      </c>
      <c r="CA403">
        <v>338</v>
      </c>
      <c r="CB403">
        <v>11.490011000000001</v>
      </c>
      <c r="CC403">
        <v>0</v>
      </c>
      <c r="CD403">
        <v>20.177093410000001</v>
      </c>
      <c r="CE403">
        <v>678.37897499999997</v>
      </c>
      <c r="CG403" s="499">
        <f t="shared" si="597"/>
        <v>0</v>
      </c>
      <c r="CH403" s="499">
        <f t="shared" si="598"/>
        <v>0</v>
      </c>
      <c r="CI403" s="499">
        <f t="shared" si="599"/>
        <v>0</v>
      </c>
      <c r="CJ403" s="499">
        <f t="shared" si="600"/>
        <v>0</v>
      </c>
      <c r="CP403" s="499"/>
      <c r="CQ403" s="65">
        <f t="shared" si="602"/>
        <v>0.97479208646164206</v>
      </c>
      <c r="CR403" s="499">
        <f t="shared" si="603"/>
        <v>0.97491012177261549</v>
      </c>
      <c r="CS403" s="499">
        <f t="shared" si="604"/>
        <v>0.97720170188938327</v>
      </c>
      <c r="CT403" s="38">
        <f t="shared" si="605"/>
        <v>1.0001210876787088</v>
      </c>
      <c r="CU403" s="498">
        <f t="shared" si="606"/>
        <v>1.0024719275640488</v>
      </c>
    </row>
    <row r="404" spans="43:99">
      <c r="AQ404" s="499"/>
      <c r="AR404" s="228">
        <v>21.503959999999999</v>
      </c>
      <c r="AS404" s="13">
        <v>222</v>
      </c>
      <c r="AT404" s="13">
        <v>11.443966</v>
      </c>
      <c r="AU404" s="13">
        <f t="shared" si="617"/>
        <v>0</v>
      </c>
      <c r="AV404" s="13">
        <f t="shared" si="608"/>
        <v>22.954017137096773</v>
      </c>
      <c r="AW404" s="13">
        <f t="shared" si="609"/>
        <v>20.850560887096769</v>
      </c>
      <c r="AX404" s="13">
        <f t="shared" si="610"/>
        <v>19.613428114070516</v>
      </c>
      <c r="AY404" s="13">
        <v>497.17684800000001</v>
      </c>
      <c r="AZ404" s="13">
        <f t="shared" si="611"/>
        <v>2.1034562500000042</v>
      </c>
      <c r="BA404" s="13">
        <f t="shared" si="612"/>
        <v>3.3405890230262578</v>
      </c>
      <c r="BB404" s="97">
        <f t="shared" si="613"/>
        <v>-1.4500571370967741</v>
      </c>
      <c r="BC404" s="499"/>
      <c r="BD404" s="499">
        <v>33.15</v>
      </c>
      <c r="BE404" s="499">
        <v>26.797141330645157</v>
      </c>
      <c r="BF404" s="499">
        <v>19.937824193548391</v>
      </c>
      <c r="BG404" s="499">
        <v>26.398366928342487</v>
      </c>
      <c r="BI404" s="499">
        <f t="shared" ref="BI404:BJ404" si="626">AS407</f>
        <v>234</v>
      </c>
      <c r="BJ404" s="499">
        <f t="shared" si="626"/>
        <v>11.502936</v>
      </c>
      <c r="BK404" s="5">
        <f t="shared" si="586"/>
        <v>0</v>
      </c>
      <c r="BL404" s="499">
        <f t="shared" si="587"/>
        <v>20.97822</v>
      </c>
      <c r="BM404" s="499">
        <f t="shared" si="588"/>
        <v>1962.180719</v>
      </c>
      <c r="BO404" s="499">
        <f t="shared" si="589"/>
        <v>234</v>
      </c>
      <c r="BP404" s="499">
        <f t="shared" si="590"/>
        <v>11.502936</v>
      </c>
      <c r="BQ404" s="5">
        <f t="shared" si="583"/>
        <v>0</v>
      </c>
      <c r="BR404" s="499">
        <f t="shared" si="591"/>
        <v>19.156393790322582</v>
      </c>
      <c r="BS404" s="499">
        <f t="shared" si="592"/>
        <v>1962.180719</v>
      </c>
      <c r="BU404" s="499">
        <f t="shared" si="593"/>
        <v>234</v>
      </c>
      <c r="BV404" s="499">
        <f t="shared" si="594"/>
        <v>11.502936</v>
      </c>
      <c r="BW404" s="5">
        <f t="shared" si="584"/>
        <v>0</v>
      </c>
      <c r="BX404" s="499">
        <f t="shared" si="595"/>
        <v>20.577825867121593</v>
      </c>
      <c r="BY404" s="499">
        <f t="shared" si="596"/>
        <v>1962.180719</v>
      </c>
      <c r="CA404">
        <v>234</v>
      </c>
      <c r="CB404">
        <v>11.502936</v>
      </c>
      <c r="CC404">
        <v>0</v>
      </c>
      <c r="CD404">
        <v>19.044833879999999</v>
      </c>
      <c r="CE404">
        <v>1962.180719</v>
      </c>
      <c r="CG404" s="499">
        <f t="shared" si="597"/>
        <v>0</v>
      </c>
      <c r="CH404" s="499">
        <f t="shared" si="598"/>
        <v>0</v>
      </c>
      <c r="CI404" s="499">
        <f t="shared" si="599"/>
        <v>0</v>
      </c>
      <c r="CJ404" s="499">
        <f t="shared" si="600"/>
        <v>0</v>
      </c>
      <c r="CP404" s="499"/>
      <c r="CQ404" s="65">
        <f t="shared" si="602"/>
        <v>0.96462249771620434</v>
      </c>
      <c r="CR404" s="499">
        <f t="shared" si="603"/>
        <v>0.97791648695382305</v>
      </c>
      <c r="CS404" s="499">
        <f t="shared" si="604"/>
        <v>0.96947972578486119</v>
      </c>
      <c r="CT404" s="38">
        <f t="shared" si="605"/>
        <v>1.0137815459095065</v>
      </c>
      <c r="CU404" s="498">
        <f t="shared" si="606"/>
        <v>1.0050353667679912</v>
      </c>
    </row>
    <row r="405" spans="43:99">
      <c r="AQ405" s="499"/>
      <c r="AR405" s="228">
        <v>21.595592</v>
      </c>
      <c r="AS405" s="13">
        <v>50</v>
      </c>
      <c r="AT405" s="13">
        <v>11.456374</v>
      </c>
      <c r="AU405" s="13">
        <f t="shared" si="617"/>
        <v>0</v>
      </c>
      <c r="AV405" s="13">
        <f t="shared" si="608"/>
        <v>21.383497580645169</v>
      </c>
      <c r="AW405" s="13">
        <f t="shared" si="609"/>
        <v>21.368616733870962</v>
      </c>
      <c r="AX405" s="13">
        <f t="shared" si="610"/>
        <v>20.930624587010076</v>
      </c>
      <c r="AY405" s="13">
        <v>998.90715499999999</v>
      </c>
      <c r="AZ405" s="13">
        <f t="shared" si="611"/>
        <v>1.4880846774207868E-2</v>
      </c>
      <c r="BA405" s="13">
        <f t="shared" si="612"/>
        <v>0.45287299363509348</v>
      </c>
      <c r="BB405" s="97">
        <f t="shared" si="613"/>
        <v>0.21209441935483042</v>
      </c>
      <c r="BC405" s="499"/>
      <c r="BD405" s="499">
        <v>32.950000000000003</v>
      </c>
      <c r="BE405" s="499">
        <v>26.858027620967743</v>
      </c>
      <c r="BF405" s="499">
        <v>19.974550000000001</v>
      </c>
      <c r="BG405" s="499">
        <v>26.423872868534794</v>
      </c>
      <c r="BI405" s="499">
        <f t="shared" ref="BI405:BJ405" si="627">AS408</f>
        <v>249</v>
      </c>
      <c r="BJ405" s="499">
        <f t="shared" si="627"/>
        <v>11.555538</v>
      </c>
      <c r="BK405" s="5">
        <f t="shared" si="586"/>
        <v>0</v>
      </c>
      <c r="BL405" s="499">
        <f t="shared" si="587"/>
        <v>20.435846000000002</v>
      </c>
      <c r="BM405" s="499">
        <f t="shared" si="588"/>
        <v>1343.2320500000001</v>
      </c>
      <c r="BO405" s="499">
        <f t="shared" si="589"/>
        <v>249</v>
      </c>
      <c r="BP405" s="499">
        <f t="shared" si="590"/>
        <v>11.555538</v>
      </c>
      <c r="BQ405" s="5">
        <f t="shared" si="583"/>
        <v>0</v>
      </c>
      <c r="BR405" s="499">
        <f t="shared" si="591"/>
        <v>20.309182895161285</v>
      </c>
      <c r="BS405" s="499">
        <f t="shared" si="592"/>
        <v>1343.2320500000001</v>
      </c>
      <c r="BU405" s="499">
        <f t="shared" si="593"/>
        <v>249</v>
      </c>
      <c r="BV405" s="499">
        <f t="shared" si="594"/>
        <v>11.555538</v>
      </c>
      <c r="BW405" s="5">
        <f t="shared" si="584"/>
        <v>0</v>
      </c>
      <c r="BX405" s="499">
        <f t="shared" si="595"/>
        <v>19.435921682001052</v>
      </c>
      <c r="BY405" s="499">
        <f t="shared" si="596"/>
        <v>1343.2320500000001</v>
      </c>
      <c r="CA405">
        <v>249</v>
      </c>
      <c r="CB405">
        <v>11.555538</v>
      </c>
      <c r="CC405">
        <v>0</v>
      </c>
      <c r="CD405">
        <v>19.535846110000001</v>
      </c>
      <c r="CE405">
        <v>1343.2320500000001</v>
      </c>
      <c r="CG405" s="499">
        <f t="shared" si="597"/>
        <v>0</v>
      </c>
      <c r="CH405" s="499">
        <f t="shared" si="598"/>
        <v>0</v>
      </c>
      <c r="CI405" s="499">
        <f t="shared" si="599"/>
        <v>0</v>
      </c>
      <c r="CJ405" s="499">
        <f t="shared" si="600"/>
        <v>0</v>
      </c>
      <c r="CP405" s="499"/>
      <c r="CQ405" s="65">
        <f t="shared" si="602"/>
        <v>0.97766347273992016</v>
      </c>
      <c r="CR405" s="499">
        <f t="shared" si="603"/>
        <v>0.97882790799190122</v>
      </c>
      <c r="CS405" s="499">
        <f t="shared" si="604"/>
        <v>0.97831959877938968</v>
      </c>
      <c r="CT405" s="38">
        <f t="shared" si="605"/>
        <v>1.0011910389254062</v>
      </c>
      <c r="CU405" s="498">
        <f t="shared" si="606"/>
        <v>1.0006711164503577</v>
      </c>
    </row>
    <row r="406" spans="43:99">
      <c r="AQ406" s="499"/>
      <c r="AR406" s="228">
        <v>22.231379</v>
      </c>
      <c r="AS406" s="13">
        <v>338</v>
      </c>
      <c r="AT406" s="13">
        <v>11.490011000000001</v>
      </c>
      <c r="AU406" s="13">
        <f t="shared" si="617"/>
        <v>0</v>
      </c>
      <c r="AV406" s="13">
        <f t="shared" si="608"/>
        <v>22.342458669354841</v>
      </c>
      <c r="AW406" s="13">
        <f t="shared" si="609"/>
        <v>20.969601209677418</v>
      </c>
      <c r="AX406" s="13">
        <f t="shared" si="610"/>
        <v>22.129918489578756</v>
      </c>
      <c r="AY406" s="13">
        <v>678.37897499999997</v>
      </c>
      <c r="AZ406" s="13">
        <f t="shared" si="611"/>
        <v>1.372857459677423</v>
      </c>
      <c r="BA406" s="13">
        <f t="shared" si="612"/>
        <v>0.21254017977608441</v>
      </c>
      <c r="BB406" s="97">
        <f t="shared" si="613"/>
        <v>-0.11107966935484015</v>
      </c>
      <c r="BC406" s="499"/>
      <c r="BD406" s="499">
        <v>32.75</v>
      </c>
      <c r="BE406" s="499">
        <v>26.906495161290319</v>
      </c>
      <c r="BF406" s="499">
        <v>20.022902016129045</v>
      </c>
      <c r="BG406" s="499">
        <v>26.451621113786629</v>
      </c>
      <c r="BI406" s="499">
        <f t="shared" ref="BI406:BJ406" si="628">AS409</f>
        <v>194</v>
      </c>
      <c r="BJ406" s="499">
        <f t="shared" si="628"/>
        <v>11.560043</v>
      </c>
      <c r="BK406" s="5">
        <f t="shared" si="586"/>
        <v>0</v>
      </c>
      <c r="BL406" s="499">
        <f t="shared" si="587"/>
        <v>21.106905999999999</v>
      </c>
      <c r="BM406" s="499">
        <f t="shared" si="588"/>
        <v>396.69090199999999</v>
      </c>
      <c r="BO406" s="499">
        <f t="shared" si="589"/>
        <v>194</v>
      </c>
      <c r="BP406" s="499">
        <f t="shared" si="590"/>
        <v>11.560043</v>
      </c>
      <c r="BQ406" s="5">
        <f t="shared" si="583"/>
        <v>0</v>
      </c>
      <c r="BR406" s="499">
        <f t="shared" si="591"/>
        <v>21.160475556451605</v>
      </c>
      <c r="BS406" s="499">
        <f t="shared" si="592"/>
        <v>396.69090199999999</v>
      </c>
      <c r="BU406" s="499">
        <f t="shared" si="593"/>
        <v>194</v>
      </c>
      <c r="BV406" s="499">
        <f t="shared" si="594"/>
        <v>11.560043</v>
      </c>
      <c r="BW406" s="5">
        <f t="shared" si="584"/>
        <v>0</v>
      </c>
      <c r="BX406" s="499">
        <f t="shared" si="595"/>
        <v>20.658170379866924</v>
      </c>
      <c r="BY406" s="499">
        <f t="shared" si="596"/>
        <v>396.69090199999999</v>
      </c>
      <c r="CA406">
        <v>194</v>
      </c>
      <c r="CB406">
        <v>11.560043</v>
      </c>
      <c r="CC406">
        <v>0</v>
      </c>
      <c r="CD406">
        <v>20.121034550000001</v>
      </c>
      <c r="CE406">
        <v>396.69090199999999</v>
      </c>
      <c r="CG406" s="499">
        <f t="shared" si="597"/>
        <v>0</v>
      </c>
      <c r="CH406" s="499">
        <f t="shared" si="598"/>
        <v>0</v>
      </c>
      <c r="CI406" s="499">
        <f t="shared" si="599"/>
        <v>0</v>
      </c>
      <c r="CJ406" s="499">
        <f t="shared" si="600"/>
        <v>0</v>
      </c>
      <c r="CP406" s="499"/>
      <c r="CQ406" s="65">
        <f t="shared" si="602"/>
        <v>0.97845237416391906</v>
      </c>
      <c r="CR406" s="499">
        <f t="shared" si="603"/>
        <v>0.97854303951164956</v>
      </c>
      <c r="CS406" s="499">
        <f t="shared" si="604"/>
        <v>0.97880407715954276</v>
      </c>
      <c r="CT406" s="38">
        <f t="shared" si="605"/>
        <v>1.0000926619937001</v>
      </c>
      <c r="CU406" s="498">
        <f t="shared" si="606"/>
        <v>1.0003594482520666</v>
      </c>
    </row>
    <row r="407" spans="43:99">
      <c r="AQ407" s="499"/>
      <c r="AR407" s="228">
        <v>20.97822</v>
      </c>
      <c r="AS407" s="13">
        <v>234</v>
      </c>
      <c r="AT407" s="13">
        <v>11.502936</v>
      </c>
      <c r="AU407" s="13">
        <f t="shared" si="617"/>
        <v>0</v>
      </c>
      <c r="AV407" s="13">
        <f t="shared" si="608"/>
        <v>22.738184879032257</v>
      </c>
      <c r="AW407" s="13">
        <f t="shared" si="609"/>
        <v>20.916358669354839</v>
      </c>
      <c r="AX407" s="13">
        <f t="shared" si="610"/>
        <v>22.33779074615385</v>
      </c>
      <c r="AY407" s="13">
        <v>1962.180719</v>
      </c>
      <c r="AZ407" s="13">
        <f t="shared" si="611"/>
        <v>1.8218262096774183</v>
      </c>
      <c r="BA407" s="13">
        <f t="shared" si="612"/>
        <v>0.40039413287840731</v>
      </c>
      <c r="BB407" s="97">
        <f t="shared" si="613"/>
        <v>-1.7599648790322568</v>
      </c>
      <c r="BC407" s="499"/>
      <c r="BD407" s="499">
        <v>32.549999999999997</v>
      </c>
      <c r="BE407" s="499">
        <v>26.958143951612893</v>
      </c>
      <c r="BF407" s="499">
        <v>20.052904637096777</v>
      </c>
      <c r="BG407" s="499">
        <v>26.487013985824181</v>
      </c>
      <c r="BI407" s="499">
        <f t="shared" ref="BI407:BJ407" si="629">AS410</f>
        <v>120</v>
      </c>
      <c r="BJ407" s="499">
        <f t="shared" si="629"/>
        <v>11.603184000000001</v>
      </c>
      <c r="BK407" s="5">
        <f t="shared" si="586"/>
        <v>0</v>
      </c>
      <c r="BL407" s="499">
        <f t="shared" si="587"/>
        <v>19.727077000000001</v>
      </c>
      <c r="BM407" s="499">
        <f t="shared" si="588"/>
        <v>787.30150300000003</v>
      </c>
      <c r="BO407" s="499">
        <f t="shared" si="589"/>
        <v>120</v>
      </c>
      <c r="BP407" s="499">
        <f t="shared" si="590"/>
        <v>11.603184000000001</v>
      </c>
      <c r="BQ407" s="5">
        <f t="shared" si="583"/>
        <v>0</v>
      </c>
      <c r="BR407" s="499">
        <f t="shared" si="591"/>
        <v>18.168883451612899</v>
      </c>
      <c r="BS407" s="499">
        <f t="shared" si="592"/>
        <v>787.30150300000003</v>
      </c>
      <c r="BU407" s="499">
        <f t="shared" si="593"/>
        <v>120</v>
      </c>
      <c r="BV407" s="499">
        <f t="shared" si="594"/>
        <v>11.603184000000001</v>
      </c>
      <c r="BW407" s="5">
        <f t="shared" si="584"/>
        <v>0</v>
      </c>
      <c r="BX407" s="499">
        <f t="shared" si="595"/>
        <v>16.993647633676296</v>
      </c>
      <c r="BY407" s="499">
        <f t="shared" si="596"/>
        <v>787.30150300000003</v>
      </c>
      <c r="CA407">
        <v>120</v>
      </c>
      <c r="CB407">
        <v>11.603184000000001</v>
      </c>
      <c r="CC407">
        <v>0</v>
      </c>
      <c r="CD407">
        <v>17.48567723</v>
      </c>
      <c r="CE407">
        <v>787.30150300000003</v>
      </c>
      <c r="CG407" s="499">
        <f t="shared" si="597"/>
        <v>0</v>
      </c>
      <c r="CH407" s="499">
        <f t="shared" si="598"/>
        <v>0</v>
      </c>
      <c r="CI407" s="499">
        <f t="shared" si="599"/>
        <v>0</v>
      </c>
      <c r="CJ407" s="499">
        <f t="shared" si="600"/>
        <v>0</v>
      </c>
      <c r="CP407" s="499"/>
      <c r="CQ407" s="65">
        <f t="shared" si="602"/>
        <v>0.97731542031314478</v>
      </c>
      <c r="CR407" s="499">
        <f t="shared" si="603"/>
        <v>0.97714225693315104</v>
      </c>
      <c r="CS407" s="499">
        <f t="shared" si="604"/>
        <v>0.97822612501740569</v>
      </c>
      <c r="CT407" s="38">
        <f t="shared" si="605"/>
        <v>0.99982281730504341</v>
      </c>
      <c r="CU407" s="498">
        <f t="shared" si="606"/>
        <v>1.0009318431750203</v>
      </c>
    </row>
    <row r="408" spans="43:99">
      <c r="AQ408" s="499"/>
      <c r="AR408" s="228">
        <v>20.435846000000002</v>
      </c>
      <c r="AS408" s="13">
        <v>249</v>
      </c>
      <c r="AT408" s="13">
        <v>11.555538</v>
      </c>
      <c r="AU408" s="13">
        <f t="shared" si="617"/>
        <v>0</v>
      </c>
      <c r="AV408" s="13">
        <f t="shared" si="608"/>
        <v>21.751736693548395</v>
      </c>
      <c r="AW408" s="13">
        <f t="shared" si="609"/>
        <v>21.625073588709679</v>
      </c>
      <c r="AX408" s="13">
        <f t="shared" si="610"/>
        <v>20.751812375549445</v>
      </c>
      <c r="AY408" s="13">
        <v>1343.2320500000001</v>
      </c>
      <c r="AZ408" s="13">
        <f t="shared" si="611"/>
        <v>0.12666310483871612</v>
      </c>
      <c r="BA408" s="13">
        <f t="shared" si="612"/>
        <v>0.99992431799894987</v>
      </c>
      <c r="BB408" s="97">
        <f t="shared" si="613"/>
        <v>-1.3158906935483934</v>
      </c>
      <c r="BC408" s="499"/>
      <c r="BD408" s="499">
        <v>32.35</v>
      </c>
      <c r="BE408" s="499">
        <v>26.999634677419348</v>
      </c>
      <c r="BF408" s="499">
        <v>20.089782862903228</v>
      </c>
      <c r="BG408" s="499">
        <v>26.522281023768311</v>
      </c>
      <c r="BI408" s="499">
        <f t="shared" ref="BI408:BJ408" si="630">AS411</f>
        <v>451</v>
      </c>
      <c r="BJ408" s="499">
        <f t="shared" si="630"/>
        <v>11.611447</v>
      </c>
      <c r="BK408" s="5">
        <f t="shared" si="586"/>
        <v>0</v>
      </c>
      <c r="BL408" s="499">
        <f t="shared" si="587"/>
        <v>20.335743999999998</v>
      </c>
      <c r="BM408" s="499">
        <f t="shared" si="588"/>
        <v>437.63851499999998</v>
      </c>
      <c r="BO408" s="499">
        <f t="shared" si="589"/>
        <v>451</v>
      </c>
      <c r="BP408" s="499">
        <f t="shared" si="590"/>
        <v>11.611447</v>
      </c>
      <c r="BQ408" s="5">
        <f t="shared" si="583"/>
        <v>0</v>
      </c>
      <c r="BR408" s="499">
        <f t="shared" si="591"/>
        <v>19.624370008064517</v>
      </c>
      <c r="BS408" s="499">
        <f t="shared" si="592"/>
        <v>437.63851499999998</v>
      </c>
      <c r="BU408" s="499">
        <f t="shared" si="593"/>
        <v>451</v>
      </c>
      <c r="BV408" s="499">
        <f t="shared" si="594"/>
        <v>11.611447</v>
      </c>
      <c r="BW408" s="5">
        <f t="shared" si="584"/>
        <v>0</v>
      </c>
      <c r="BX408" s="499">
        <f t="shared" si="595"/>
        <v>18.785677742235315</v>
      </c>
      <c r="BY408" s="499">
        <f t="shared" si="596"/>
        <v>437.63851499999998</v>
      </c>
      <c r="CA408">
        <v>451</v>
      </c>
      <c r="CB408">
        <v>11.611447</v>
      </c>
      <c r="CC408">
        <v>0</v>
      </c>
      <c r="CD408">
        <v>18.986258599999999</v>
      </c>
      <c r="CE408">
        <v>437.63851499999998</v>
      </c>
      <c r="CG408" s="499">
        <f t="shared" si="597"/>
        <v>0</v>
      </c>
      <c r="CH408" s="499">
        <f t="shared" si="598"/>
        <v>0</v>
      </c>
      <c r="CI408" s="499">
        <f t="shared" si="599"/>
        <v>0</v>
      </c>
      <c r="CJ408" s="499">
        <f t="shared" si="600"/>
        <v>0</v>
      </c>
      <c r="CP408" s="499"/>
      <c r="CQ408" s="65">
        <f t="shared" si="602"/>
        <v>0.97876027456852288</v>
      </c>
      <c r="CR408" s="499">
        <f t="shared" si="603"/>
        <v>0.97885548879546647</v>
      </c>
      <c r="CS408" s="499">
        <f t="shared" si="604"/>
        <v>0.97885956329260182</v>
      </c>
      <c r="CT408" s="38">
        <f t="shared" si="605"/>
        <v>1.0000972804367092</v>
      </c>
      <c r="CU408" s="498">
        <f t="shared" si="606"/>
        <v>1.0001014433530444</v>
      </c>
    </row>
    <row r="409" spans="43:99">
      <c r="AQ409" s="499"/>
      <c r="AR409" s="228">
        <v>21.106905999999999</v>
      </c>
      <c r="AS409" s="13">
        <v>194</v>
      </c>
      <c r="AT409" s="13">
        <v>11.560043</v>
      </c>
      <c r="AU409" s="13">
        <f t="shared" si="617"/>
        <v>0</v>
      </c>
      <c r="AV409" s="13">
        <f t="shared" si="608"/>
        <v>21.243389112903227</v>
      </c>
      <c r="AW409" s="13">
        <f t="shared" si="609"/>
        <v>21.296958669354833</v>
      </c>
      <c r="AX409" s="13">
        <f t="shared" si="610"/>
        <v>20.794653492770152</v>
      </c>
      <c r="AY409" s="13">
        <v>396.69090199999999</v>
      </c>
      <c r="AZ409" s="13">
        <f t="shared" si="611"/>
        <v>-5.3569556451606104E-2</v>
      </c>
      <c r="BA409" s="13">
        <f t="shared" si="612"/>
        <v>0.44873562013307478</v>
      </c>
      <c r="BB409" s="97">
        <f t="shared" si="613"/>
        <v>-0.13648311290322823</v>
      </c>
      <c r="BC409" s="499"/>
      <c r="BD409" s="499">
        <v>32.15</v>
      </c>
      <c r="BE409" s="499">
        <v>27.035009475806454</v>
      </c>
      <c r="BF409" s="499">
        <v>20.095424596774205</v>
      </c>
      <c r="BG409" s="499">
        <v>26.562150555622708</v>
      </c>
      <c r="BI409" s="499">
        <f t="shared" ref="BI409:BJ409" si="631">AS412</f>
        <v>293</v>
      </c>
      <c r="BJ409" s="499">
        <f t="shared" si="631"/>
        <v>11.628873</v>
      </c>
      <c r="BK409" s="5">
        <f t="shared" si="586"/>
        <v>0</v>
      </c>
      <c r="BL409" s="499">
        <f t="shared" si="587"/>
        <v>20.164985000000001</v>
      </c>
      <c r="BM409" s="499">
        <f t="shared" si="588"/>
        <v>1272.6709840000001</v>
      </c>
      <c r="BO409" s="499">
        <f t="shared" si="589"/>
        <v>293</v>
      </c>
      <c r="BP409" s="499">
        <f t="shared" si="590"/>
        <v>11.628873</v>
      </c>
      <c r="BQ409" s="5">
        <f t="shared" si="583"/>
        <v>0</v>
      </c>
      <c r="BR409" s="499">
        <f t="shared" si="591"/>
        <v>20.164985000000001</v>
      </c>
      <c r="BS409" s="499">
        <f t="shared" si="592"/>
        <v>1272.6709840000001</v>
      </c>
      <c r="BU409" s="499">
        <f t="shared" si="593"/>
        <v>293</v>
      </c>
      <c r="BV409" s="499">
        <f t="shared" si="594"/>
        <v>11.628873</v>
      </c>
      <c r="BW409" s="5">
        <f t="shared" si="584"/>
        <v>0</v>
      </c>
      <c r="BX409" s="499">
        <f t="shared" si="595"/>
        <v>20.164985000000001</v>
      </c>
      <c r="BY409" s="499">
        <f t="shared" si="596"/>
        <v>1272.6709840000001</v>
      </c>
      <c r="CA409">
        <v>293</v>
      </c>
      <c r="CB409">
        <v>11.628873</v>
      </c>
      <c r="CC409">
        <v>0</v>
      </c>
      <c r="CD409">
        <v>20.164985000000001</v>
      </c>
      <c r="CE409">
        <v>1272.6709840000001</v>
      </c>
      <c r="CG409" s="499">
        <f t="shared" si="597"/>
        <v>0</v>
      </c>
      <c r="CH409" s="499">
        <f t="shared" si="598"/>
        <v>0</v>
      </c>
      <c r="CI409" s="499">
        <f t="shared" si="599"/>
        <v>0</v>
      </c>
      <c r="CJ409" s="499">
        <f t="shared" si="600"/>
        <v>0</v>
      </c>
      <c r="CP409" s="499"/>
      <c r="CQ409" s="65">
        <f t="shared" si="602"/>
        <v>0.9785258688841677</v>
      </c>
      <c r="CR409" s="499">
        <f t="shared" si="603"/>
        <v>0.97877868159375536</v>
      </c>
      <c r="CS409" s="499">
        <f t="shared" si="604"/>
        <v>0.97884463559623358</v>
      </c>
      <c r="CT409" s="38">
        <f t="shared" si="605"/>
        <v>1.0002583607829152</v>
      </c>
      <c r="CU409" s="498">
        <f t="shared" si="606"/>
        <v>1.0003257621716526</v>
      </c>
    </row>
    <row r="410" spans="43:99">
      <c r="AQ410" s="499"/>
      <c r="AR410" s="228">
        <v>19.727077000000001</v>
      </c>
      <c r="AS410" s="13">
        <v>120</v>
      </c>
      <c r="AT410" s="13">
        <v>11.603184000000001</v>
      </c>
      <c r="AU410" s="13">
        <f t="shared" si="617"/>
        <v>0</v>
      </c>
      <c r="AV410" s="13">
        <f t="shared" si="608"/>
        <v>22.284402419354844</v>
      </c>
      <c r="AW410" s="13">
        <f t="shared" si="609"/>
        <v>20.726208870967742</v>
      </c>
      <c r="AX410" s="13">
        <f t="shared" si="610"/>
        <v>19.550973053031139</v>
      </c>
      <c r="AY410" s="13">
        <v>787.30150300000003</v>
      </c>
      <c r="AZ410" s="13">
        <f t="shared" si="611"/>
        <v>1.5581935483871021</v>
      </c>
      <c r="BA410" s="13">
        <f t="shared" si="612"/>
        <v>2.7334293663237048</v>
      </c>
      <c r="BB410" s="97">
        <f t="shared" si="613"/>
        <v>-2.5573254193548429</v>
      </c>
      <c r="BC410" s="499"/>
      <c r="BD410" s="499">
        <v>31.95</v>
      </c>
      <c r="BE410" s="499">
        <v>27.06637157258066</v>
      </c>
      <c r="BF410" s="499">
        <v>20.164625806451618</v>
      </c>
      <c r="BG410" s="499">
        <v>26.610512106817776</v>
      </c>
      <c r="BI410" s="499">
        <f t="shared" ref="BI410:BJ410" si="632">AS413</f>
        <v>336</v>
      </c>
      <c r="BJ410" s="499">
        <f t="shared" si="632"/>
        <v>11.655282</v>
      </c>
      <c r="BK410" s="5">
        <f t="shared" si="586"/>
        <v>0</v>
      </c>
      <c r="BL410" s="499">
        <f t="shared" si="587"/>
        <v>21.436083</v>
      </c>
      <c r="BM410" s="499">
        <f t="shared" si="588"/>
        <v>691.19887700000004</v>
      </c>
      <c r="BO410" s="499">
        <f t="shared" si="589"/>
        <v>336</v>
      </c>
      <c r="BP410" s="499">
        <f t="shared" si="590"/>
        <v>11.655282</v>
      </c>
      <c r="BQ410" s="5">
        <f t="shared" si="583"/>
        <v>0</v>
      </c>
      <c r="BR410" s="499">
        <f t="shared" si="591"/>
        <v>21.373300540322589</v>
      </c>
      <c r="BS410" s="499">
        <f t="shared" si="592"/>
        <v>691.19887700000004</v>
      </c>
      <c r="BU410" s="499">
        <f t="shared" si="593"/>
        <v>336</v>
      </c>
      <c r="BV410" s="499">
        <f t="shared" si="594"/>
        <v>11.655282</v>
      </c>
      <c r="BW410" s="5">
        <f t="shared" si="584"/>
        <v>0</v>
      </c>
      <c r="BX410" s="499">
        <f t="shared" si="595"/>
        <v>20.774719175976617</v>
      </c>
      <c r="BY410" s="499">
        <f t="shared" si="596"/>
        <v>691.19887700000004</v>
      </c>
      <c r="CA410">
        <v>336</v>
      </c>
      <c r="CB410">
        <v>11.655282</v>
      </c>
      <c r="CC410">
        <v>0</v>
      </c>
      <c r="CD410">
        <v>20.759368779999999</v>
      </c>
      <c r="CE410">
        <v>691.19887700000004</v>
      </c>
      <c r="CG410" s="499">
        <f t="shared" si="597"/>
        <v>0</v>
      </c>
      <c r="CH410" s="499">
        <f t="shared" si="598"/>
        <v>0</v>
      </c>
      <c r="CI410" s="499">
        <f t="shared" si="599"/>
        <v>0</v>
      </c>
      <c r="CJ410" s="499">
        <f t="shared" si="600"/>
        <v>0</v>
      </c>
      <c r="CP410" s="499"/>
      <c r="CQ410" s="65">
        <f t="shared" si="602"/>
        <v>0.97862198042122406</v>
      </c>
      <c r="CR410" s="499">
        <f t="shared" si="603"/>
        <v>0.97862198042122406</v>
      </c>
      <c r="CS410" s="499">
        <f t="shared" si="604"/>
        <v>0.97862198042122406</v>
      </c>
      <c r="CT410" s="38">
        <f t="shared" si="605"/>
        <v>1</v>
      </c>
      <c r="CU410" s="498">
        <f t="shared" si="606"/>
        <v>1</v>
      </c>
    </row>
    <row r="411" spans="43:99">
      <c r="AQ411" s="499"/>
      <c r="AR411" s="228">
        <v>20.335743999999998</v>
      </c>
      <c r="AS411" s="13">
        <v>451</v>
      </c>
      <c r="AT411" s="13">
        <v>11.611447</v>
      </c>
      <c r="AU411" s="13">
        <f t="shared" si="617"/>
        <v>0</v>
      </c>
      <c r="AV411" s="13">
        <f t="shared" si="608"/>
        <v>22.306470161290324</v>
      </c>
      <c r="AW411" s="13">
        <f t="shared" si="609"/>
        <v>21.595096169354843</v>
      </c>
      <c r="AX411" s="13">
        <f t="shared" si="610"/>
        <v>20.756403903525641</v>
      </c>
      <c r="AY411" s="13">
        <v>437.63851499999998</v>
      </c>
      <c r="AZ411" s="13">
        <f t="shared" si="611"/>
        <v>0.71137399193548134</v>
      </c>
      <c r="BA411" s="13">
        <f t="shared" si="612"/>
        <v>1.5500662577646835</v>
      </c>
      <c r="BB411" s="97">
        <f t="shared" si="613"/>
        <v>-1.970726161290326</v>
      </c>
      <c r="BC411" s="499"/>
      <c r="BD411" s="499">
        <v>31.75</v>
      </c>
      <c r="BE411" s="499">
        <v>27.090351008064516</v>
      </c>
      <c r="BF411" s="499">
        <v>20.163450000000008</v>
      </c>
      <c r="BG411" s="499">
        <v>26.658608510865392</v>
      </c>
      <c r="BI411" s="499">
        <f t="shared" ref="BI411:BJ411" si="633">AS414</f>
        <v>218</v>
      </c>
      <c r="BJ411" s="499">
        <f t="shared" si="633"/>
        <v>11.72232</v>
      </c>
      <c r="BK411" s="5">
        <f t="shared" si="586"/>
        <v>0</v>
      </c>
      <c r="BL411" s="499">
        <f t="shared" si="587"/>
        <v>22.231379</v>
      </c>
      <c r="BM411" s="499">
        <f t="shared" si="588"/>
        <v>923.22034900000006</v>
      </c>
      <c r="BO411" s="499">
        <f t="shared" si="589"/>
        <v>218</v>
      </c>
      <c r="BP411" s="499">
        <f t="shared" si="590"/>
        <v>11.72232</v>
      </c>
      <c r="BQ411" s="5">
        <f t="shared" si="583"/>
        <v>0</v>
      </c>
      <c r="BR411" s="499">
        <f t="shared" si="591"/>
        <v>22.299096137096768</v>
      </c>
      <c r="BS411" s="499">
        <f t="shared" si="592"/>
        <v>923.22034900000006</v>
      </c>
      <c r="BU411" s="499">
        <f t="shared" si="593"/>
        <v>218</v>
      </c>
      <c r="BV411" s="499">
        <f t="shared" si="594"/>
        <v>11.72232</v>
      </c>
      <c r="BW411" s="5">
        <f t="shared" si="584"/>
        <v>0</v>
      </c>
      <c r="BX411" s="499">
        <f t="shared" si="595"/>
        <v>21.973907383371881</v>
      </c>
      <c r="BY411" s="499">
        <f t="shared" si="596"/>
        <v>923.22034900000006</v>
      </c>
      <c r="CA411">
        <v>218</v>
      </c>
      <c r="CB411">
        <v>11.72232</v>
      </c>
      <c r="CC411">
        <v>0</v>
      </c>
      <c r="CD411">
        <v>21.13685053</v>
      </c>
      <c r="CE411">
        <v>923.22034900000006</v>
      </c>
      <c r="CG411" s="499">
        <f t="shared" si="597"/>
        <v>0</v>
      </c>
      <c r="CH411" s="499">
        <f t="shared" si="598"/>
        <v>0</v>
      </c>
      <c r="CI411" s="499">
        <f t="shared" si="599"/>
        <v>0</v>
      </c>
      <c r="CJ411" s="499">
        <f t="shared" si="600"/>
        <v>0</v>
      </c>
      <c r="CP411" s="499"/>
      <c r="CQ411" s="65">
        <f t="shared" si="602"/>
        <v>0.97589364672244527</v>
      </c>
      <c r="CR411" s="499">
        <f t="shared" si="603"/>
        <v>0.97624059504262317</v>
      </c>
      <c r="CS411" s="499">
        <f t="shared" si="604"/>
        <v>0.97806108683840154</v>
      </c>
      <c r="CT411" s="38">
        <f t="shared" si="605"/>
        <v>1.0003555185765818</v>
      </c>
      <c r="CU411" s="498">
        <f t="shared" si="606"/>
        <v>1.0022209798406165</v>
      </c>
    </row>
    <row r="412" spans="43:99">
      <c r="AQ412" s="499"/>
      <c r="AR412" s="228">
        <v>20.164985000000001</v>
      </c>
      <c r="AS412" s="13">
        <v>293</v>
      </c>
      <c r="AT412" s="13">
        <v>11.628873</v>
      </c>
      <c r="AU412" s="13">
        <f t="shared" si="617"/>
        <v>0</v>
      </c>
      <c r="AV412" s="13">
        <f t="shared" si="608"/>
        <v>0</v>
      </c>
      <c r="AW412" s="13">
        <f t="shared" si="609"/>
        <v>0</v>
      </c>
      <c r="AX412" s="13">
        <f t="shared" si="610"/>
        <v>0</v>
      </c>
      <c r="AY412" s="13">
        <v>1272.6709840000001</v>
      </c>
      <c r="AZ412" s="13">
        <f t="shared" si="611"/>
        <v>0</v>
      </c>
      <c r="BA412" s="13">
        <f t="shared" si="612"/>
        <v>0</v>
      </c>
      <c r="BB412" s="97">
        <f t="shared" si="613"/>
        <v>0</v>
      </c>
      <c r="BC412" s="499"/>
      <c r="BD412" s="499">
        <v>31.55</v>
      </c>
      <c r="BE412" s="499">
        <v>27.110317741935486</v>
      </c>
      <c r="BF412" s="499">
        <v>20.153948790322573</v>
      </c>
      <c r="BG412" s="499">
        <v>26.705552989230764</v>
      </c>
      <c r="BI412" s="499">
        <f t="shared" ref="BI412:BJ412" si="634">AS415</f>
        <v>397</v>
      </c>
      <c r="BJ412" s="499">
        <f t="shared" si="634"/>
        <v>11.786702999999999</v>
      </c>
      <c r="BK412" s="5">
        <f t="shared" si="586"/>
        <v>0</v>
      </c>
      <c r="BL412" s="499">
        <f t="shared" si="587"/>
        <v>21.157041</v>
      </c>
      <c r="BM412" s="499">
        <f t="shared" si="588"/>
        <v>975.91880500000002</v>
      </c>
      <c r="BO412" s="499">
        <f t="shared" si="589"/>
        <v>397</v>
      </c>
      <c r="BP412" s="499">
        <f t="shared" si="590"/>
        <v>11.786702999999999</v>
      </c>
      <c r="BQ412" s="5">
        <f t="shared" si="583"/>
        <v>0</v>
      </c>
      <c r="BR412" s="499">
        <f t="shared" si="591"/>
        <v>18.991401483870977</v>
      </c>
      <c r="BS412" s="499">
        <f t="shared" si="592"/>
        <v>975.91880500000002</v>
      </c>
      <c r="BU412" s="499">
        <f t="shared" si="593"/>
        <v>397</v>
      </c>
      <c r="BV412" s="499">
        <f t="shared" si="594"/>
        <v>11.786702999999999</v>
      </c>
      <c r="BW412" s="5">
        <f t="shared" si="584"/>
        <v>0</v>
      </c>
      <c r="BX412" s="499">
        <f t="shared" si="595"/>
        <v>20.511002163565522</v>
      </c>
      <c r="BY412" s="499">
        <f t="shared" si="596"/>
        <v>975.91880500000002</v>
      </c>
      <c r="CA412">
        <v>397</v>
      </c>
      <c r="CB412">
        <v>11.786702999999999</v>
      </c>
      <c r="CC412">
        <v>0</v>
      </c>
      <c r="CD412">
        <v>19.199513020000001</v>
      </c>
      <c r="CE412">
        <v>975.91880500000002</v>
      </c>
      <c r="CG412" s="499">
        <f t="shared" si="597"/>
        <v>0</v>
      </c>
      <c r="CH412" s="499">
        <f t="shared" si="598"/>
        <v>0</v>
      </c>
      <c r="CI412" s="499">
        <f t="shared" si="599"/>
        <v>0</v>
      </c>
      <c r="CJ412" s="499">
        <f t="shared" si="600"/>
        <v>0</v>
      </c>
      <c r="CP412" s="499"/>
      <c r="CQ412" s="65">
        <f t="shared" si="602"/>
        <v>0.96462249771620434</v>
      </c>
      <c r="CR412" s="499">
        <f t="shared" si="603"/>
        <v>0.96260609454711887</v>
      </c>
      <c r="CS412" s="499">
        <f t="shared" si="604"/>
        <v>0.97027381869731211</v>
      </c>
      <c r="CT412" s="38">
        <f t="shared" si="605"/>
        <v>0.99790964530284187</v>
      </c>
      <c r="CU412" s="498">
        <f t="shared" si="606"/>
        <v>1.0058585830151043</v>
      </c>
    </row>
    <row r="413" spans="43:99">
      <c r="AQ413" s="499"/>
      <c r="AR413" s="228">
        <v>21.436083</v>
      </c>
      <c r="AS413" s="13">
        <v>336</v>
      </c>
      <c r="AT413" s="13">
        <v>11.655282</v>
      </c>
      <c r="AU413" s="13">
        <f t="shared" si="617"/>
        <v>0</v>
      </c>
      <c r="AV413" s="13">
        <f t="shared" si="608"/>
        <v>21.557761491935473</v>
      </c>
      <c r="AW413" s="13">
        <f t="shared" si="609"/>
        <v>21.494979032258062</v>
      </c>
      <c r="AX413" s="13">
        <f t="shared" si="610"/>
        <v>20.89639766791209</v>
      </c>
      <c r="AY413" s="13">
        <v>691.19887700000004</v>
      </c>
      <c r="AZ413" s="13">
        <f t="shared" si="611"/>
        <v>6.278245967741114E-2</v>
      </c>
      <c r="BA413" s="13">
        <f t="shared" si="612"/>
        <v>0.66136382402338256</v>
      </c>
      <c r="BB413" s="97">
        <f t="shared" si="613"/>
        <v>-0.12167849193547298</v>
      </c>
      <c r="BC413" s="499"/>
      <c r="BD413" s="499">
        <v>31.35</v>
      </c>
      <c r="BE413" s="499">
        <v>27.115176411290324</v>
      </c>
      <c r="BF413" s="499">
        <v>20.135279233870968</v>
      </c>
      <c r="BG413" s="499">
        <v>26.747024141446889</v>
      </c>
      <c r="BI413" s="499">
        <f t="shared" ref="BI413:BJ413" si="635">AS416</f>
        <v>3</v>
      </c>
      <c r="BJ413" s="499">
        <f t="shared" si="635"/>
        <v>11.809689000000001</v>
      </c>
      <c r="BK413" s="5">
        <f t="shared" si="586"/>
        <v>0</v>
      </c>
      <c r="BL413" s="499">
        <f t="shared" si="587"/>
        <v>21.881260000000001</v>
      </c>
      <c r="BM413" s="499">
        <f t="shared" si="588"/>
        <v>995.70369600000004</v>
      </c>
      <c r="BO413" s="499">
        <f t="shared" si="589"/>
        <v>3</v>
      </c>
      <c r="BP413" s="499">
        <f t="shared" si="590"/>
        <v>11.809689000000001</v>
      </c>
      <c r="BQ413" s="5">
        <f t="shared" si="583"/>
        <v>0</v>
      </c>
      <c r="BR413" s="499">
        <f t="shared" si="591"/>
        <v>21.262586612903235</v>
      </c>
      <c r="BS413" s="499">
        <f t="shared" si="592"/>
        <v>995.70369600000004</v>
      </c>
      <c r="BU413" s="499">
        <f t="shared" si="593"/>
        <v>3</v>
      </c>
      <c r="BV413" s="499">
        <f t="shared" si="594"/>
        <v>11.809689000000001</v>
      </c>
      <c r="BW413" s="5">
        <f t="shared" si="584"/>
        <v>0</v>
      </c>
      <c r="BX413" s="499">
        <f t="shared" si="595"/>
        <v>21.808842614813017</v>
      </c>
      <c r="BY413" s="499">
        <f t="shared" si="596"/>
        <v>995.70369600000004</v>
      </c>
      <c r="CA413">
        <v>3</v>
      </c>
      <c r="CB413">
        <v>11.809689000000001</v>
      </c>
      <c r="CC413">
        <v>0</v>
      </c>
      <c r="CD413">
        <v>20.14561716</v>
      </c>
      <c r="CE413">
        <v>995.70369600000004</v>
      </c>
      <c r="CG413" s="499">
        <f t="shared" si="597"/>
        <v>0</v>
      </c>
      <c r="CH413" s="499">
        <f t="shared" si="598"/>
        <v>0</v>
      </c>
      <c r="CI413" s="499">
        <f t="shared" si="599"/>
        <v>0</v>
      </c>
      <c r="CJ413" s="499">
        <f t="shared" si="600"/>
        <v>0</v>
      </c>
      <c r="CP413" s="499"/>
      <c r="CQ413" s="65">
        <f t="shared" si="602"/>
        <v>0.97715391867283685</v>
      </c>
      <c r="CR413" s="499">
        <f t="shared" si="603"/>
        <v>0.9788368777536478</v>
      </c>
      <c r="CS413" s="499">
        <f t="shared" si="604"/>
        <v>0.97838675681430909</v>
      </c>
      <c r="CT413" s="38">
        <f t="shared" si="605"/>
        <v>1.0017223070476928</v>
      </c>
      <c r="CU413" s="498">
        <f t="shared" si="606"/>
        <v>1.0012616621782029</v>
      </c>
    </row>
    <row r="414" spans="43:99">
      <c r="AQ414" s="499"/>
      <c r="AR414" s="228">
        <v>22.231379</v>
      </c>
      <c r="AS414" s="13">
        <v>218</v>
      </c>
      <c r="AT414" s="13">
        <v>11.72232</v>
      </c>
      <c r="AU414" s="13">
        <f t="shared" si="617"/>
        <v>0</v>
      </c>
      <c r="AV414" s="13">
        <f t="shared" si="608"/>
        <v>21.119070766129038</v>
      </c>
      <c r="AW414" s="13">
        <f t="shared" si="609"/>
        <v>21.186787903225806</v>
      </c>
      <c r="AX414" s="13">
        <f t="shared" si="610"/>
        <v>20.861599149500918</v>
      </c>
      <c r="AY414" s="13">
        <v>923.22034900000006</v>
      </c>
      <c r="AZ414" s="13">
        <f t="shared" si="611"/>
        <v>-6.7717137096767743E-2</v>
      </c>
      <c r="BA414" s="13">
        <f t="shared" si="612"/>
        <v>0.2574716166281199</v>
      </c>
      <c r="BB414" s="97">
        <f t="shared" si="613"/>
        <v>1.1123082338709622</v>
      </c>
      <c r="BC414" s="499"/>
      <c r="BD414" s="499">
        <v>31.15</v>
      </c>
      <c r="BE414" s="499">
        <v>27.090938306451608</v>
      </c>
      <c r="BF414" s="499">
        <v>20.183552419354832</v>
      </c>
      <c r="BG414" s="499">
        <v>26.767802347623626</v>
      </c>
      <c r="BI414" s="499">
        <f t="shared" ref="BI414:BJ414" si="636">AS417</f>
        <v>46</v>
      </c>
      <c r="BJ414" s="499">
        <f t="shared" si="636"/>
        <v>12.016394</v>
      </c>
      <c r="BK414" s="5">
        <f t="shared" si="586"/>
        <v>0</v>
      </c>
      <c r="BL414" s="499">
        <f t="shared" si="587"/>
        <v>20.828133999999999</v>
      </c>
      <c r="BM414" s="499">
        <f t="shared" si="588"/>
        <v>1160.93147</v>
      </c>
      <c r="BO414" s="499">
        <f t="shared" si="589"/>
        <v>46</v>
      </c>
      <c r="BP414" s="499">
        <f t="shared" si="590"/>
        <v>12.016394</v>
      </c>
      <c r="BQ414" s="5">
        <f t="shared" si="583"/>
        <v>0</v>
      </c>
      <c r="BR414" s="499">
        <f t="shared" si="591"/>
        <v>17.47143883870967</v>
      </c>
      <c r="BS414" s="499">
        <f t="shared" si="592"/>
        <v>1160.93147</v>
      </c>
      <c r="BU414" s="499">
        <f t="shared" si="593"/>
        <v>46</v>
      </c>
      <c r="BV414" s="499">
        <f t="shared" si="594"/>
        <v>12.016394</v>
      </c>
      <c r="BW414" s="5">
        <f t="shared" si="584"/>
        <v>0</v>
      </c>
      <c r="BX414" s="499">
        <f t="shared" si="595"/>
        <v>18.709312782508562</v>
      </c>
      <c r="BY414" s="499">
        <f t="shared" si="596"/>
        <v>1160.93147</v>
      </c>
      <c r="CA414">
        <v>46</v>
      </c>
      <c r="CB414">
        <v>12.016394</v>
      </c>
      <c r="CC414">
        <v>0</v>
      </c>
      <c r="CD414">
        <v>18.46034787</v>
      </c>
      <c r="CE414">
        <v>1160.93147</v>
      </c>
      <c r="CG414" s="499">
        <f t="shared" si="597"/>
        <v>0</v>
      </c>
      <c r="CH414" s="499">
        <f t="shared" si="598"/>
        <v>0</v>
      </c>
      <c r="CI414" s="499">
        <f t="shared" si="599"/>
        <v>0</v>
      </c>
      <c r="CJ414" s="499">
        <f t="shared" si="600"/>
        <v>0</v>
      </c>
      <c r="CP414" s="499"/>
      <c r="CQ414" s="65">
        <f t="shared" si="602"/>
        <v>0.97170686937063255</v>
      </c>
      <c r="CR414" s="499">
        <f t="shared" si="603"/>
        <v>0.97675671647647799</v>
      </c>
      <c r="CS414" s="499">
        <f t="shared" si="604"/>
        <v>0.97265940797083061</v>
      </c>
      <c r="CT414" s="38">
        <f t="shared" si="605"/>
        <v>1.0051968832011202</v>
      </c>
      <c r="CU414" s="498">
        <f t="shared" si="606"/>
        <v>1.0009802736094837</v>
      </c>
    </row>
    <row r="415" spans="43:99">
      <c r="AQ415" s="499"/>
      <c r="AR415" s="228">
        <v>21.157041</v>
      </c>
      <c r="AS415" s="13">
        <v>397</v>
      </c>
      <c r="AT415" s="13">
        <v>11.786702999999999</v>
      </c>
      <c r="AU415" s="13">
        <f t="shared" si="617"/>
        <v>0</v>
      </c>
      <c r="AV415" s="13">
        <f t="shared" si="608"/>
        <v>23.003913508064514</v>
      </c>
      <c r="AW415" s="13">
        <f t="shared" si="609"/>
        <v>20.838273991935491</v>
      </c>
      <c r="AX415" s="13">
        <f t="shared" si="610"/>
        <v>22.357874671630036</v>
      </c>
      <c r="AY415" s="13">
        <v>975.91880500000002</v>
      </c>
      <c r="AZ415" s="13">
        <f t="shared" si="611"/>
        <v>2.1656395161290227</v>
      </c>
      <c r="BA415" s="13">
        <f t="shared" si="612"/>
        <v>0.64603883643447801</v>
      </c>
      <c r="BB415" s="97">
        <f t="shared" si="613"/>
        <v>-1.8468725080645143</v>
      </c>
      <c r="BC415" s="499"/>
      <c r="BD415" s="499">
        <v>30.95</v>
      </c>
      <c r="BE415" s="499">
        <v>26.94269072580645</v>
      </c>
      <c r="BF415" s="499">
        <v>20.122381250000004</v>
      </c>
      <c r="BG415" s="499">
        <v>26.68615036809982</v>
      </c>
      <c r="BI415" s="499">
        <f t="shared" ref="BI415:BJ415" si="637">AS418</f>
        <v>352</v>
      </c>
      <c r="BJ415" s="499">
        <f t="shared" si="637"/>
        <v>12.044608999999999</v>
      </c>
      <c r="BK415" s="5">
        <f t="shared" si="586"/>
        <v>0</v>
      </c>
      <c r="BL415" s="499">
        <f t="shared" si="587"/>
        <v>22.712561000000001</v>
      </c>
      <c r="BM415" s="499">
        <f t="shared" si="588"/>
        <v>828.08221200000003</v>
      </c>
      <c r="BO415" s="499">
        <f t="shared" si="589"/>
        <v>352</v>
      </c>
      <c r="BP415" s="499">
        <f t="shared" si="590"/>
        <v>12.044608999999999</v>
      </c>
      <c r="BQ415" s="5">
        <f t="shared" si="583"/>
        <v>0</v>
      </c>
      <c r="BR415" s="499">
        <f t="shared" si="591"/>
        <v>19.194319870967725</v>
      </c>
      <c r="BS415" s="499">
        <f t="shared" si="592"/>
        <v>828.08221200000003</v>
      </c>
      <c r="BU415" s="499">
        <f t="shared" si="593"/>
        <v>352</v>
      </c>
      <c r="BV415" s="499">
        <f t="shared" si="594"/>
        <v>12.044608999999999</v>
      </c>
      <c r="BW415" s="5">
        <f t="shared" si="584"/>
        <v>0</v>
      </c>
      <c r="BX415" s="499">
        <f t="shared" si="595"/>
        <v>20.110229225397752</v>
      </c>
      <c r="BY415" s="499">
        <f t="shared" si="596"/>
        <v>828.08221200000003</v>
      </c>
      <c r="CA415">
        <v>352</v>
      </c>
      <c r="CB415">
        <v>12.044608999999999</v>
      </c>
      <c r="CC415">
        <v>0</v>
      </c>
      <c r="CD415">
        <v>20.104718420000001</v>
      </c>
      <c r="CE415">
        <v>828.08221200000003</v>
      </c>
      <c r="CG415" s="499">
        <f t="shared" si="597"/>
        <v>0</v>
      </c>
      <c r="CH415" s="499">
        <f t="shared" si="598"/>
        <v>0</v>
      </c>
      <c r="CI415" s="499">
        <f t="shared" si="599"/>
        <v>0</v>
      </c>
      <c r="CJ415" s="499">
        <f t="shared" si="600"/>
        <v>0</v>
      </c>
      <c r="CP415" s="499"/>
      <c r="CQ415" s="65">
        <f t="shared" si="602"/>
        <v>0.97797171727797894</v>
      </c>
      <c r="CR415" s="499">
        <f t="shared" si="603"/>
        <v>0.97885887157333085</v>
      </c>
      <c r="CS415" s="499">
        <f t="shared" si="604"/>
        <v>0.97884679854450107</v>
      </c>
      <c r="CT415" s="38">
        <f t="shared" si="605"/>
        <v>1.0009071369648819</v>
      </c>
      <c r="CU415" s="498">
        <f t="shared" si="606"/>
        <v>1.0008947919976232</v>
      </c>
    </row>
    <row r="416" spans="43:99">
      <c r="AQ416" s="499"/>
      <c r="AR416" s="228">
        <v>21.881260000000001</v>
      </c>
      <c r="AS416" s="13">
        <v>3</v>
      </c>
      <c r="AT416" s="13">
        <v>11.809689000000001</v>
      </c>
      <c r="AU416" s="13">
        <f t="shared" si="617"/>
        <v>0</v>
      </c>
      <c r="AV416" s="13">
        <f t="shared" si="608"/>
        <v>21.675395967741927</v>
      </c>
      <c r="AW416" s="13">
        <f t="shared" si="609"/>
        <v>21.056722580645161</v>
      </c>
      <c r="AX416" s="13">
        <f t="shared" si="610"/>
        <v>21.602978582554943</v>
      </c>
      <c r="AY416" s="13">
        <v>995.70369600000004</v>
      </c>
      <c r="AZ416" s="13">
        <f t="shared" si="611"/>
        <v>0.61867338709676645</v>
      </c>
      <c r="BA416" s="13">
        <f t="shared" si="612"/>
        <v>7.2417385186984262E-2</v>
      </c>
      <c r="BB416" s="97">
        <f t="shared" si="613"/>
        <v>0.20586403225807359</v>
      </c>
      <c r="BC416" s="499"/>
      <c r="BD416" s="499">
        <v>30.75</v>
      </c>
      <c r="BE416" s="499">
        <v>26.829735887096771</v>
      </c>
      <c r="BF416" s="499">
        <v>20.092604032258059</v>
      </c>
      <c r="BG416" s="499">
        <v>26.620889946978021</v>
      </c>
      <c r="BI416" s="499">
        <f t="shared" ref="BI416:BJ416" si="638">AS419</f>
        <v>226</v>
      </c>
      <c r="BJ416" s="499">
        <f t="shared" si="638"/>
        <v>12.073568</v>
      </c>
      <c r="BK416" s="5">
        <f t="shared" si="586"/>
        <v>0</v>
      </c>
      <c r="BL416" s="499">
        <f t="shared" si="587"/>
        <v>21.926708000000001</v>
      </c>
      <c r="BM416" s="499">
        <f t="shared" si="588"/>
        <v>753.30775200000005</v>
      </c>
      <c r="BO416" s="499">
        <f t="shared" si="589"/>
        <v>226</v>
      </c>
      <c r="BP416" s="499">
        <f t="shared" si="590"/>
        <v>12.073568</v>
      </c>
      <c r="BQ416" s="5">
        <f t="shared" si="583"/>
        <v>0</v>
      </c>
      <c r="BR416" s="499">
        <f t="shared" si="591"/>
        <v>18.908944895161302</v>
      </c>
      <c r="BS416" s="499">
        <f t="shared" si="592"/>
        <v>753.30775200000005</v>
      </c>
      <c r="BU416" s="499">
        <f t="shared" si="593"/>
        <v>226</v>
      </c>
      <c r="BV416" s="499">
        <f t="shared" si="594"/>
        <v>12.073568</v>
      </c>
      <c r="BW416" s="5">
        <f t="shared" si="584"/>
        <v>0</v>
      </c>
      <c r="BX416" s="499">
        <f t="shared" si="595"/>
        <v>20.17113093736781</v>
      </c>
      <c r="BY416" s="499">
        <f t="shared" si="596"/>
        <v>753.30775200000005</v>
      </c>
      <c r="CA416">
        <v>226</v>
      </c>
      <c r="CB416">
        <v>12.073568</v>
      </c>
      <c r="CC416">
        <v>0</v>
      </c>
      <c r="CD416">
        <v>19.58040815</v>
      </c>
      <c r="CE416">
        <v>753.30775200000005</v>
      </c>
      <c r="CG416" s="499">
        <f t="shared" si="597"/>
        <v>0</v>
      </c>
      <c r="CH416" s="499">
        <f t="shared" si="598"/>
        <v>0</v>
      </c>
      <c r="CI416" s="499">
        <f t="shared" si="599"/>
        <v>0</v>
      </c>
      <c r="CJ416" s="499">
        <f t="shared" si="600"/>
        <v>0</v>
      </c>
      <c r="CP416" s="499"/>
      <c r="CQ416" s="65">
        <f t="shared" si="602"/>
        <v>0.94266546413629326</v>
      </c>
      <c r="CR416" s="499">
        <f t="shared" si="603"/>
        <v>0.97882539634598831</v>
      </c>
      <c r="CS416" s="499">
        <f t="shared" si="604"/>
        <v>0.97864651117522128</v>
      </c>
      <c r="CT416" s="38">
        <f t="shared" si="605"/>
        <v>1.0383592415182263</v>
      </c>
      <c r="CU416" s="498">
        <f t="shared" si="606"/>
        <v>1.0381694762435105</v>
      </c>
    </row>
    <row r="417" spans="43:99">
      <c r="AQ417" s="499"/>
      <c r="AR417" s="228">
        <v>20.828133999999999</v>
      </c>
      <c r="AS417" s="13">
        <v>46</v>
      </c>
      <c r="AT417" s="13">
        <v>12.016394</v>
      </c>
      <c r="AU417" s="13">
        <f t="shared" si="617"/>
        <v>0</v>
      </c>
      <c r="AV417" s="13">
        <f t="shared" si="608"/>
        <v>23.265303225806456</v>
      </c>
      <c r="AW417" s="13">
        <f t="shared" si="609"/>
        <v>19.908608064516127</v>
      </c>
      <c r="AX417" s="13">
        <f t="shared" si="610"/>
        <v>21.146482008315019</v>
      </c>
      <c r="AY417" s="13">
        <v>1160.93147</v>
      </c>
      <c r="AZ417" s="13">
        <f t="shared" si="611"/>
        <v>3.3566951612903289</v>
      </c>
      <c r="BA417" s="13">
        <f t="shared" si="612"/>
        <v>2.1188212174914369</v>
      </c>
      <c r="BB417" s="97">
        <f t="shared" si="613"/>
        <v>-2.437169225806457</v>
      </c>
      <c r="BC417" s="499"/>
      <c r="BD417" s="499">
        <v>30.55</v>
      </c>
      <c r="BE417" s="499">
        <v>26.78300766129032</v>
      </c>
      <c r="BF417" s="499">
        <v>20.079272177419355</v>
      </c>
      <c r="BG417" s="499">
        <v>26.622116578086093</v>
      </c>
      <c r="BI417" s="499">
        <f t="shared" ref="BI417:BJ417" si="639">AS420</f>
        <v>402</v>
      </c>
      <c r="BJ417" s="499">
        <f t="shared" si="639"/>
        <v>12.075298</v>
      </c>
      <c r="BK417" s="5">
        <f t="shared" si="586"/>
        <v>0</v>
      </c>
      <c r="BL417" s="499">
        <f t="shared" si="587"/>
        <v>20.344982000000002</v>
      </c>
      <c r="BM417" s="499">
        <f t="shared" si="588"/>
        <v>523.117614</v>
      </c>
      <c r="BO417" s="499">
        <f t="shared" si="589"/>
        <v>402</v>
      </c>
      <c r="BP417" s="499">
        <f t="shared" si="590"/>
        <v>12.075298</v>
      </c>
      <c r="BQ417" s="5">
        <f t="shared" si="583"/>
        <v>0</v>
      </c>
      <c r="BR417" s="499">
        <f t="shared" si="591"/>
        <v>20.344982000000002</v>
      </c>
      <c r="BS417" s="499">
        <f t="shared" si="592"/>
        <v>523.117614</v>
      </c>
      <c r="BU417" s="499">
        <f t="shared" si="593"/>
        <v>402</v>
      </c>
      <c r="BV417" s="499">
        <f t="shared" si="594"/>
        <v>12.075298</v>
      </c>
      <c r="BW417" s="5">
        <f t="shared" si="584"/>
        <v>0</v>
      </c>
      <c r="BX417" s="499">
        <f t="shared" si="595"/>
        <v>20.344982000000002</v>
      </c>
      <c r="BY417" s="499">
        <f t="shared" si="596"/>
        <v>523.117614</v>
      </c>
      <c r="CA417">
        <v>402</v>
      </c>
      <c r="CB417">
        <v>12.075298</v>
      </c>
      <c r="CC417">
        <v>0</v>
      </c>
      <c r="CD417">
        <v>20.344982000000002</v>
      </c>
      <c r="CE417">
        <v>523.117614</v>
      </c>
      <c r="CG417" s="499">
        <f t="shared" si="597"/>
        <v>0</v>
      </c>
      <c r="CH417" s="499">
        <f t="shared" si="598"/>
        <v>0</v>
      </c>
      <c r="CI417" s="499">
        <f t="shared" si="599"/>
        <v>0</v>
      </c>
      <c r="CJ417" s="499">
        <f t="shared" si="600"/>
        <v>0</v>
      </c>
      <c r="CP417" s="499"/>
      <c r="CQ417" s="65">
        <f t="shared" si="602"/>
        <v>0.97103628284745158</v>
      </c>
      <c r="CR417" s="499">
        <f t="shared" si="603"/>
        <v>0.97884037180835026</v>
      </c>
      <c r="CS417" s="499">
        <f t="shared" si="604"/>
        <v>0.97861905679860772</v>
      </c>
      <c r="CT417" s="38">
        <f t="shared" si="605"/>
        <v>1.0080368664886692</v>
      </c>
      <c r="CU417" s="498">
        <f t="shared" si="606"/>
        <v>1.0078089501752916</v>
      </c>
    </row>
    <row r="418" spans="43:99">
      <c r="AQ418" s="499"/>
      <c r="AR418" s="228">
        <v>22.712561000000001</v>
      </c>
      <c r="AS418" s="13">
        <v>352</v>
      </c>
      <c r="AT418" s="13">
        <v>12.044608999999999</v>
      </c>
      <c r="AU418" s="13">
        <f t="shared" si="617"/>
        <v>0</v>
      </c>
      <c r="AV418" s="13">
        <f t="shared" si="608"/>
        <v>23.34318447580646</v>
      </c>
      <c r="AW418" s="13">
        <f t="shared" si="609"/>
        <v>19.824943346774184</v>
      </c>
      <c r="AX418" s="13">
        <f t="shared" si="610"/>
        <v>20.740852701204211</v>
      </c>
      <c r="AY418" s="13">
        <v>828.08221200000003</v>
      </c>
      <c r="AZ418" s="13">
        <f t="shared" si="611"/>
        <v>3.5182411290322761</v>
      </c>
      <c r="BA418" s="13">
        <f t="shared" si="612"/>
        <v>2.6023317746022485</v>
      </c>
      <c r="BB418" s="97">
        <f t="shared" si="613"/>
        <v>-0.63062347580645906</v>
      </c>
      <c r="BC418" s="499"/>
      <c r="BD418" s="499">
        <v>30.35</v>
      </c>
      <c r="BE418" s="499">
        <v>26.803887701612901</v>
      </c>
      <c r="BF418" s="499">
        <v>20.072313508064514</v>
      </c>
      <c r="BG418" s="499">
        <v>26.649461870952379</v>
      </c>
      <c r="BI418" s="499">
        <f t="shared" ref="BI418:BJ418" si="640">AS421</f>
        <v>377</v>
      </c>
      <c r="BJ418" s="499">
        <f t="shared" si="640"/>
        <v>12.29955</v>
      </c>
      <c r="BK418" s="5">
        <f t="shared" si="586"/>
        <v>1</v>
      </c>
      <c r="BL418" s="499">
        <f t="shared" si="587"/>
        <v>25.116909</v>
      </c>
      <c r="BM418" s="499">
        <f t="shared" si="588"/>
        <v>1649.366117</v>
      </c>
      <c r="BO418" s="499">
        <f t="shared" si="589"/>
        <v>377</v>
      </c>
      <c r="BP418" s="499">
        <f t="shared" si="590"/>
        <v>12.29955</v>
      </c>
      <c r="BQ418" s="5">
        <f t="shared" si="583"/>
        <v>0</v>
      </c>
      <c r="BR418" s="499">
        <f t="shared" si="591"/>
        <v>21.382503153225812</v>
      </c>
      <c r="BS418" s="499">
        <f t="shared" si="592"/>
        <v>1649.366117</v>
      </c>
      <c r="BU418" s="499">
        <f t="shared" si="593"/>
        <v>377</v>
      </c>
      <c r="BV418" s="499">
        <f t="shared" si="594"/>
        <v>12.29955</v>
      </c>
      <c r="BW418" s="5">
        <f t="shared" si="584"/>
        <v>0</v>
      </c>
      <c r="BX418" s="499">
        <f t="shared" si="595"/>
        <v>23.230779912489663</v>
      </c>
      <c r="BY418" s="499">
        <f t="shared" si="596"/>
        <v>1649.366117</v>
      </c>
      <c r="CA418">
        <v>377</v>
      </c>
      <c r="CB418" s="498">
        <v>12.29955</v>
      </c>
      <c r="CC418">
        <v>0</v>
      </c>
      <c r="CD418">
        <v>22.556980920000001</v>
      </c>
      <c r="CE418">
        <v>1649.366117</v>
      </c>
      <c r="CG418" s="499">
        <f t="shared" si="597"/>
        <v>1</v>
      </c>
      <c r="CH418" s="499">
        <f t="shared" si="598"/>
        <v>0</v>
      </c>
      <c r="CI418" s="499">
        <f t="shared" si="599"/>
        <v>0</v>
      </c>
      <c r="CJ418" s="499">
        <f t="shared" si="600"/>
        <v>0</v>
      </c>
      <c r="CP418" s="499"/>
      <c r="CQ418" s="65">
        <f t="shared" si="602"/>
        <v>0.97851968147644486</v>
      </c>
      <c r="CR418" s="499">
        <f t="shared" si="603"/>
        <v>0.97851968147644486</v>
      </c>
      <c r="CS418" s="499">
        <f t="shared" si="604"/>
        <v>0.97851968147644486</v>
      </c>
      <c r="CT418" s="38">
        <f t="shared" si="605"/>
        <v>1</v>
      </c>
      <c r="CU418" s="498">
        <f t="shared" si="606"/>
        <v>1</v>
      </c>
    </row>
    <row r="419" spans="43:99">
      <c r="AQ419" s="499"/>
      <c r="AR419" s="228">
        <v>21.926708000000001</v>
      </c>
      <c r="AS419" s="13">
        <v>226</v>
      </c>
      <c r="AT419" s="13">
        <v>12.073568</v>
      </c>
      <c r="AU419" s="13">
        <f t="shared" si="617"/>
        <v>0</v>
      </c>
      <c r="AV419" s="13">
        <f t="shared" si="608"/>
        <v>23.067909274193543</v>
      </c>
      <c r="AW419" s="13">
        <f t="shared" si="609"/>
        <v>20.050146169354843</v>
      </c>
      <c r="AX419" s="13">
        <f t="shared" si="610"/>
        <v>21.312332211561351</v>
      </c>
      <c r="AY419" s="13">
        <v>753.30775200000005</v>
      </c>
      <c r="AZ419" s="13">
        <f t="shared" si="611"/>
        <v>3.0177631048386999</v>
      </c>
      <c r="BA419" s="13">
        <f t="shared" si="612"/>
        <v>1.7555770626321916</v>
      </c>
      <c r="BB419" s="97">
        <f t="shared" si="613"/>
        <v>-1.1412012741935413</v>
      </c>
      <c r="BC419" s="499"/>
      <c r="BD419" s="499">
        <v>30.15</v>
      </c>
      <c r="BE419" s="499">
        <v>26.803889112903217</v>
      </c>
      <c r="BF419" s="499">
        <v>20.043713306451615</v>
      </c>
      <c r="BG419" s="499">
        <v>26.646212253466125</v>
      </c>
      <c r="BI419" s="499">
        <f t="shared" ref="BI419:BJ419" si="641">AS422</f>
        <v>47</v>
      </c>
      <c r="BJ419" s="499">
        <f t="shared" si="641"/>
        <v>12.387271999999999</v>
      </c>
      <c r="BK419" s="5">
        <f t="shared" si="586"/>
        <v>0</v>
      </c>
      <c r="BL419" s="499">
        <f t="shared" si="587"/>
        <v>23.879076999999999</v>
      </c>
      <c r="BM419" s="499">
        <f t="shared" si="588"/>
        <v>279.79364500000003</v>
      </c>
      <c r="BO419" s="499">
        <f t="shared" si="589"/>
        <v>47</v>
      </c>
      <c r="BP419" s="499">
        <f t="shared" si="590"/>
        <v>12.387271999999999</v>
      </c>
      <c r="BQ419" s="5">
        <f t="shared" si="583"/>
        <v>0</v>
      </c>
      <c r="BR419" s="499">
        <f t="shared" si="591"/>
        <v>20.430517927419363</v>
      </c>
      <c r="BS419" s="499">
        <f t="shared" si="592"/>
        <v>279.79364500000003</v>
      </c>
      <c r="BU419" s="499">
        <f t="shared" si="593"/>
        <v>47</v>
      </c>
      <c r="BV419" s="499">
        <f t="shared" si="594"/>
        <v>12.387271999999999</v>
      </c>
      <c r="BW419" s="5">
        <f t="shared" si="584"/>
        <v>0</v>
      </c>
      <c r="BX419" s="499">
        <f t="shared" si="595"/>
        <v>21.267227775779578</v>
      </c>
      <c r="BY419" s="499">
        <f t="shared" si="596"/>
        <v>279.79364500000003</v>
      </c>
      <c r="CA419">
        <v>47</v>
      </c>
      <c r="CB419">
        <v>12.387271999999999</v>
      </c>
      <c r="CC419">
        <v>0</v>
      </c>
      <c r="CD419">
        <v>21.311491459999999</v>
      </c>
      <c r="CE419">
        <v>279.79364500000003</v>
      </c>
      <c r="CG419" s="499">
        <f t="shared" si="597"/>
        <v>0</v>
      </c>
      <c r="CH419" s="499">
        <f t="shared" si="598"/>
        <v>0</v>
      </c>
      <c r="CI419" s="499">
        <f t="shared" si="599"/>
        <v>0</v>
      </c>
      <c r="CJ419" s="499">
        <f t="shared" si="600"/>
        <v>0</v>
      </c>
      <c r="CP419" s="499"/>
      <c r="CQ419" s="65">
        <f t="shared" si="602"/>
        <v>0.17604806898987385</v>
      </c>
      <c r="CR419" s="499">
        <f t="shared" si="603"/>
        <v>0.97619239158463644</v>
      </c>
      <c r="CS419" s="499">
        <f t="shared" si="604"/>
        <v>0.88383763685975425</v>
      </c>
      <c r="CT419" s="38">
        <f t="shared" si="605"/>
        <v>5.5450332240837374</v>
      </c>
      <c r="CU419" s="498">
        <f t="shared" si="606"/>
        <v>5.0204335777780775</v>
      </c>
    </row>
    <row r="420" spans="43:99">
      <c r="AQ420" s="499"/>
      <c r="AR420" s="228">
        <v>20.344982000000002</v>
      </c>
      <c r="AS420" s="13">
        <v>402</v>
      </c>
      <c r="AT420" s="13">
        <v>12.075298</v>
      </c>
      <c r="AU420" s="13">
        <f t="shared" si="617"/>
        <v>0</v>
      </c>
      <c r="AV420" s="13">
        <f>IF(ISERROR(VLOOKUP(AS420,B$3:AP$102,40,FALSE))=TRUE,AR420,VLOOKUP(AS420,B$3:AP$102,40,FALSE))</f>
        <v>0</v>
      </c>
      <c r="AW420" s="13">
        <f t="shared" si="609"/>
        <v>0</v>
      </c>
      <c r="AX420" s="13">
        <f t="shared" si="610"/>
        <v>0</v>
      </c>
      <c r="AY420" s="13">
        <v>523.117614</v>
      </c>
      <c r="AZ420" s="13">
        <f t="shared" si="611"/>
        <v>0</v>
      </c>
      <c r="BA420" s="13">
        <f t="shared" si="612"/>
        <v>0</v>
      </c>
      <c r="BB420" s="97">
        <f t="shared" si="613"/>
        <v>0</v>
      </c>
      <c r="BC420" s="499"/>
      <c r="BD420" s="499">
        <v>29.95</v>
      </c>
      <c r="BE420" s="499">
        <v>26.787889717741933</v>
      </c>
      <c r="BF420" s="499">
        <v>20.003899798387096</v>
      </c>
      <c r="BG420" s="499">
        <v>26.621234551456048</v>
      </c>
      <c r="BI420" s="499">
        <f t="shared" ref="BI420:BJ420" si="642">AS423</f>
        <v>339</v>
      </c>
      <c r="BJ420" s="499">
        <f t="shared" si="642"/>
        <v>12.653587999999999</v>
      </c>
      <c r="BK420" s="5">
        <f t="shared" si="586"/>
        <v>1</v>
      </c>
      <c r="BL420" s="499">
        <f t="shared" si="587"/>
        <v>24.738108</v>
      </c>
      <c r="BM420" s="499">
        <f t="shared" si="588"/>
        <v>1449.1924409999999</v>
      </c>
      <c r="BO420" s="499">
        <f t="shared" si="589"/>
        <v>339</v>
      </c>
      <c r="BP420" s="499">
        <f t="shared" si="590"/>
        <v>12.653587999999999</v>
      </c>
      <c r="BQ420" s="5">
        <f t="shared" si="583"/>
        <v>0</v>
      </c>
      <c r="BR420" s="499">
        <f t="shared" si="591"/>
        <v>21.216268483870962</v>
      </c>
      <c r="BS420" s="499">
        <f t="shared" si="592"/>
        <v>1449.1924409999999</v>
      </c>
      <c r="BU420" s="499">
        <f t="shared" si="593"/>
        <v>339</v>
      </c>
      <c r="BV420" s="499">
        <f t="shared" si="594"/>
        <v>12.653587999999999</v>
      </c>
      <c r="BW420" s="5">
        <f t="shared" si="584"/>
        <v>0</v>
      </c>
      <c r="BX420" s="499">
        <f t="shared" si="595"/>
        <v>23.4190107402762</v>
      </c>
      <c r="BY420" s="499">
        <f t="shared" si="596"/>
        <v>1449.1924409999999</v>
      </c>
      <c r="CA420">
        <v>339</v>
      </c>
      <c r="CB420">
        <v>12.653587999999999</v>
      </c>
      <c r="CC420">
        <v>0</v>
      </c>
      <c r="CD420">
        <v>22.5462369</v>
      </c>
      <c r="CE420">
        <v>1449.1924409999999</v>
      </c>
      <c r="CG420" s="499">
        <f t="shared" si="597"/>
        <v>1</v>
      </c>
      <c r="CH420" s="499">
        <f t="shared" si="598"/>
        <v>0</v>
      </c>
      <c r="CI420" s="499">
        <f t="shared" si="599"/>
        <v>0</v>
      </c>
      <c r="CJ420" s="499">
        <f t="shared" si="600"/>
        <v>0</v>
      </c>
      <c r="CP420" s="499"/>
      <c r="CQ420" s="65">
        <f t="shared" si="602"/>
        <v>0.70430666987835355</v>
      </c>
      <c r="CR420" s="499">
        <f t="shared" si="603"/>
        <v>0.97845666487395189</v>
      </c>
      <c r="CS420" s="499">
        <f t="shared" si="604"/>
        <v>0.97673727367540608</v>
      </c>
      <c r="CT420" s="38">
        <f t="shared" si="605"/>
        <v>1.3892480459441752</v>
      </c>
      <c r="CU420" s="498">
        <f t="shared" si="606"/>
        <v>1.3868067923367902</v>
      </c>
    </row>
    <row r="421" spans="43:99">
      <c r="AQ421" s="499"/>
      <c r="AR421" s="228">
        <v>25.116909</v>
      </c>
      <c r="AS421" s="13">
        <v>377</v>
      </c>
      <c r="AT421" s="13">
        <v>12.29955</v>
      </c>
      <c r="AU421" s="13">
        <f t="shared" si="617"/>
        <v>0</v>
      </c>
      <c r="AV421" s="13">
        <f t="shared" si="608"/>
        <v>23.366787701612907</v>
      </c>
      <c r="AW421" s="13">
        <f t="shared" si="609"/>
        <v>19.632381854838719</v>
      </c>
      <c r="AX421" s="13">
        <f t="shared" si="610"/>
        <v>21.48065861410257</v>
      </c>
      <c r="AY421" s="13">
        <v>1649.366117</v>
      </c>
      <c r="AZ421" s="13">
        <f t="shared" si="611"/>
        <v>3.7344058467741874</v>
      </c>
      <c r="BA421" s="13">
        <f t="shared" si="612"/>
        <v>1.8861290875103371</v>
      </c>
      <c r="BB421" s="97">
        <f t="shared" si="613"/>
        <v>1.7501212983870928</v>
      </c>
      <c r="BC421" s="499"/>
      <c r="BD421" s="499">
        <v>29.75</v>
      </c>
      <c r="BE421" s="499">
        <v>26.779389314516123</v>
      </c>
      <c r="BF421" s="499">
        <v>19.970621975806459</v>
      </c>
      <c r="BG421" s="499">
        <v>26.599773898649261</v>
      </c>
      <c r="BI421" s="499">
        <f t="shared" ref="BI421:BJ421" si="643">AS424</f>
        <v>53</v>
      </c>
      <c r="BJ421" s="499">
        <f t="shared" si="643"/>
        <v>12.719264000000001</v>
      </c>
      <c r="BK421" s="5">
        <f t="shared" si="586"/>
        <v>0</v>
      </c>
      <c r="BL421" s="499">
        <f t="shared" si="587"/>
        <v>23.618113999999998</v>
      </c>
      <c r="BM421" s="499">
        <f t="shared" si="588"/>
        <v>999.04299900000001</v>
      </c>
      <c r="BO421" s="499">
        <f t="shared" si="589"/>
        <v>53</v>
      </c>
      <c r="BP421" s="499">
        <f t="shared" si="590"/>
        <v>12.719264000000001</v>
      </c>
      <c r="BQ421" s="5">
        <f t="shared" si="583"/>
        <v>0</v>
      </c>
      <c r="BR421" s="499">
        <f t="shared" si="591"/>
        <v>20.495260572580648</v>
      </c>
      <c r="BS421" s="499">
        <f t="shared" si="592"/>
        <v>999.04299900000001</v>
      </c>
      <c r="BU421" s="499">
        <f t="shared" si="593"/>
        <v>53</v>
      </c>
      <c r="BV421" s="499">
        <f t="shared" si="594"/>
        <v>12.719264000000001</v>
      </c>
      <c r="BW421" s="5">
        <f t="shared" si="584"/>
        <v>0</v>
      </c>
      <c r="BX421" s="499">
        <f t="shared" si="595"/>
        <v>22.88101998979322</v>
      </c>
      <c r="BY421" s="499">
        <f t="shared" si="596"/>
        <v>999.04299900000001</v>
      </c>
      <c r="CA421">
        <v>53</v>
      </c>
      <c r="CB421">
        <v>12.719264000000001</v>
      </c>
      <c r="CC421">
        <v>0</v>
      </c>
      <c r="CD421">
        <v>22.099871570000001</v>
      </c>
      <c r="CE421">
        <v>999.04299900000001</v>
      </c>
      <c r="CG421" s="499">
        <f t="shared" si="597"/>
        <v>0</v>
      </c>
      <c r="CH421" s="499">
        <f t="shared" si="598"/>
        <v>0</v>
      </c>
      <c r="CI421" s="499">
        <f t="shared" si="599"/>
        <v>0</v>
      </c>
      <c r="CJ421" s="499">
        <f t="shared" si="600"/>
        <v>0</v>
      </c>
      <c r="CP421" s="499"/>
      <c r="CQ421" s="65">
        <f t="shared" si="602"/>
        <v>0.31090597946661935</v>
      </c>
      <c r="CR421" s="499">
        <f t="shared" si="603"/>
        <v>0.97694127716726653</v>
      </c>
      <c r="CS421" s="499">
        <f t="shared" si="604"/>
        <v>0.84656672811616607</v>
      </c>
      <c r="CT421" s="38">
        <f t="shared" si="605"/>
        <v>3.14224023237918</v>
      </c>
      <c r="CU421" s="498">
        <f t="shared" si="606"/>
        <v>2.7229026909309035</v>
      </c>
    </row>
    <row r="422" spans="43:99">
      <c r="AQ422" s="499"/>
      <c r="AR422" s="228">
        <v>23.879076999999999</v>
      </c>
      <c r="AS422" s="13">
        <v>47</v>
      </c>
      <c r="AT422" s="13">
        <v>12.387271999999999</v>
      </c>
      <c r="AU422" s="13">
        <f t="shared" si="617"/>
        <v>0</v>
      </c>
      <c r="AV422" s="13">
        <f t="shared" si="608"/>
        <v>23.241518548387088</v>
      </c>
      <c r="AW422" s="13">
        <f t="shared" si="609"/>
        <v>19.792959475806452</v>
      </c>
      <c r="AX422" s="13">
        <f t="shared" si="610"/>
        <v>20.629669324166667</v>
      </c>
      <c r="AY422" s="13">
        <v>279.79364500000003</v>
      </c>
      <c r="AZ422" s="13">
        <f t="shared" si="611"/>
        <v>3.4485590725806361</v>
      </c>
      <c r="BA422" s="13">
        <f t="shared" si="612"/>
        <v>2.6118492242204212</v>
      </c>
      <c r="BB422" s="97">
        <f t="shared" si="613"/>
        <v>0.63755845161291091</v>
      </c>
      <c r="BC422" s="499"/>
      <c r="BD422" s="499">
        <v>29.55</v>
      </c>
      <c r="BE422" s="499">
        <v>26.772456653225813</v>
      </c>
      <c r="BF422" s="499">
        <v>19.967667540322584</v>
      </c>
      <c r="BG422" s="499">
        <v>26.579425328630954</v>
      </c>
      <c r="BI422" s="499">
        <f t="shared" ref="BI422:BJ422" si="644">AS425</f>
        <v>49</v>
      </c>
      <c r="BJ422" s="499">
        <f t="shared" si="644"/>
        <v>12.885662</v>
      </c>
      <c r="BK422" s="5">
        <f t="shared" si="586"/>
        <v>0</v>
      </c>
      <c r="BL422" s="499">
        <f t="shared" si="587"/>
        <v>23.549806</v>
      </c>
      <c r="BM422" s="499">
        <f t="shared" si="588"/>
        <v>895.95424500000001</v>
      </c>
      <c r="BO422" s="499">
        <f t="shared" si="589"/>
        <v>49</v>
      </c>
      <c r="BP422" s="499">
        <f t="shared" si="590"/>
        <v>12.885662</v>
      </c>
      <c r="BQ422" s="5">
        <f t="shared" si="583"/>
        <v>0</v>
      </c>
      <c r="BR422" s="499">
        <f t="shared" si="591"/>
        <v>20.462584427419355</v>
      </c>
      <c r="BS422" s="499">
        <f t="shared" si="592"/>
        <v>895.95424500000001</v>
      </c>
      <c r="BU422" s="499">
        <f t="shared" si="593"/>
        <v>49</v>
      </c>
      <c r="BV422" s="499">
        <f t="shared" si="594"/>
        <v>12.885662</v>
      </c>
      <c r="BW422" s="5">
        <f t="shared" si="584"/>
        <v>0</v>
      </c>
      <c r="BX422" s="499">
        <f t="shared" si="595"/>
        <v>22.576551224232393</v>
      </c>
      <c r="BY422" s="499">
        <f t="shared" si="596"/>
        <v>895.95424500000001</v>
      </c>
      <c r="CA422">
        <v>49</v>
      </c>
      <c r="CB422">
        <v>12.885662</v>
      </c>
      <c r="CC422">
        <v>0</v>
      </c>
      <c r="CD422">
        <v>22.093719979999999</v>
      </c>
      <c r="CE422">
        <v>895.95424500000001</v>
      </c>
      <c r="CG422" s="499">
        <f t="shared" si="597"/>
        <v>0</v>
      </c>
      <c r="CH422" s="499">
        <f t="shared" si="598"/>
        <v>0</v>
      </c>
      <c r="CI422" s="499">
        <f t="shared" si="599"/>
        <v>0</v>
      </c>
      <c r="CJ422" s="499">
        <f t="shared" si="600"/>
        <v>0</v>
      </c>
      <c r="CP422" s="499"/>
      <c r="CQ422" s="65">
        <f t="shared" si="602"/>
        <v>0.79446252866101674</v>
      </c>
      <c r="CR422" s="499">
        <f t="shared" si="603"/>
        <v>0.97840132242011391</v>
      </c>
      <c r="CS422" s="499">
        <f t="shared" si="604"/>
        <v>0.92900968730822187</v>
      </c>
      <c r="CT422" s="38">
        <f t="shared" si="605"/>
        <v>1.2315260784786246</v>
      </c>
      <c r="CU422" s="498">
        <f t="shared" si="606"/>
        <v>1.1693562047211594</v>
      </c>
    </row>
    <row r="423" spans="43:99">
      <c r="AQ423" s="499"/>
      <c r="AR423" s="228">
        <v>24.738108</v>
      </c>
      <c r="AS423" s="13">
        <v>339</v>
      </c>
      <c r="AT423" s="13">
        <v>12.653587999999999</v>
      </c>
      <c r="AU423" s="13">
        <f t="shared" si="617"/>
        <v>0</v>
      </c>
      <c r="AV423" s="13">
        <f t="shared" si="608"/>
        <v>22.935141935483877</v>
      </c>
      <c r="AW423" s="13">
        <f t="shared" si="609"/>
        <v>19.413302419354839</v>
      </c>
      <c r="AX423" s="13">
        <f t="shared" si="610"/>
        <v>21.616044675760076</v>
      </c>
      <c r="AY423" s="13">
        <v>1449.1924409999999</v>
      </c>
      <c r="AZ423" s="13">
        <f t="shared" si="611"/>
        <v>3.5218395161290381</v>
      </c>
      <c r="BA423" s="13">
        <f t="shared" si="612"/>
        <v>1.3190972597238009</v>
      </c>
      <c r="BB423" s="97">
        <f t="shared" si="613"/>
        <v>1.8029660645161236</v>
      </c>
      <c r="BC423" s="499"/>
      <c r="BD423" s="499">
        <v>29.35</v>
      </c>
      <c r="BE423" s="499">
        <v>26.771375201612905</v>
      </c>
      <c r="BF423" s="499">
        <v>19.973688709677422</v>
      </c>
      <c r="BG423" s="499">
        <v>26.56373015273352</v>
      </c>
      <c r="BI423" s="499">
        <f t="shared" ref="BI423:BJ423" si="645">AS426</f>
        <v>379</v>
      </c>
      <c r="BJ423" s="499">
        <f t="shared" si="645"/>
        <v>12.926339</v>
      </c>
      <c r="BK423" s="5">
        <f t="shared" si="586"/>
        <v>0</v>
      </c>
      <c r="BL423" s="499">
        <f t="shared" si="587"/>
        <v>22.765698</v>
      </c>
      <c r="BM423" s="499">
        <f t="shared" si="588"/>
        <v>1414.774825</v>
      </c>
      <c r="BO423" s="499">
        <f t="shared" si="589"/>
        <v>379</v>
      </c>
      <c r="BP423" s="499">
        <f t="shared" si="590"/>
        <v>12.926339</v>
      </c>
      <c r="BQ423" s="5">
        <f t="shared" si="583"/>
        <v>0</v>
      </c>
      <c r="BR423" s="499">
        <f t="shared" si="591"/>
        <v>19.129777637096769</v>
      </c>
      <c r="BS423" s="499">
        <f t="shared" si="592"/>
        <v>1414.774825</v>
      </c>
      <c r="BU423" s="499">
        <f t="shared" si="593"/>
        <v>379</v>
      </c>
      <c r="BV423" s="499">
        <f t="shared" si="594"/>
        <v>12.926339</v>
      </c>
      <c r="BW423" s="5">
        <f t="shared" si="584"/>
        <v>0</v>
      </c>
      <c r="BX423" s="499">
        <f t="shared" si="595"/>
        <v>21.574247102645778</v>
      </c>
      <c r="BY423" s="499">
        <f t="shared" si="596"/>
        <v>1414.774825</v>
      </c>
      <c r="CA423">
        <v>379</v>
      </c>
      <c r="CB423">
        <v>12.926339</v>
      </c>
      <c r="CC423">
        <v>0</v>
      </c>
      <c r="CD423">
        <v>21.228212330000002</v>
      </c>
      <c r="CE423">
        <v>1414.774825</v>
      </c>
      <c r="CG423" s="499">
        <f t="shared" si="597"/>
        <v>0</v>
      </c>
      <c r="CH423" s="499">
        <f t="shared" si="598"/>
        <v>0</v>
      </c>
      <c r="CI423" s="499">
        <f t="shared" si="599"/>
        <v>0</v>
      </c>
      <c r="CJ423" s="499">
        <f t="shared" si="600"/>
        <v>0</v>
      </c>
      <c r="CP423" s="499"/>
      <c r="CQ423" s="65">
        <f t="shared" si="602"/>
        <v>0.81392166770814778</v>
      </c>
      <c r="CR423" s="499">
        <f t="shared" si="603"/>
        <v>0.97843014274617457</v>
      </c>
      <c r="CS423" s="499">
        <f t="shared" si="604"/>
        <v>0.9509923443614835</v>
      </c>
      <c r="CT423" s="38">
        <f t="shared" si="605"/>
        <v>1.2021183137945597</v>
      </c>
      <c r="CU423" s="498">
        <f t="shared" si="606"/>
        <v>1.1684077007549158</v>
      </c>
    </row>
    <row r="424" spans="43:99">
      <c r="AQ424" s="499"/>
      <c r="AR424" s="228">
        <v>23.618113999999998</v>
      </c>
      <c r="AS424" s="13">
        <v>53</v>
      </c>
      <c r="AT424" s="13">
        <v>12.719264000000001</v>
      </c>
      <c r="AU424" s="13">
        <f t="shared" si="617"/>
        <v>0</v>
      </c>
      <c r="AV424" s="13">
        <f t="shared" si="608"/>
        <v>22.396041532258064</v>
      </c>
      <c r="AW424" s="13">
        <f t="shared" si="609"/>
        <v>19.273188104838713</v>
      </c>
      <c r="AX424" s="13">
        <f t="shared" si="610"/>
        <v>21.658947522051285</v>
      </c>
      <c r="AY424" s="13">
        <v>999.04299900000001</v>
      </c>
      <c r="AZ424" s="13">
        <f t="shared" si="611"/>
        <v>3.1228534274193507</v>
      </c>
      <c r="BA424" s="13">
        <f t="shared" si="612"/>
        <v>0.73709401020677845</v>
      </c>
      <c r="BB424" s="97">
        <f t="shared" si="613"/>
        <v>1.2220724677419348</v>
      </c>
      <c r="BC424" s="499"/>
      <c r="BD424" s="499">
        <v>29.15</v>
      </c>
      <c r="BE424" s="499">
        <v>26.754592540322573</v>
      </c>
      <c r="BF424" s="499">
        <v>19.957264314516138</v>
      </c>
      <c r="BG424" s="499">
        <v>26.536890389427661</v>
      </c>
      <c r="BI424" s="499">
        <f t="shared" ref="BI424:BJ424" si="646">AS427</f>
        <v>98</v>
      </c>
      <c r="BJ424" s="499">
        <f t="shared" si="646"/>
        <v>12.927365</v>
      </c>
      <c r="BK424" s="5">
        <f t="shared" si="586"/>
        <v>1</v>
      </c>
      <c r="BL424" s="499">
        <f t="shared" si="587"/>
        <v>25.017679999999999</v>
      </c>
      <c r="BM424" s="499">
        <f t="shared" si="588"/>
        <v>1000.931846</v>
      </c>
      <c r="BO424" s="499">
        <f t="shared" si="589"/>
        <v>98</v>
      </c>
      <c r="BP424" s="499">
        <f t="shared" si="590"/>
        <v>12.927365</v>
      </c>
      <c r="BQ424" s="5">
        <f t="shared" si="583"/>
        <v>0</v>
      </c>
      <c r="BR424" s="499">
        <f t="shared" si="591"/>
        <v>21.122167096774195</v>
      </c>
      <c r="BS424" s="499">
        <f t="shared" si="592"/>
        <v>1000.931846</v>
      </c>
      <c r="BU424" s="499">
        <f t="shared" si="593"/>
        <v>98</v>
      </c>
      <c r="BV424" s="499">
        <f t="shared" si="594"/>
        <v>12.927365</v>
      </c>
      <c r="BW424" s="5">
        <f t="shared" si="584"/>
        <v>1</v>
      </c>
      <c r="BX424" s="499">
        <f t="shared" si="595"/>
        <v>24.514307738348688</v>
      </c>
      <c r="BY424" s="499">
        <f t="shared" si="596"/>
        <v>1000.931846</v>
      </c>
      <c r="CA424">
        <v>98</v>
      </c>
      <c r="CB424">
        <v>12.927365</v>
      </c>
      <c r="CC424">
        <v>0</v>
      </c>
      <c r="CD424">
        <v>23.510223079999999</v>
      </c>
      <c r="CE424">
        <v>1000.931846</v>
      </c>
      <c r="CG424" s="499">
        <f t="shared" si="597"/>
        <v>1</v>
      </c>
      <c r="CH424" s="499">
        <f t="shared" si="598"/>
        <v>0</v>
      </c>
      <c r="CI424" s="499">
        <f t="shared" si="599"/>
        <v>1</v>
      </c>
      <c r="CJ424" s="499">
        <f t="shared" si="600"/>
        <v>0</v>
      </c>
      <c r="CP424" s="499"/>
      <c r="CQ424" s="65">
        <f t="shared" si="602"/>
        <v>0.93880007584015468</v>
      </c>
      <c r="CR424" s="499">
        <f t="shared" si="603"/>
        <v>0.97882956097682905</v>
      </c>
      <c r="CS424" s="499">
        <f t="shared" si="604"/>
        <v>0.97496032619491457</v>
      </c>
      <c r="CT424" s="38">
        <f t="shared" si="605"/>
        <v>1.0426389879664753</v>
      </c>
      <c r="CU424" s="498">
        <f t="shared" si="606"/>
        <v>1.0385175196352634</v>
      </c>
    </row>
    <row r="425" spans="43:99">
      <c r="AQ425" s="499"/>
      <c r="AR425" s="228">
        <v>23.549806</v>
      </c>
      <c r="AS425" s="13">
        <v>49</v>
      </c>
      <c r="AT425" s="13">
        <v>12.885662</v>
      </c>
      <c r="AU425" s="13">
        <f t="shared" si="617"/>
        <v>0</v>
      </c>
      <c r="AV425" s="13">
        <f t="shared" si="608"/>
        <v>22.241778629032265</v>
      </c>
      <c r="AW425" s="13">
        <f t="shared" si="609"/>
        <v>19.154557056451619</v>
      </c>
      <c r="AX425" s="13">
        <f t="shared" si="610"/>
        <v>21.268523853264657</v>
      </c>
      <c r="AY425" s="13">
        <v>895.95424500000001</v>
      </c>
      <c r="AZ425" s="13">
        <f t="shared" si="611"/>
        <v>3.0872215725806456</v>
      </c>
      <c r="BA425" s="13">
        <f t="shared" si="612"/>
        <v>0.97325477576760733</v>
      </c>
      <c r="BB425" s="97">
        <f t="shared" si="613"/>
        <v>1.3080273709677357</v>
      </c>
      <c r="BC425" s="499"/>
      <c r="BD425" s="499">
        <v>28.95</v>
      </c>
      <c r="BE425" s="499">
        <v>26.640307661290318</v>
      </c>
      <c r="BF425" s="499">
        <v>19.908545766129027</v>
      </c>
      <c r="BG425" s="499">
        <v>26.422831835860801</v>
      </c>
      <c r="BI425" s="499">
        <f t="shared" ref="BI425:BJ425" si="647">AS428</f>
        <v>465</v>
      </c>
      <c r="BJ425" s="499">
        <f t="shared" si="647"/>
        <v>13.124148999999999</v>
      </c>
      <c r="BK425" s="5">
        <f t="shared" si="586"/>
        <v>0</v>
      </c>
      <c r="BL425" s="499">
        <f t="shared" si="587"/>
        <v>23.115731</v>
      </c>
      <c r="BM425" s="499">
        <f t="shared" si="588"/>
        <v>999.78151000000003</v>
      </c>
      <c r="BO425" s="499">
        <f t="shared" si="589"/>
        <v>465</v>
      </c>
      <c r="BP425" s="499">
        <f t="shared" si="590"/>
        <v>13.124148999999999</v>
      </c>
      <c r="BQ425" s="5">
        <f t="shared" si="583"/>
        <v>0</v>
      </c>
      <c r="BR425" s="499">
        <f t="shared" si="591"/>
        <v>19.810468903225811</v>
      </c>
      <c r="BS425" s="499">
        <f t="shared" si="592"/>
        <v>999.78151000000003</v>
      </c>
      <c r="BU425" s="499">
        <f t="shared" si="593"/>
        <v>465</v>
      </c>
      <c r="BV425" s="499">
        <f t="shared" si="594"/>
        <v>13.124148999999999</v>
      </c>
      <c r="BW425" s="5">
        <f t="shared" si="584"/>
        <v>0</v>
      </c>
      <c r="BX425" s="499">
        <f t="shared" si="595"/>
        <v>21.666350090905276</v>
      </c>
      <c r="BY425" s="499">
        <f t="shared" si="596"/>
        <v>999.78151000000003</v>
      </c>
      <c r="CA425">
        <v>465</v>
      </c>
      <c r="CB425">
        <v>13.124148999999999</v>
      </c>
      <c r="CC425">
        <v>0</v>
      </c>
      <c r="CD425">
        <v>21.319817029999999</v>
      </c>
      <c r="CE425">
        <v>999.78151000000003</v>
      </c>
      <c r="CG425" s="499">
        <f t="shared" si="597"/>
        <v>0</v>
      </c>
      <c r="CH425" s="499">
        <f t="shared" si="598"/>
        <v>0</v>
      </c>
      <c r="CI425" s="499">
        <f t="shared" si="599"/>
        <v>0</v>
      </c>
      <c r="CJ425" s="499">
        <f t="shared" si="600"/>
        <v>0</v>
      </c>
      <c r="CP425" s="499"/>
      <c r="CQ425" s="65">
        <f t="shared" si="602"/>
        <v>0.2063279446549805</v>
      </c>
      <c r="CR425" s="499">
        <f t="shared" si="603"/>
        <v>0.97726794550722484</v>
      </c>
      <c r="CS425" s="499">
        <f t="shared" si="604"/>
        <v>0.41176761917673738</v>
      </c>
      <c r="CT425" s="38">
        <f t="shared" si="605"/>
        <v>4.7364788475036788</v>
      </c>
      <c r="CU425" s="498">
        <f t="shared" si="606"/>
        <v>1.9956948626871218</v>
      </c>
    </row>
    <row r="426" spans="43:99">
      <c r="AQ426" s="499"/>
      <c r="AR426" s="228">
        <v>22.765698</v>
      </c>
      <c r="AS426" s="13">
        <v>379</v>
      </c>
      <c r="AT426" s="13">
        <v>12.926339</v>
      </c>
      <c r="AU426" s="13">
        <f t="shared" si="617"/>
        <v>0</v>
      </c>
      <c r="AV426" s="13">
        <f t="shared" si="608"/>
        <v>22.679891532258072</v>
      </c>
      <c r="AW426" s="13">
        <f t="shared" si="609"/>
        <v>19.04397116935484</v>
      </c>
      <c r="AX426" s="13">
        <f t="shared" si="610"/>
        <v>21.488440634903849</v>
      </c>
      <c r="AY426" s="13">
        <v>1414.774825</v>
      </c>
      <c r="AZ426" s="13">
        <f t="shared" si="611"/>
        <v>3.6359203629032315</v>
      </c>
      <c r="BA426" s="13">
        <f t="shared" si="612"/>
        <v>1.1914508973542226</v>
      </c>
      <c r="BB426" s="97">
        <f t="shared" si="613"/>
        <v>8.5806467741928572E-2</v>
      </c>
      <c r="BC426" s="499"/>
      <c r="BD426" s="499">
        <v>28.75</v>
      </c>
      <c r="BE426" s="499">
        <v>26.651786895161283</v>
      </c>
      <c r="BF426" s="499">
        <v>19.871404233870962</v>
      </c>
      <c r="BG426" s="499">
        <v>26.418096517074179</v>
      </c>
      <c r="BI426" s="499">
        <f t="shared" ref="BI426:BJ426" si="648">AS429</f>
        <v>446</v>
      </c>
      <c r="BJ426" s="499">
        <f t="shared" si="648"/>
        <v>13.150460000000001</v>
      </c>
      <c r="BK426" s="5">
        <f t="shared" si="586"/>
        <v>0</v>
      </c>
      <c r="BL426" s="499">
        <f t="shared" si="587"/>
        <v>22.958390999999999</v>
      </c>
      <c r="BM426" s="499">
        <f t="shared" si="588"/>
        <v>824.09269700000004</v>
      </c>
      <c r="BO426" s="499">
        <f t="shared" si="589"/>
        <v>446</v>
      </c>
      <c r="BP426" s="499">
        <f t="shared" si="590"/>
        <v>13.150460000000001</v>
      </c>
      <c r="BQ426" s="5">
        <f t="shared" si="583"/>
        <v>0</v>
      </c>
      <c r="BR426" s="499">
        <f t="shared" si="591"/>
        <v>19.616067008064519</v>
      </c>
      <c r="BS426" s="499">
        <f t="shared" si="592"/>
        <v>824.09269700000004</v>
      </c>
      <c r="BU426" s="499">
        <f t="shared" si="593"/>
        <v>446</v>
      </c>
      <c r="BV426" s="499">
        <f t="shared" si="594"/>
        <v>13.150460000000001</v>
      </c>
      <c r="BW426" s="5">
        <f t="shared" si="584"/>
        <v>0</v>
      </c>
      <c r="BX426" s="499">
        <f t="shared" si="595"/>
        <v>21.585049271250451</v>
      </c>
      <c r="BY426" s="499">
        <f t="shared" si="596"/>
        <v>824.09269700000004</v>
      </c>
      <c r="CA426">
        <v>446</v>
      </c>
      <c r="CB426">
        <v>13.150460000000001</v>
      </c>
      <c r="CC426">
        <v>0</v>
      </c>
      <c r="CD426">
        <v>21.108605600000001</v>
      </c>
      <c r="CE426">
        <v>824.09269700000004</v>
      </c>
      <c r="CG426" s="499">
        <f t="shared" si="597"/>
        <v>0</v>
      </c>
      <c r="CH426" s="499">
        <f t="shared" si="598"/>
        <v>0</v>
      </c>
      <c r="CI426" s="499">
        <f t="shared" si="599"/>
        <v>0</v>
      </c>
      <c r="CJ426" s="499">
        <f t="shared" si="600"/>
        <v>0</v>
      </c>
      <c r="CP426" s="499"/>
      <c r="CQ426" s="65">
        <f t="shared" si="602"/>
        <v>0.90172484270133435</v>
      </c>
      <c r="CR426" s="499">
        <f t="shared" si="603"/>
        <v>0.97874230546094554</v>
      </c>
      <c r="CS426" s="499">
        <f t="shared" si="604"/>
        <v>0.97418096728507908</v>
      </c>
      <c r="CT426" s="38">
        <f t="shared" si="605"/>
        <v>1.0854112686181372</v>
      </c>
      <c r="CU426" s="498">
        <f t="shared" si="606"/>
        <v>1.0803528095851114</v>
      </c>
    </row>
    <row r="427" spans="43:99">
      <c r="AQ427" s="499"/>
      <c r="AR427" s="228">
        <v>25.017679999999999</v>
      </c>
      <c r="AS427" s="13">
        <v>98</v>
      </c>
      <c r="AT427" s="13">
        <v>12.927365</v>
      </c>
      <c r="AU427" s="13">
        <f t="shared" si="617"/>
        <v>0</v>
      </c>
      <c r="AV427" s="13">
        <f t="shared" si="608"/>
        <v>23.682316129032259</v>
      </c>
      <c r="AW427" s="13">
        <f t="shared" si="609"/>
        <v>19.786803225806455</v>
      </c>
      <c r="AX427" s="13">
        <f t="shared" si="610"/>
        <v>23.178943867380948</v>
      </c>
      <c r="AY427" s="13">
        <v>1000.931846</v>
      </c>
      <c r="AZ427" s="13">
        <f t="shared" si="611"/>
        <v>3.8955129032258036</v>
      </c>
      <c r="BA427" s="13">
        <f t="shared" si="612"/>
        <v>0.50337226165131099</v>
      </c>
      <c r="BB427" s="97">
        <f t="shared" si="613"/>
        <v>1.3353638709677398</v>
      </c>
      <c r="BC427" s="499"/>
      <c r="BD427" s="499">
        <v>28.55</v>
      </c>
      <c r="BE427" s="499">
        <v>26.651279435483872</v>
      </c>
      <c r="BF427" s="499">
        <v>19.837932661290314</v>
      </c>
      <c r="BG427" s="499">
        <v>26.398363638562273</v>
      </c>
      <c r="BI427" s="499">
        <f t="shared" ref="BI427:BJ427" si="649">AS430</f>
        <v>149</v>
      </c>
      <c r="BJ427" s="499">
        <f t="shared" si="649"/>
        <v>13.319471</v>
      </c>
      <c r="BK427" s="5">
        <f t="shared" si="586"/>
        <v>0</v>
      </c>
      <c r="BL427" s="499">
        <f t="shared" si="587"/>
        <v>23.115731</v>
      </c>
      <c r="BM427" s="499">
        <f t="shared" si="588"/>
        <v>999.28893800000003</v>
      </c>
      <c r="BO427" s="499">
        <f t="shared" si="589"/>
        <v>149</v>
      </c>
      <c r="BP427" s="499">
        <f t="shared" si="590"/>
        <v>13.319471</v>
      </c>
      <c r="BQ427" s="5">
        <f t="shared" si="583"/>
        <v>0</v>
      </c>
      <c r="BR427" s="499">
        <f t="shared" si="591"/>
        <v>19.580190274193551</v>
      </c>
      <c r="BS427" s="499">
        <f t="shared" si="592"/>
        <v>999.28893800000003</v>
      </c>
      <c r="BU427" s="499">
        <f t="shared" si="593"/>
        <v>149</v>
      </c>
      <c r="BV427" s="499">
        <f t="shared" si="594"/>
        <v>13.319471</v>
      </c>
      <c r="BW427" s="5">
        <f t="shared" si="584"/>
        <v>0</v>
      </c>
      <c r="BX427" s="499">
        <f t="shared" si="595"/>
        <v>21.712562973587829</v>
      </c>
      <c r="BY427" s="499">
        <f t="shared" si="596"/>
        <v>999.28893800000003</v>
      </c>
      <c r="CA427">
        <v>149</v>
      </c>
      <c r="CB427">
        <v>13.319471</v>
      </c>
      <c r="CC427">
        <v>0</v>
      </c>
      <c r="CD427">
        <v>21.493288209999999</v>
      </c>
      <c r="CE427">
        <v>999.28893800000003</v>
      </c>
      <c r="CG427" s="499">
        <f t="shared" si="597"/>
        <v>0</v>
      </c>
      <c r="CH427" s="499">
        <f t="shared" si="598"/>
        <v>0</v>
      </c>
      <c r="CI427" s="499">
        <f t="shared" si="599"/>
        <v>0</v>
      </c>
      <c r="CJ427" s="499">
        <f t="shared" si="600"/>
        <v>0</v>
      </c>
      <c r="CP427" s="499"/>
      <c r="CQ427" s="65">
        <f t="shared" si="602"/>
        <v>0.92121375438486397</v>
      </c>
      <c r="CR427" s="499">
        <f t="shared" si="603"/>
        <v>0.97878001199945486</v>
      </c>
      <c r="CS427" s="499">
        <f t="shared" si="604"/>
        <v>0.97487606841185737</v>
      </c>
      <c r="CT427" s="38">
        <f t="shared" si="605"/>
        <v>1.0624895767573841</v>
      </c>
      <c r="CU427" s="498">
        <f t="shared" si="606"/>
        <v>1.0582517507707276</v>
      </c>
    </row>
    <row r="428" spans="43:99">
      <c r="AQ428" s="499"/>
      <c r="AR428" s="228">
        <v>23.115731</v>
      </c>
      <c r="AS428" s="13">
        <v>465</v>
      </c>
      <c r="AT428" s="13">
        <v>13.124148999999999</v>
      </c>
      <c r="AU428" s="13">
        <f t="shared" si="617"/>
        <v>0</v>
      </c>
      <c r="AV428" s="13">
        <f t="shared" si="608"/>
        <v>22.487957258064512</v>
      </c>
      <c r="AW428" s="13">
        <f t="shared" si="609"/>
        <v>19.182695161290322</v>
      </c>
      <c r="AX428" s="13">
        <f t="shared" si="610"/>
        <v>21.038576348969787</v>
      </c>
      <c r="AY428" s="13">
        <v>999.78151000000003</v>
      </c>
      <c r="AZ428" s="13">
        <f t="shared" si="611"/>
        <v>3.3052620967741895</v>
      </c>
      <c r="BA428" s="13">
        <f t="shared" si="612"/>
        <v>1.4493809090947245</v>
      </c>
      <c r="BB428" s="97">
        <f t="shared" si="613"/>
        <v>0.62777374193548852</v>
      </c>
      <c r="BC428" s="499"/>
      <c r="BD428" s="499">
        <v>28.35</v>
      </c>
      <c r="BE428" s="499">
        <v>26.550267741935482</v>
      </c>
      <c r="BF428" s="499">
        <v>19.81067197580645</v>
      </c>
      <c r="BG428" s="499">
        <v>26.261549263992674</v>
      </c>
      <c r="BI428" s="499">
        <f t="shared" ref="BI428:BJ428" si="650">AS431</f>
        <v>202</v>
      </c>
      <c r="BJ428" s="499">
        <f t="shared" si="650"/>
        <v>13.387649</v>
      </c>
      <c r="BK428" s="5">
        <f t="shared" si="586"/>
        <v>1</v>
      </c>
      <c r="BL428" s="499">
        <f t="shared" si="587"/>
        <v>25.491440000000001</v>
      </c>
      <c r="BM428" s="499">
        <f t="shared" si="588"/>
        <v>410.23107399999998</v>
      </c>
      <c r="BO428" s="499">
        <f t="shared" si="589"/>
        <v>202</v>
      </c>
      <c r="BP428" s="499">
        <f t="shared" si="590"/>
        <v>13.387649</v>
      </c>
      <c r="BQ428" s="5">
        <f t="shared" si="583"/>
        <v>0</v>
      </c>
      <c r="BR428" s="499">
        <f t="shared" si="591"/>
        <v>22.444362379032253</v>
      </c>
      <c r="BS428" s="499">
        <f t="shared" si="592"/>
        <v>410.23107399999998</v>
      </c>
      <c r="BU428" s="499">
        <f t="shared" si="593"/>
        <v>202</v>
      </c>
      <c r="BV428" s="499">
        <f t="shared" si="594"/>
        <v>13.387649</v>
      </c>
      <c r="BW428" s="5">
        <f t="shared" si="584"/>
        <v>1</v>
      </c>
      <c r="BX428" s="499">
        <f t="shared" si="595"/>
        <v>24.819300709179213</v>
      </c>
      <c r="BY428" s="499">
        <f t="shared" si="596"/>
        <v>410.23107399999998</v>
      </c>
      <c r="CA428">
        <v>202</v>
      </c>
      <c r="CB428">
        <v>13.387649</v>
      </c>
      <c r="CC428">
        <v>0</v>
      </c>
      <c r="CD428">
        <v>24.108482810000002</v>
      </c>
      <c r="CE428">
        <v>410.23107399999998</v>
      </c>
      <c r="CG428" s="499">
        <f t="shared" si="597"/>
        <v>1</v>
      </c>
      <c r="CH428" s="499">
        <f t="shared" si="598"/>
        <v>0</v>
      </c>
      <c r="CI428" s="499">
        <f t="shared" si="599"/>
        <v>1</v>
      </c>
      <c r="CJ428" s="499">
        <f t="shared" si="600"/>
        <v>0</v>
      </c>
      <c r="CP428" s="499"/>
      <c r="CQ428" s="65">
        <f t="shared" si="602"/>
        <v>0.90172484270133435</v>
      </c>
      <c r="CR428" s="499">
        <f t="shared" si="603"/>
        <v>0.97878551488904397</v>
      </c>
      <c r="CS428" s="499">
        <f t="shared" si="604"/>
        <v>0.97373335434476926</v>
      </c>
      <c r="CT428" s="38">
        <f t="shared" si="605"/>
        <v>1.0854591872581172</v>
      </c>
      <c r="CU428" s="498">
        <f t="shared" si="606"/>
        <v>1.0798564132132769</v>
      </c>
    </row>
    <row r="429" spans="43:99">
      <c r="AQ429" s="499"/>
      <c r="AR429" s="228">
        <v>22.958390999999999</v>
      </c>
      <c r="AS429" s="13">
        <v>446</v>
      </c>
      <c r="AT429" s="13">
        <v>13.150460000000001</v>
      </c>
      <c r="AU429" s="13">
        <f t="shared" si="617"/>
        <v>0</v>
      </c>
      <c r="AV429" s="13">
        <f t="shared" si="608"/>
        <v>22.495841330645153</v>
      </c>
      <c r="AW429" s="13">
        <f t="shared" si="609"/>
        <v>19.153517338709673</v>
      </c>
      <c r="AX429" s="13">
        <f t="shared" si="610"/>
        <v>21.122499601895605</v>
      </c>
      <c r="AY429" s="13">
        <v>824.09269700000004</v>
      </c>
      <c r="AZ429" s="13">
        <f t="shared" si="611"/>
        <v>3.3423239919354799</v>
      </c>
      <c r="BA429" s="13">
        <f t="shared" si="612"/>
        <v>1.3733417287495477</v>
      </c>
      <c r="BB429" s="97">
        <f t="shared" si="613"/>
        <v>0.46254966935484632</v>
      </c>
      <c r="BC429" s="499"/>
      <c r="BD429" s="499">
        <v>28.15</v>
      </c>
      <c r="BE429" s="499">
        <v>26.421549193548376</v>
      </c>
      <c r="BF429" s="499">
        <v>19.774776209677416</v>
      </c>
      <c r="BG429" s="499">
        <v>26.154661974391026</v>
      </c>
      <c r="BI429" s="499">
        <f t="shared" ref="BI429:BJ429" si="651">AS432</f>
        <v>85</v>
      </c>
      <c r="BJ429" s="499">
        <f t="shared" si="651"/>
        <v>13.500397</v>
      </c>
      <c r="BK429" s="5">
        <f t="shared" si="586"/>
        <v>1</v>
      </c>
      <c r="BL429" s="499">
        <f t="shared" si="587"/>
        <v>25.186457000000001</v>
      </c>
      <c r="BM429" s="499">
        <f t="shared" si="588"/>
        <v>392.09173099999998</v>
      </c>
      <c r="BO429" s="499">
        <f t="shared" si="589"/>
        <v>85</v>
      </c>
      <c r="BP429" s="499">
        <f t="shared" si="590"/>
        <v>13.500397</v>
      </c>
      <c r="BQ429" s="5">
        <f t="shared" si="583"/>
        <v>0</v>
      </c>
      <c r="BR429" s="499">
        <f t="shared" si="591"/>
        <v>22.058230185483865</v>
      </c>
      <c r="BS429" s="499">
        <f t="shared" si="592"/>
        <v>392.09173099999998</v>
      </c>
      <c r="BU429" s="499">
        <f t="shared" si="593"/>
        <v>85</v>
      </c>
      <c r="BV429" s="499">
        <f t="shared" si="594"/>
        <v>13.500397</v>
      </c>
      <c r="BW429" s="5">
        <f t="shared" si="584"/>
        <v>0</v>
      </c>
      <c r="BX429" s="499">
        <f t="shared" si="595"/>
        <v>24.004343651960149</v>
      </c>
      <c r="BY429" s="499">
        <f t="shared" si="596"/>
        <v>392.09173099999998</v>
      </c>
      <c r="CA429">
        <v>85</v>
      </c>
      <c r="CB429">
        <v>13.500397</v>
      </c>
      <c r="CC429">
        <v>0</v>
      </c>
      <c r="CD429">
        <v>23.275928270000001</v>
      </c>
      <c r="CE429">
        <v>392.09173099999998</v>
      </c>
      <c r="CG429" s="499">
        <f t="shared" si="597"/>
        <v>1</v>
      </c>
      <c r="CH429" s="499">
        <f t="shared" si="598"/>
        <v>0</v>
      </c>
      <c r="CI429" s="499">
        <f t="shared" si="599"/>
        <v>0</v>
      </c>
      <c r="CJ429" s="499">
        <f t="shared" si="600"/>
        <v>0</v>
      </c>
      <c r="CP429" s="499"/>
      <c r="CQ429" s="65">
        <f t="shared" si="602"/>
        <v>9.2366117460763869E-2</v>
      </c>
      <c r="CR429" s="499">
        <f t="shared" si="603"/>
        <v>0.95728748147094234</v>
      </c>
      <c r="CS429" s="499">
        <f t="shared" si="604"/>
        <v>0.27772888773465315</v>
      </c>
      <c r="CT429" s="38">
        <f t="shared" si="605"/>
        <v>10.364054566628155</v>
      </c>
      <c r="CU429" s="498">
        <f t="shared" si="606"/>
        <v>3.0068264789047716</v>
      </c>
    </row>
    <row r="430" spans="43:99">
      <c r="AQ430" s="499"/>
      <c r="AR430" s="228">
        <v>23.115731</v>
      </c>
      <c r="AS430" s="13">
        <v>149</v>
      </c>
      <c r="AT430" s="13">
        <v>13.319471</v>
      </c>
      <c r="AU430" s="13">
        <f t="shared" si="617"/>
        <v>0</v>
      </c>
      <c r="AV430" s="13">
        <f t="shared" si="608"/>
        <v>22.664635483870963</v>
      </c>
      <c r="AW430" s="13">
        <f t="shared" si="609"/>
        <v>19.129094758064515</v>
      </c>
      <c r="AX430" s="13">
        <f t="shared" si="610"/>
        <v>21.261467457458792</v>
      </c>
      <c r="AY430" s="13">
        <v>999.28893800000003</v>
      </c>
      <c r="AZ430" s="13">
        <f t="shared" si="611"/>
        <v>3.5355407258064488</v>
      </c>
      <c r="BA430" s="13">
        <f t="shared" si="612"/>
        <v>1.4031680264121711</v>
      </c>
      <c r="BB430" s="97">
        <f t="shared" si="613"/>
        <v>0.45109551612903687</v>
      </c>
      <c r="BC430" s="499"/>
      <c r="BD430" s="499">
        <v>27.95</v>
      </c>
      <c r="BE430" s="499">
        <v>26.452722379032259</v>
      </c>
      <c r="BF430" s="499">
        <v>19.753848387096767</v>
      </c>
      <c r="BG430" s="499">
        <v>26.172333622829672</v>
      </c>
      <c r="BI430" s="499">
        <f t="shared" ref="BI430:BJ430" si="652">AS433</f>
        <v>416</v>
      </c>
      <c r="BJ430" s="499">
        <f t="shared" si="652"/>
        <v>13.525224</v>
      </c>
      <c r="BK430" s="5">
        <f t="shared" si="586"/>
        <v>0</v>
      </c>
      <c r="BL430" s="499">
        <f t="shared" si="587"/>
        <v>23.422604</v>
      </c>
      <c r="BM430" s="499">
        <f t="shared" si="588"/>
        <v>135.35160200000001</v>
      </c>
      <c r="BO430" s="499">
        <f t="shared" si="589"/>
        <v>416</v>
      </c>
      <c r="BP430" s="499">
        <f t="shared" si="590"/>
        <v>13.525224</v>
      </c>
      <c r="BQ430" s="5">
        <f t="shared" si="583"/>
        <v>0</v>
      </c>
      <c r="BR430" s="499">
        <f t="shared" si="591"/>
        <v>20.375526379032252</v>
      </c>
      <c r="BS430" s="499">
        <f t="shared" si="592"/>
        <v>135.35160200000001</v>
      </c>
      <c r="BU430" s="499">
        <f t="shared" si="593"/>
        <v>416</v>
      </c>
      <c r="BV430" s="499">
        <f t="shared" si="594"/>
        <v>13.525224</v>
      </c>
      <c r="BW430" s="5">
        <f t="shared" si="584"/>
        <v>0</v>
      </c>
      <c r="BX430" s="499">
        <f t="shared" si="595"/>
        <v>22.750464709179212</v>
      </c>
      <c r="BY430" s="499">
        <f t="shared" si="596"/>
        <v>135.35160200000001</v>
      </c>
      <c r="CA430">
        <v>416</v>
      </c>
      <c r="CB430">
        <v>13.525224</v>
      </c>
      <c r="CC430">
        <v>0</v>
      </c>
      <c r="CD430">
        <v>22.039646810000001</v>
      </c>
      <c r="CE430">
        <v>135.35160200000001</v>
      </c>
      <c r="CG430" s="499">
        <f t="shared" si="597"/>
        <v>0</v>
      </c>
      <c r="CH430" s="499">
        <f t="shared" si="598"/>
        <v>0</v>
      </c>
      <c r="CI430" s="499">
        <f t="shared" si="599"/>
        <v>0</v>
      </c>
      <c r="CJ430" s="499">
        <f t="shared" si="600"/>
        <v>0</v>
      </c>
      <c r="CP430" s="499"/>
      <c r="CQ430" s="65">
        <f t="shared" si="602"/>
        <v>0.15697058974800501</v>
      </c>
      <c r="CR430" s="499">
        <f t="shared" si="603"/>
        <v>0.96872398087545708</v>
      </c>
      <c r="CS430" s="499">
        <f t="shared" si="604"/>
        <v>0.65257997705013604</v>
      </c>
      <c r="CT430" s="38">
        <f t="shared" si="605"/>
        <v>6.1713724999734794</v>
      </c>
      <c r="CU430" s="498">
        <f t="shared" si="606"/>
        <v>4.1573391429424111</v>
      </c>
    </row>
    <row r="431" spans="43:99">
      <c r="AQ431" s="499"/>
      <c r="AR431" s="228">
        <v>25.491440000000001</v>
      </c>
      <c r="AS431" s="13">
        <v>202</v>
      </c>
      <c r="AT431" s="13">
        <v>13.387649</v>
      </c>
      <c r="AU431" s="13">
        <f t="shared" si="617"/>
        <v>0</v>
      </c>
      <c r="AV431" s="13">
        <f t="shared" si="608"/>
        <v>22.496056451612908</v>
      </c>
      <c r="AW431" s="13">
        <f t="shared" si="609"/>
        <v>19.44897883064516</v>
      </c>
      <c r="AX431" s="13">
        <f t="shared" si="610"/>
        <v>21.823917160792121</v>
      </c>
      <c r="AY431" s="13">
        <v>410.23107399999998</v>
      </c>
      <c r="AZ431" s="13">
        <f t="shared" si="611"/>
        <v>3.0470776209677481</v>
      </c>
      <c r="BA431" s="13">
        <f t="shared" si="612"/>
        <v>0.67213929082078749</v>
      </c>
      <c r="BB431" s="97">
        <f t="shared" si="613"/>
        <v>2.9953835483870925</v>
      </c>
      <c r="BC431" s="499"/>
      <c r="BD431" s="499">
        <v>27.75</v>
      </c>
      <c r="BE431" s="499">
        <v>26.482107862903227</v>
      </c>
      <c r="BF431" s="499">
        <v>19.726113709677421</v>
      </c>
      <c r="BG431" s="499">
        <v>26.198078848841575</v>
      </c>
      <c r="BI431" s="499">
        <f t="shared" ref="BI431:BJ431" si="653">AS434</f>
        <v>261</v>
      </c>
      <c r="BJ431" s="499">
        <f t="shared" si="653"/>
        <v>13.747998000000001</v>
      </c>
      <c r="BK431" s="5">
        <f t="shared" si="586"/>
        <v>1</v>
      </c>
      <c r="BL431" s="499">
        <f t="shared" si="587"/>
        <v>25.491440000000001</v>
      </c>
      <c r="BM431" s="499">
        <f t="shared" si="588"/>
        <v>525.42002100000002</v>
      </c>
      <c r="BO431" s="499">
        <f t="shared" si="589"/>
        <v>261</v>
      </c>
      <c r="BP431" s="499">
        <f t="shared" si="590"/>
        <v>13.747998000000001</v>
      </c>
      <c r="BQ431" s="5">
        <f t="shared" si="583"/>
        <v>1</v>
      </c>
      <c r="BR431" s="499">
        <f t="shared" si="591"/>
        <v>25.491440000000001</v>
      </c>
      <c r="BS431" s="499">
        <f t="shared" si="592"/>
        <v>525.42002100000002</v>
      </c>
      <c r="BU431" s="499">
        <f t="shared" si="593"/>
        <v>261</v>
      </c>
      <c r="BV431" s="499">
        <f t="shared" si="594"/>
        <v>13.747998000000001</v>
      </c>
      <c r="BW431" s="5">
        <f t="shared" si="584"/>
        <v>1</v>
      </c>
      <c r="BX431" s="499">
        <f t="shared" si="595"/>
        <v>25.491440000000001</v>
      </c>
      <c r="BY431" s="499">
        <f t="shared" si="596"/>
        <v>525.42002100000002</v>
      </c>
      <c r="CA431">
        <v>261</v>
      </c>
      <c r="CB431">
        <v>13.747998000000001</v>
      </c>
      <c r="CC431">
        <v>1</v>
      </c>
      <c r="CD431">
        <v>25.491440000000001</v>
      </c>
      <c r="CE431">
        <v>525.42002100000002</v>
      </c>
      <c r="CG431" s="499">
        <f t="shared" si="597"/>
        <v>1</v>
      </c>
      <c r="CH431" s="499">
        <f t="shared" si="598"/>
        <v>1</v>
      </c>
      <c r="CI431" s="499">
        <f t="shared" si="599"/>
        <v>1</v>
      </c>
      <c r="CJ431" s="499">
        <f t="shared" si="600"/>
        <v>1</v>
      </c>
      <c r="CP431" s="499"/>
      <c r="CQ431" s="65">
        <f t="shared" si="602"/>
        <v>0.84574775257740309</v>
      </c>
      <c r="CR431" s="499">
        <f t="shared" si="603"/>
        <v>0.97849839643900238</v>
      </c>
      <c r="CS431" s="499">
        <f t="shared" si="604"/>
        <v>0.93994691864072732</v>
      </c>
      <c r="CT431" s="38">
        <f t="shared" si="605"/>
        <v>1.1569624553621853</v>
      </c>
      <c r="CU431" s="498">
        <f t="shared" si="606"/>
        <v>1.1113797415083324</v>
      </c>
    </row>
    <row r="432" spans="43:99">
      <c r="AQ432" s="499"/>
      <c r="AR432" s="228">
        <v>25.186457000000001</v>
      </c>
      <c r="AS432" s="13">
        <v>85</v>
      </c>
      <c r="AT432" s="13">
        <v>13.500397</v>
      </c>
      <c r="AU432" s="13">
        <f t="shared" si="617"/>
        <v>0</v>
      </c>
      <c r="AV432" s="13">
        <f t="shared" si="608"/>
        <v>22.307847580645163</v>
      </c>
      <c r="AW432" s="13">
        <f t="shared" si="609"/>
        <v>19.179620766129027</v>
      </c>
      <c r="AX432" s="13">
        <f t="shared" si="610"/>
        <v>21.125734232605311</v>
      </c>
      <c r="AY432" s="13">
        <v>392.09173099999998</v>
      </c>
      <c r="AZ432" s="13">
        <f t="shared" si="611"/>
        <v>3.128226814516136</v>
      </c>
      <c r="BA432" s="13">
        <f t="shared" si="612"/>
        <v>1.1821133480398522</v>
      </c>
      <c r="BB432" s="97">
        <f t="shared" si="613"/>
        <v>2.8786094193548379</v>
      </c>
      <c r="BC432" s="499"/>
      <c r="BD432" s="499">
        <v>27.55</v>
      </c>
      <c r="BE432" s="499">
        <v>26.513720967741943</v>
      </c>
      <c r="BF432" s="499">
        <v>19.729744354838719</v>
      </c>
      <c r="BG432" s="499">
        <v>26.227330980567771</v>
      </c>
      <c r="BI432" s="499">
        <f t="shared" ref="BI432:BJ432" si="654">AS435</f>
        <v>243</v>
      </c>
      <c r="BJ432" s="499">
        <f t="shared" si="654"/>
        <v>14.007412</v>
      </c>
      <c r="BK432" s="5">
        <f t="shared" si="586"/>
        <v>1</v>
      </c>
      <c r="BL432" s="499">
        <f t="shared" si="587"/>
        <v>25.373000000000001</v>
      </c>
      <c r="BM432" s="499">
        <f t="shared" si="588"/>
        <v>1000.369002</v>
      </c>
      <c r="BO432" s="499">
        <f t="shared" si="589"/>
        <v>243</v>
      </c>
      <c r="BP432" s="499">
        <f t="shared" si="590"/>
        <v>14.007412</v>
      </c>
      <c r="BQ432" s="5">
        <f t="shared" si="583"/>
        <v>0</v>
      </c>
      <c r="BR432" s="499">
        <f t="shared" si="591"/>
        <v>22.312647983870967</v>
      </c>
      <c r="BS432" s="499">
        <f t="shared" si="592"/>
        <v>1000.369002</v>
      </c>
      <c r="BU432" s="499">
        <f t="shared" si="593"/>
        <v>243</v>
      </c>
      <c r="BV432" s="499">
        <f t="shared" si="594"/>
        <v>14.007412</v>
      </c>
      <c r="BW432" s="5">
        <f t="shared" si="584"/>
        <v>1</v>
      </c>
      <c r="BX432" s="499">
        <f t="shared" si="595"/>
        <v>25.331138252737794</v>
      </c>
      <c r="BY432" s="499">
        <f t="shared" si="596"/>
        <v>1000.369002</v>
      </c>
      <c r="CA432">
        <v>243</v>
      </c>
      <c r="CB432">
        <v>14.007412</v>
      </c>
      <c r="CC432">
        <v>1</v>
      </c>
      <c r="CD432">
        <v>24.4935428</v>
      </c>
      <c r="CE432">
        <v>1000.369002</v>
      </c>
      <c r="CG432" s="499">
        <f t="shared" si="597"/>
        <v>1</v>
      </c>
      <c r="CH432" s="499">
        <f t="shared" si="598"/>
        <v>0</v>
      </c>
      <c r="CI432" s="499">
        <f t="shared" si="599"/>
        <v>1</v>
      </c>
      <c r="CJ432" s="499">
        <f t="shared" si="600"/>
        <v>1</v>
      </c>
      <c r="CP432" s="499"/>
      <c r="CQ432" s="65">
        <f t="shared" si="602"/>
        <v>9.2366117460763869E-2</v>
      </c>
      <c r="CR432" s="499">
        <f t="shared" si="603"/>
        <v>9.2366117460763869E-2</v>
      </c>
      <c r="CS432" s="499">
        <f t="shared" si="604"/>
        <v>9.2366117460763869E-2</v>
      </c>
      <c r="CT432" s="38">
        <f t="shared" si="605"/>
        <v>1</v>
      </c>
      <c r="CU432" s="498">
        <f t="shared" si="606"/>
        <v>1</v>
      </c>
    </row>
    <row r="433" spans="43:99">
      <c r="AQ433" s="499"/>
      <c r="AR433" s="228">
        <v>23.422604</v>
      </c>
      <c r="AS433" s="13">
        <v>416</v>
      </c>
      <c r="AT433" s="13">
        <v>13.525224</v>
      </c>
      <c r="AU433" s="13">
        <f t="shared" si="617"/>
        <v>0</v>
      </c>
      <c r="AV433" s="13">
        <f t="shared" si="608"/>
        <v>22.496056451612908</v>
      </c>
      <c r="AW433" s="13">
        <f t="shared" si="609"/>
        <v>19.44897883064516</v>
      </c>
      <c r="AX433" s="13">
        <f t="shared" si="610"/>
        <v>21.823917160792121</v>
      </c>
      <c r="AY433" s="13">
        <v>135.35160200000001</v>
      </c>
      <c r="AZ433" s="13">
        <f t="shared" si="611"/>
        <v>3.0470776209677481</v>
      </c>
      <c r="BA433" s="13">
        <f t="shared" si="612"/>
        <v>0.67213929082078749</v>
      </c>
      <c r="BB433" s="97">
        <f t="shared" si="613"/>
        <v>0.92654754838709152</v>
      </c>
      <c r="BC433" s="499"/>
      <c r="BD433" s="499">
        <v>27.35</v>
      </c>
      <c r="BE433" s="499">
        <v>26.541623588709687</v>
      </c>
      <c r="BF433" s="499">
        <v>19.707799999999999</v>
      </c>
      <c r="BG433" s="499">
        <v>26.25312687833333</v>
      </c>
      <c r="BI433" s="499">
        <f t="shared" ref="BI433:BJ433" si="655">AS436</f>
        <v>158</v>
      </c>
      <c r="BJ433" s="499">
        <f t="shared" si="655"/>
        <v>14.111464</v>
      </c>
      <c r="BK433" s="5">
        <f t="shared" si="586"/>
        <v>1</v>
      </c>
      <c r="BL433" s="499">
        <f t="shared" si="587"/>
        <v>25.186457000000001</v>
      </c>
      <c r="BM433" s="499">
        <f t="shared" si="588"/>
        <v>711.49928399999999</v>
      </c>
      <c r="BO433" s="499">
        <f t="shared" si="589"/>
        <v>158</v>
      </c>
      <c r="BP433" s="499">
        <f t="shared" si="590"/>
        <v>14.111464</v>
      </c>
      <c r="BQ433" s="5">
        <f t="shared" si="583"/>
        <v>0</v>
      </c>
      <c r="BR433" s="499">
        <f t="shared" si="591"/>
        <v>22.185149137096786</v>
      </c>
      <c r="BS433" s="499">
        <f t="shared" si="592"/>
        <v>711.49928399999999</v>
      </c>
      <c r="BU433" s="499">
        <f t="shared" si="593"/>
        <v>158</v>
      </c>
      <c r="BV433" s="499">
        <f t="shared" si="594"/>
        <v>14.111464</v>
      </c>
      <c r="BW433" s="5">
        <f t="shared" si="584"/>
        <v>0</v>
      </c>
      <c r="BX433" s="499">
        <f t="shared" si="595"/>
        <v>24.300001501458262</v>
      </c>
      <c r="BY433" s="499">
        <f t="shared" si="596"/>
        <v>711.49928399999999</v>
      </c>
      <c r="CA433">
        <v>158</v>
      </c>
      <c r="CB433">
        <v>14.111464</v>
      </c>
      <c r="CC433">
        <v>0</v>
      </c>
      <c r="CD433">
        <v>23.21195689</v>
      </c>
      <c r="CE433">
        <v>711.49928399999999</v>
      </c>
      <c r="CG433" s="499">
        <f t="shared" si="597"/>
        <v>1</v>
      </c>
      <c r="CH433" s="499">
        <f t="shared" si="598"/>
        <v>0</v>
      </c>
      <c r="CI433" s="499">
        <f t="shared" si="599"/>
        <v>0</v>
      </c>
      <c r="CJ433" s="499">
        <f t="shared" si="600"/>
        <v>0</v>
      </c>
      <c r="CP433" s="499"/>
      <c r="CQ433" s="65">
        <f t="shared" si="602"/>
        <v>0.11401833605025438</v>
      </c>
      <c r="CR433" s="499">
        <f t="shared" si="603"/>
        <v>0.96217006034075225</v>
      </c>
      <c r="CS433" s="499">
        <f t="shared" si="604"/>
        <v>0.12266805460055236</v>
      </c>
      <c r="CT433" s="38">
        <f t="shared" si="605"/>
        <v>8.4387309416326595</v>
      </c>
      <c r="CU433" s="498">
        <f t="shared" si="606"/>
        <v>1.0758625222041966</v>
      </c>
    </row>
    <row r="434" spans="43:99">
      <c r="AQ434" s="499"/>
      <c r="AR434" s="228">
        <v>25.491440000000001</v>
      </c>
      <c r="AS434" s="13">
        <v>261</v>
      </c>
      <c r="AT434" s="13">
        <v>13.747998000000001</v>
      </c>
      <c r="AU434" s="13">
        <f t="shared" si="617"/>
        <v>0</v>
      </c>
      <c r="AV434" s="13">
        <f t="shared" si="608"/>
        <v>0</v>
      </c>
      <c r="AW434" s="13">
        <f t="shared" si="609"/>
        <v>0</v>
      </c>
      <c r="AX434" s="13">
        <f t="shared" si="610"/>
        <v>0</v>
      </c>
      <c r="AY434" s="13">
        <v>525.42002100000002</v>
      </c>
      <c r="AZ434" s="13">
        <f t="shared" si="611"/>
        <v>0</v>
      </c>
      <c r="BA434" s="13">
        <f t="shared" si="612"/>
        <v>0</v>
      </c>
      <c r="BB434" s="97">
        <f t="shared" si="613"/>
        <v>0</v>
      </c>
      <c r="BC434" s="499"/>
      <c r="BD434" s="499">
        <v>27.15</v>
      </c>
      <c r="BE434" s="499">
        <v>26.582779637096763</v>
      </c>
      <c r="BF434" s="499">
        <v>19.717676612903233</v>
      </c>
      <c r="BG434" s="499">
        <v>26.284222383576008</v>
      </c>
      <c r="BI434" s="499">
        <f t="shared" ref="BI434:BJ434" si="656">AS437</f>
        <v>383</v>
      </c>
      <c r="BJ434" s="499">
        <f t="shared" si="656"/>
        <v>14.150919999999999</v>
      </c>
      <c r="BK434" s="5">
        <f t="shared" si="586"/>
        <v>1</v>
      </c>
      <c r="BL434" s="499">
        <f t="shared" si="587"/>
        <v>25.186457000000001</v>
      </c>
      <c r="BM434" s="499">
        <f t="shared" si="588"/>
        <v>568.98465099999999</v>
      </c>
      <c r="BO434" s="499">
        <f t="shared" si="589"/>
        <v>383</v>
      </c>
      <c r="BP434" s="499">
        <f t="shared" si="590"/>
        <v>14.150919999999999</v>
      </c>
      <c r="BQ434" s="5">
        <f t="shared" si="583"/>
        <v>1</v>
      </c>
      <c r="BR434" s="499">
        <f t="shared" si="591"/>
        <v>25.186457000000001</v>
      </c>
      <c r="BS434" s="499">
        <f t="shared" si="592"/>
        <v>568.98465099999999</v>
      </c>
      <c r="BU434" s="499">
        <f t="shared" si="593"/>
        <v>383</v>
      </c>
      <c r="BV434" s="499">
        <f t="shared" si="594"/>
        <v>14.150919999999999</v>
      </c>
      <c r="BW434" s="5">
        <f t="shared" si="584"/>
        <v>1</v>
      </c>
      <c r="BX434" s="499">
        <f t="shared" si="595"/>
        <v>25.186457000000001</v>
      </c>
      <c r="BY434" s="499">
        <f t="shared" si="596"/>
        <v>568.98465099999999</v>
      </c>
      <c r="CA434">
        <v>383</v>
      </c>
      <c r="CB434">
        <v>14.150919999999999</v>
      </c>
      <c r="CC434">
        <v>1</v>
      </c>
      <c r="CD434">
        <v>25.186457000000001</v>
      </c>
      <c r="CE434">
        <v>568.98465099999999</v>
      </c>
      <c r="CG434" s="499">
        <f t="shared" si="597"/>
        <v>1</v>
      </c>
      <c r="CH434" s="499">
        <f t="shared" si="598"/>
        <v>1</v>
      </c>
      <c r="CI434" s="499">
        <f t="shared" si="599"/>
        <v>1</v>
      </c>
      <c r="CJ434" s="499">
        <f t="shared" si="600"/>
        <v>1</v>
      </c>
      <c r="CP434" s="499"/>
      <c r="CQ434" s="65">
        <f t="shared" si="602"/>
        <v>0.15697058974800501</v>
      </c>
      <c r="CR434" s="499">
        <f t="shared" si="603"/>
        <v>0.96585539796948738</v>
      </c>
      <c r="CS434" s="499">
        <f t="shared" si="604"/>
        <v>0.51528186600678072</v>
      </c>
      <c r="CT434" s="38">
        <f t="shared" si="605"/>
        <v>6.1530978479474223</v>
      </c>
      <c r="CU434" s="498">
        <f t="shared" si="606"/>
        <v>3.2826650319272921</v>
      </c>
    </row>
    <row r="435" spans="43:99">
      <c r="AQ435" s="499"/>
      <c r="AR435" s="228">
        <v>25.373000000000001</v>
      </c>
      <c r="AS435" s="13">
        <v>243</v>
      </c>
      <c r="AT435" s="13">
        <v>14.007412</v>
      </c>
      <c r="AU435" s="13">
        <f t="shared" si="617"/>
        <v>0</v>
      </c>
      <c r="AV435" s="13">
        <f t="shared" si="608"/>
        <v>22.987614112903231</v>
      </c>
      <c r="AW435" s="13">
        <f t="shared" si="609"/>
        <v>19.927262096774196</v>
      </c>
      <c r="AX435" s="13">
        <f t="shared" si="610"/>
        <v>22.945752365641024</v>
      </c>
      <c r="AY435" s="13">
        <v>1000.369002</v>
      </c>
      <c r="AZ435" s="13">
        <f t="shared" si="611"/>
        <v>3.0603520161290341</v>
      </c>
      <c r="BA435" s="13">
        <f t="shared" si="612"/>
        <v>4.1861747262206705E-2</v>
      </c>
      <c r="BB435" s="97">
        <f t="shared" si="613"/>
        <v>2.3853858870967706</v>
      </c>
      <c r="BC435" s="499"/>
      <c r="BD435" s="499">
        <v>26.95</v>
      </c>
      <c r="BE435" s="499">
        <v>26.606301814516126</v>
      </c>
      <c r="BF435" s="499">
        <v>19.779320362903228</v>
      </c>
      <c r="BG435" s="499">
        <v>26.301606861616307</v>
      </c>
      <c r="BI435" s="499">
        <f t="shared" ref="BI435:BJ435" si="657">AS438</f>
        <v>308</v>
      </c>
      <c r="BJ435" s="499">
        <f t="shared" si="657"/>
        <v>14.178115</v>
      </c>
      <c r="BK435" s="5">
        <f t="shared" si="586"/>
        <v>0</v>
      </c>
      <c r="BL435" s="499">
        <f t="shared" si="587"/>
        <v>22.848009999999999</v>
      </c>
      <c r="BM435" s="499">
        <f t="shared" si="588"/>
        <v>751.61806000000001</v>
      </c>
      <c r="BO435" s="499">
        <f t="shared" si="589"/>
        <v>308</v>
      </c>
      <c r="BP435" s="499">
        <f t="shared" si="590"/>
        <v>14.178115</v>
      </c>
      <c r="BQ435" s="5">
        <f t="shared" si="583"/>
        <v>0</v>
      </c>
      <c r="BR435" s="499">
        <f t="shared" si="591"/>
        <v>19.044102943548381</v>
      </c>
      <c r="BS435" s="499">
        <f t="shared" si="592"/>
        <v>751.61806000000001</v>
      </c>
      <c r="BU435" s="499">
        <f t="shared" si="593"/>
        <v>308</v>
      </c>
      <c r="BV435" s="499">
        <f t="shared" si="594"/>
        <v>14.178115</v>
      </c>
      <c r="BW435" s="5">
        <f t="shared" si="584"/>
        <v>0</v>
      </c>
      <c r="BX435" s="499">
        <f t="shared" si="595"/>
        <v>21.454743882038574</v>
      </c>
      <c r="BY435" s="499">
        <f t="shared" si="596"/>
        <v>751.61806000000001</v>
      </c>
      <c r="CA435">
        <v>308</v>
      </c>
      <c r="CB435">
        <v>14.178115</v>
      </c>
      <c r="CC435">
        <v>0</v>
      </c>
      <c r="CD435">
        <v>21.111081330000001</v>
      </c>
      <c r="CE435">
        <v>751.61806000000001</v>
      </c>
      <c r="CG435" s="499">
        <f t="shared" si="597"/>
        <v>0</v>
      </c>
      <c r="CH435" s="499">
        <f t="shared" si="598"/>
        <v>0</v>
      </c>
      <c r="CI435" s="499">
        <f t="shared" si="599"/>
        <v>0</v>
      </c>
      <c r="CJ435" s="499">
        <f t="shared" si="600"/>
        <v>0</v>
      </c>
      <c r="CP435" s="499"/>
      <c r="CQ435" s="65">
        <f t="shared" si="602"/>
        <v>0.15697058974800501</v>
      </c>
      <c r="CR435" s="499">
        <f t="shared" si="603"/>
        <v>0.15697058974800501</v>
      </c>
      <c r="CS435" s="499">
        <f t="shared" si="604"/>
        <v>0.15697058974800501</v>
      </c>
      <c r="CT435" s="38">
        <f t="shared" si="605"/>
        <v>1</v>
      </c>
      <c r="CU435" s="498">
        <f t="shared" si="606"/>
        <v>1</v>
      </c>
    </row>
    <row r="436" spans="43:99">
      <c r="AQ436" s="499"/>
      <c r="AR436" s="228">
        <v>25.186457000000001</v>
      </c>
      <c r="AS436" s="13">
        <v>158</v>
      </c>
      <c r="AT436" s="13">
        <v>14.111464</v>
      </c>
      <c r="AU436" s="13">
        <f t="shared" si="617"/>
        <v>0</v>
      </c>
      <c r="AV436" s="13">
        <f t="shared" si="608"/>
        <v>22.166537903225802</v>
      </c>
      <c r="AW436" s="13">
        <f t="shared" si="609"/>
        <v>19.165230040322587</v>
      </c>
      <c r="AX436" s="13">
        <f t="shared" si="610"/>
        <v>21.280082404684062</v>
      </c>
      <c r="AY436" s="13">
        <v>711.49928399999999</v>
      </c>
      <c r="AZ436" s="13">
        <f t="shared" si="611"/>
        <v>3.0013078629032144</v>
      </c>
      <c r="BA436" s="13">
        <f t="shared" si="612"/>
        <v>0.88645549854173922</v>
      </c>
      <c r="BB436" s="97">
        <f t="shared" si="613"/>
        <v>3.0199190967741991</v>
      </c>
      <c r="BC436" s="499"/>
      <c r="BD436" s="499">
        <v>26.75</v>
      </c>
      <c r="BE436" s="499">
        <v>26.583220161290331</v>
      </c>
      <c r="BF436" s="499">
        <v>19.780309879032256</v>
      </c>
      <c r="BG436" s="499">
        <v>26.28026793067766</v>
      </c>
      <c r="BI436" s="499">
        <f t="shared" ref="BI436:BJ436" si="658">AS439</f>
        <v>404</v>
      </c>
      <c r="BJ436" s="499">
        <f t="shared" si="658"/>
        <v>14.186705999999999</v>
      </c>
      <c r="BK436" s="5">
        <f t="shared" si="586"/>
        <v>1</v>
      </c>
      <c r="BL436" s="499">
        <f t="shared" si="587"/>
        <v>24.532931999999999</v>
      </c>
      <c r="BM436" s="499">
        <f t="shared" si="588"/>
        <v>1061.299456</v>
      </c>
      <c r="BO436" s="499">
        <f t="shared" si="589"/>
        <v>404</v>
      </c>
      <c r="BP436" s="499">
        <f t="shared" si="590"/>
        <v>14.186705999999999</v>
      </c>
      <c r="BQ436" s="5">
        <f t="shared" si="583"/>
        <v>0</v>
      </c>
      <c r="BR436" s="499">
        <f t="shared" si="591"/>
        <v>21.383366475806454</v>
      </c>
      <c r="BS436" s="499">
        <f t="shared" si="592"/>
        <v>1061.299456</v>
      </c>
      <c r="BU436" s="499">
        <f t="shared" si="593"/>
        <v>404</v>
      </c>
      <c r="BV436" s="499">
        <f t="shared" si="594"/>
        <v>14.186705999999999</v>
      </c>
      <c r="BW436" s="5">
        <f t="shared" si="584"/>
        <v>0</v>
      </c>
      <c r="BX436" s="499">
        <f t="shared" si="595"/>
        <v>23.873779036179542</v>
      </c>
      <c r="BY436" s="499">
        <f t="shared" si="596"/>
        <v>1061.299456</v>
      </c>
      <c r="CA436">
        <v>404</v>
      </c>
      <c r="CB436">
        <v>14.186705999999999</v>
      </c>
      <c r="CC436">
        <v>0</v>
      </c>
      <c r="CD436">
        <v>23.16766084</v>
      </c>
      <c r="CE436">
        <v>1061.299456</v>
      </c>
      <c r="CG436" s="499">
        <f t="shared" si="597"/>
        <v>1</v>
      </c>
      <c r="CH436" s="499">
        <f t="shared" si="598"/>
        <v>0</v>
      </c>
      <c r="CI436" s="499">
        <f t="shared" si="599"/>
        <v>0</v>
      </c>
      <c r="CJ436" s="499">
        <f t="shared" si="600"/>
        <v>0</v>
      </c>
      <c r="CP436" s="499"/>
      <c r="CQ436" s="65">
        <f t="shared" si="602"/>
        <v>0.93202288844093251</v>
      </c>
      <c r="CR436" s="499">
        <f t="shared" si="603"/>
        <v>0.97883432534256443</v>
      </c>
      <c r="CS436" s="499">
        <f t="shared" si="604"/>
        <v>0.97578195104558874</v>
      </c>
      <c r="CT436" s="38">
        <f t="shared" si="605"/>
        <v>1.0502256301665907</v>
      </c>
      <c r="CU436" s="498">
        <f t="shared" si="606"/>
        <v>1.0469506308775909</v>
      </c>
    </row>
    <row r="437" spans="43:99">
      <c r="AQ437" s="499"/>
      <c r="AR437" s="228">
        <v>25.186457000000001</v>
      </c>
      <c r="AS437" s="13">
        <v>383</v>
      </c>
      <c r="AT437" s="13">
        <v>14.150919999999999</v>
      </c>
      <c r="AU437" s="13">
        <f t="shared" si="617"/>
        <v>0</v>
      </c>
      <c r="AV437" s="13">
        <f t="shared" si="608"/>
        <v>0</v>
      </c>
      <c r="AW437" s="13">
        <f t="shared" si="609"/>
        <v>0</v>
      </c>
      <c r="AX437" s="13">
        <f t="shared" si="610"/>
        <v>0</v>
      </c>
      <c r="AY437" s="13">
        <v>568.98465099999999</v>
      </c>
      <c r="AZ437" s="13">
        <f t="shared" si="611"/>
        <v>0</v>
      </c>
      <c r="BA437" s="13">
        <f t="shared" si="612"/>
        <v>0</v>
      </c>
      <c r="BB437" s="97">
        <f t="shared" si="613"/>
        <v>0</v>
      </c>
      <c r="BC437" s="499"/>
      <c r="BD437" s="499">
        <v>26.55</v>
      </c>
      <c r="BE437" s="499">
        <v>26.578119758064521</v>
      </c>
      <c r="BF437" s="499">
        <v>19.761070161290316</v>
      </c>
      <c r="BG437" s="499">
        <v>26.29325552607143</v>
      </c>
      <c r="BI437" s="499">
        <f t="shared" ref="BI437:BJ437" si="659">AS440</f>
        <v>387</v>
      </c>
      <c r="BJ437" s="499">
        <f t="shared" si="659"/>
        <v>14.191483</v>
      </c>
      <c r="BK437" s="5">
        <f t="shared" si="586"/>
        <v>1</v>
      </c>
      <c r="BL437" s="499">
        <f t="shared" si="587"/>
        <v>24.628802</v>
      </c>
      <c r="BM437" s="499">
        <f t="shared" si="588"/>
        <v>1000.549477</v>
      </c>
      <c r="BO437" s="499">
        <f t="shared" si="589"/>
        <v>387</v>
      </c>
      <c r="BP437" s="499">
        <f t="shared" si="590"/>
        <v>14.191483</v>
      </c>
      <c r="BQ437" s="5">
        <f t="shared" si="583"/>
        <v>0</v>
      </c>
      <c r="BR437" s="499">
        <f t="shared" si="591"/>
        <v>21.591436879032265</v>
      </c>
      <c r="BS437" s="499">
        <f t="shared" si="592"/>
        <v>1000.549477</v>
      </c>
      <c r="BU437" s="499">
        <f t="shared" si="593"/>
        <v>387</v>
      </c>
      <c r="BV437" s="499">
        <f t="shared" si="594"/>
        <v>14.191483</v>
      </c>
      <c r="BW437" s="5">
        <f t="shared" si="584"/>
        <v>0</v>
      </c>
      <c r="BX437" s="499">
        <f t="shared" si="595"/>
        <v>24.024202931203625</v>
      </c>
      <c r="BY437" s="499">
        <f t="shared" si="596"/>
        <v>1000.549477</v>
      </c>
      <c r="CA437">
        <v>387</v>
      </c>
      <c r="CB437">
        <v>14.191483</v>
      </c>
      <c r="CC437">
        <v>0</v>
      </c>
      <c r="CD437">
        <v>23.849073789999998</v>
      </c>
      <c r="CE437">
        <v>1000.549477</v>
      </c>
      <c r="CG437" s="499">
        <f t="shared" si="597"/>
        <v>1</v>
      </c>
      <c r="CH437" s="499">
        <f t="shared" si="598"/>
        <v>0</v>
      </c>
      <c r="CI437" s="499">
        <f t="shared" si="599"/>
        <v>0</v>
      </c>
      <c r="CJ437" s="499">
        <f t="shared" si="600"/>
        <v>0</v>
      </c>
      <c r="CP437" s="499"/>
      <c r="CQ437" s="65">
        <f t="shared" si="602"/>
        <v>0.40296696476052962</v>
      </c>
      <c r="CR437" s="499">
        <f t="shared" si="603"/>
        <v>0.97618782434725693</v>
      </c>
      <c r="CS437" s="499">
        <f t="shared" si="604"/>
        <v>0.70638131399479487</v>
      </c>
      <c r="CT437" s="38">
        <f t="shared" si="605"/>
        <v>2.4225008740539664</v>
      </c>
      <c r="CU437" s="498">
        <f t="shared" si="606"/>
        <v>1.7529509259265823</v>
      </c>
    </row>
    <row r="438" spans="43:99">
      <c r="AQ438" s="499"/>
      <c r="AR438" s="228">
        <v>22.848009999999999</v>
      </c>
      <c r="AS438" s="13">
        <v>308</v>
      </c>
      <c r="AT438" s="13">
        <v>14.178115</v>
      </c>
      <c r="AU438" s="13">
        <f t="shared" si="617"/>
        <v>0</v>
      </c>
      <c r="AV438" s="13">
        <f t="shared" si="608"/>
        <v>22.993319354838714</v>
      </c>
      <c r="AW438" s="13">
        <f t="shared" si="609"/>
        <v>19.189412298387097</v>
      </c>
      <c r="AX438" s="13">
        <f t="shared" si="610"/>
        <v>21.60005323687729</v>
      </c>
      <c r="AY438" s="13">
        <v>751.61806000000001</v>
      </c>
      <c r="AZ438" s="13">
        <f t="shared" si="611"/>
        <v>3.8039070564516173</v>
      </c>
      <c r="BA438" s="13">
        <f t="shared" si="612"/>
        <v>1.3932661179614243</v>
      </c>
      <c r="BB438" s="97">
        <f t="shared" si="613"/>
        <v>-0.14530935483871588</v>
      </c>
      <c r="BC438" s="499"/>
      <c r="BD438" s="499">
        <v>26.35</v>
      </c>
      <c r="BE438" s="499">
        <v>26.604394758064519</v>
      </c>
      <c r="BF438" s="499">
        <v>19.770086693548382</v>
      </c>
      <c r="BG438" s="499">
        <v>26.302657946396522</v>
      </c>
      <c r="BI438" s="499">
        <f t="shared" ref="BI438:BJ438" si="660">AS441</f>
        <v>195</v>
      </c>
      <c r="BJ438" s="499">
        <f t="shared" si="660"/>
        <v>14.289706000000001</v>
      </c>
      <c r="BK438" s="5">
        <f t="shared" si="586"/>
        <v>0</v>
      </c>
      <c r="BL438" s="499">
        <f t="shared" si="587"/>
        <v>23.388137</v>
      </c>
      <c r="BM438" s="499">
        <f t="shared" si="588"/>
        <v>935.50215500000002</v>
      </c>
      <c r="BO438" s="499">
        <f t="shared" si="589"/>
        <v>195</v>
      </c>
      <c r="BP438" s="499">
        <f t="shared" si="590"/>
        <v>14.289706000000001</v>
      </c>
      <c r="BQ438" s="5">
        <f t="shared" si="583"/>
        <v>0</v>
      </c>
      <c r="BR438" s="499">
        <f t="shared" si="591"/>
        <v>19.856536596774205</v>
      </c>
      <c r="BS438" s="499">
        <f t="shared" si="592"/>
        <v>935.50215500000002</v>
      </c>
      <c r="BU438" s="499">
        <f t="shared" si="593"/>
        <v>195</v>
      </c>
      <c r="BV438" s="499">
        <f t="shared" si="594"/>
        <v>14.289706000000001</v>
      </c>
      <c r="BW438" s="5">
        <f t="shared" si="584"/>
        <v>0</v>
      </c>
      <c r="BX438" s="499">
        <f t="shared" si="595"/>
        <v>22.680865783433919</v>
      </c>
      <c r="BY438" s="499">
        <f t="shared" si="596"/>
        <v>935.50215500000002</v>
      </c>
      <c r="CA438">
        <v>195</v>
      </c>
      <c r="CB438">
        <v>14.289706000000001</v>
      </c>
      <c r="CC438">
        <v>0</v>
      </c>
      <c r="CD438">
        <v>21.935008459999999</v>
      </c>
      <c r="CE438">
        <v>935.50215500000002</v>
      </c>
      <c r="CG438" s="499">
        <f t="shared" si="597"/>
        <v>0</v>
      </c>
      <c r="CH438" s="499">
        <f t="shared" si="598"/>
        <v>0</v>
      </c>
      <c r="CI438" s="499">
        <f t="shared" si="599"/>
        <v>0</v>
      </c>
      <c r="CJ438" s="499">
        <f t="shared" si="600"/>
        <v>0</v>
      </c>
      <c r="CP438" s="499"/>
      <c r="CQ438" s="65">
        <f t="shared" si="602"/>
        <v>0.35868658199100634</v>
      </c>
      <c r="CR438" s="499">
        <f t="shared" si="603"/>
        <v>0.97482539405288759</v>
      </c>
      <c r="CS438" s="499">
        <f t="shared" si="604"/>
        <v>0.64394126281628716</v>
      </c>
      <c r="CT438" s="38">
        <f t="shared" si="605"/>
        <v>2.7177637608906435</v>
      </c>
      <c r="CU438" s="498">
        <f t="shared" si="606"/>
        <v>1.7952755836080683</v>
      </c>
    </row>
    <row r="439" spans="43:99">
      <c r="AQ439" s="499"/>
      <c r="AR439" s="228">
        <v>24.532931999999999</v>
      </c>
      <c r="AS439" s="13">
        <v>404</v>
      </c>
      <c r="AT439" s="13">
        <v>14.186705999999999</v>
      </c>
      <c r="AU439" s="13">
        <f t="shared" si="617"/>
        <v>0</v>
      </c>
      <c r="AV439" s="13">
        <f t="shared" si="608"/>
        <v>23.081815927419353</v>
      </c>
      <c r="AW439" s="13">
        <f t="shared" si="609"/>
        <v>19.932250403225808</v>
      </c>
      <c r="AX439" s="13">
        <f t="shared" si="610"/>
        <v>22.422662963598896</v>
      </c>
      <c r="AY439" s="13">
        <v>1061.299456</v>
      </c>
      <c r="AZ439" s="13">
        <f t="shared" si="611"/>
        <v>3.1495655241935445</v>
      </c>
      <c r="BA439" s="13">
        <f t="shared" si="612"/>
        <v>0.65915296382045696</v>
      </c>
      <c r="BB439" s="97">
        <f t="shared" si="613"/>
        <v>1.4511160725806462</v>
      </c>
      <c r="BC439" s="499"/>
      <c r="BD439" s="499">
        <v>26.15</v>
      </c>
      <c r="BE439" s="499">
        <v>26.643376612903229</v>
      </c>
      <c r="BF439" s="499">
        <v>19.83606491935484</v>
      </c>
      <c r="BG439" s="499">
        <v>26.312899077912093</v>
      </c>
      <c r="BI439" s="499">
        <f t="shared" ref="BI439:BJ439" si="661">AS442</f>
        <v>184</v>
      </c>
      <c r="BJ439" s="499">
        <f t="shared" si="661"/>
        <v>14.354423000000001</v>
      </c>
      <c r="BK439" s="5">
        <f t="shared" si="586"/>
        <v>0</v>
      </c>
      <c r="BL439" s="499">
        <f t="shared" si="587"/>
        <v>24.164048000000001</v>
      </c>
      <c r="BM439" s="499">
        <f t="shared" si="588"/>
        <v>788.47535500000004</v>
      </c>
      <c r="BO439" s="499">
        <f t="shared" si="589"/>
        <v>184</v>
      </c>
      <c r="BP439" s="499">
        <f t="shared" si="590"/>
        <v>14.354423000000001</v>
      </c>
      <c r="BQ439" s="5">
        <f t="shared" si="583"/>
        <v>0</v>
      </c>
      <c r="BR439" s="499">
        <f t="shared" si="591"/>
        <v>20.794843161290331</v>
      </c>
      <c r="BS439" s="499">
        <f t="shared" si="592"/>
        <v>788.47535500000004</v>
      </c>
      <c r="BU439" s="499">
        <f t="shared" si="593"/>
        <v>184</v>
      </c>
      <c r="BV439" s="499">
        <f t="shared" si="594"/>
        <v>14.354423000000001</v>
      </c>
      <c r="BW439" s="5">
        <f t="shared" si="584"/>
        <v>0</v>
      </c>
      <c r="BX439" s="499">
        <f t="shared" si="595"/>
        <v>23.438124873642479</v>
      </c>
      <c r="BY439" s="499">
        <f t="shared" si="596"/>
        <v>788.47535500000004</v>
      </c>
      <c r="CA439">
        <v>184</v>
      </c>
      <c r="CB439">
        <v>14.354423000000001</v>
      </c>
      <c r="CC439">
        <v>0</v>
      </c>
      <c r="CD439">
        <v>22.0840478</v>
      </c>
      <c r="CE439">
        <v>788.47535500000004</v>
      </c>
      <c r="CG439" s="499">
        <f t="shared" si="597"/>
        <v>0</v>
      </c>
      <c r="CH439" s="499">
        <f t="shared" si="598"/>
        <v>0</v>
      </c>
      <c r="CI439" s="499">
        <f t="shared" si="599"/>
        <v>0</v>
      </c>
      <c r="CJ439" s="499">
        <f t="shared" si="600"/>
        <v>0</v>
      </c>
      <c r="CP439" s="499"/>
      <c r="CQ439" s="65">
        <f t="shared" si="602"/>
        <v>0.85342942494784413</v>
      </c>
      <c r="CR439" s="499">
        <f t="shared" si="603"/>
        <v>0.97873102580159876</v>
      </c>
      <c r="CS439" s="499">
        <f t="shared" si="604"/>
        <v>0.94479764963343105</v>
      </c>
      <c r="CT439" s="38">
        <f t="shared" si="605"/>
        <v>1.1468212803436115</v>
      </c>
      <c r="CU439" s="498">
        <f t="shared" si="606"/>
        <v>1.107060082550084</v>
      </c>
    </row>
    <row r="440" spans="43:99">
      <c r="AQ440" s="499"/>
      <c r="AR440" s="228">
        <v>24.628802</v>
      </c>
      <c r="AS440" s="13">
        <v>387</v>
      </c>
      <c r="AT440" s="13">
        <v>14.191483</v>
      </c>
      <c r="AU440" s="13">
        <f t="shared" si="617"/>
        <v>0</v>
      </c>
      <c r="AV440" s="13">
        <f t="shared" si="608"/>
        <v>23.157609475806453</v>
      </c>
      <c r="AW440" s="13">
        <f t="shared" si="609"/>
        <v>20.120244354838718</v>
      </c>
      <c r="AX440" s="13">
        <f t="shared" si="610"/>
        <v>22.553010407010078</v>
      </c>
      <c r="AY440" s="13">
        <v>1000.549477</v>
      </c>
      <c r="AZ440" s="13">
        <f t="shared" si="611"/>
        <v>3.0373651209677348</v>
      </c>
      <c r="BA440" s="13">
        <f t="shared" si="612"/>
        <v>0.60459906879637515</v>
      </c>
      <c r="BB440" s="97">
        <f t="shared" si="613"/>
        <v>1.4711925241935475</v>
      </c>
      <c r="BC440" s="499"/>
      <c r="BD440" s="499">
        <v>25.95</v>
      </c>
      <c r="BE440" s="499">
        <v>26.689476814516123</v>
      </c>
      <c r="BF440" s="499">
        <v>19.859269758064521</v>
      </c>
      <c r="BG440" s="499">
        <v>26.325351535723446</v>
      </c>
      <c r="BI440" s="499">
        <f t="shared" ref="BI440:BJ440" si="662">AS443</f>
        <v>183</v>
      </c>
      <c r="BJ440" s="499">
        <f t="shared" si="662"/>
        <v>14.354749</v>
      </c>
      <c r="BK440" s="5">
        <f t="shared" si="586"/>
        <v>0</v>
      </c>
      <c r="BL440" s="499">
        <f t="shared" si="587"/>
        <v>23.401229000000001</v>
      </c>
      <c r="BM440" s="499">
        <f t="shared" si="588"/>
        <v>991.96707800000001</v>
      </c>
      <c r="BO440" s="499">
        <f t="shared" si="589"/>
        <v>183</v>
      </c>
      <c r="BP440" s="499">
        <f t="shared" si="590"/>
        <v>14.354749</v>
      </c>
      <c r="BQ440" s="5">
        <f t="shared" si="583"/>
        <v>0</v>
      </c>
      <c r="BR440" s="499">
        <f t="shared" si="591"/>
        <v>20.048134645161298</v>
      </c>
      <c r="BS440" s="499">
        <f t="shared" si="592"/>
        <v>991.96707800000001</v>
      </c>
      <c r="BU440" s="499">
        <f t="shared" si="593"/>
        <v>183</v>
      </c>
      <c r="BV440" s="499">
        <f t="shared" si="594"/>
        <v>14.354749</v>
      </c>
      <c r="BW440" s="5">
        <f t="shared" si="584"/>
        <v>0</v>
      </c>
      <c r="BX440" s="499">
        <f t="shared" si="595"/>
        <v>22.675673446993976</v>
      </c>
      <c r="BY440" s="499">
        <f t="shared" si="596"/>
        <v>991.96707800000001</v>
      </c>
      <c r="CA440">
        <v>183</v>
      </c>
      <c r="CB440">
        <v>14.354749</v>
      </c>
      <c r="CC440">
        <v>0</v>
      </c>
      <c r="CD440">
        <v>22.29458614</v>
      </c>
      <c r="CE440">
        <v>991.96707800000001</v>
      </c>
      <c r="CG440" s="499">
        <f t="shared" si="597"/>
        <v>0</v>
      </c>
      <c r="CH440" s="499">
        <f t="shared" si="598"/>
        <v>0</v>
      </c>
      <c r="CI440" s="499">
        <f t="shared" si="599"/>
        <v>0</v>
      </c>
      <c r="CJ440" s="499">
        <f t="shared" si="600"/>
        <v>0</v>
      </c>
      <c r="CP440" s="499"/>
      <c r="CQ440" s="65">
        <f t="shared" si="602"/>
        <v>0.58034161815357022</v>
      </c>
      <c r="CR440" s="499">
        <f t="shared" si="603"/>
        <v>0.9780285234988767</v>
      </c>
      <c r="CS440" s="499">
        <f t="shared" si="604"/>
        <v>0.84216104921471124</v>
      </c>
      <c r="CT440" s="38">
        <f t="shared" si="605"/>
        <v>1.6852634601850498</v>
      </c>
      <c r="CU440" s="498">
        <f t="shared" si="606"/>
        <v>1.45114708797579</v>
      </c>
    </row>
    <row r="441" spans="43:99">
      <c r="AQ441" s="499"/>
      <c r="AR441" s="228">
        <v>23.388137</v>
      </c>
      <c r="AS441" s="13">
        <v>195</v>
      </c>
      <c r="AT441" s="13">
        <v>14.289706000000001</v>
      </c>
      <c r="AU441" s="13">
        <f t="shared" si="617"/>
        <v>0</v>
      </c>
      <c r="AV441" s="13">
        <f t="shared" si="608"/>
        <v>23.764269556451609</v>
      </c>
      <c r="AW441" s="13">
        <f t="shared" si="609"/>
        <v>20.232669153225814</v>
      </c>
      <c r="AX441" s="13">
        <f t="shared" si="610"/>
        <v>23.056998339885528</v>
      </c>
      <c r="AY441" s="13">
        <v>935.50215500000002</v>
      </c>
      <c r="AZ441" s="13">
        <f t="shared" si="611"/>
        <v>3.531600403225795</v>
      </c>
      <c r="BA441" s="13">
        <f t="shared" si="612"/>
        <v>0.70727121656608105</v>
      </c>
      <c r="BB441" s="97">
        <f t="shared" si="613"/>
        <v>-0.37613255645160848</v>
      </c>
      <c r="BC441" s="499"/>
      <c r="BD441" s="499">
        <v>25.75</v>
      </c>
      <c r="BE441" s="499">
        <v>26.724384677419366</v>
      </c>
      <c r="BF441" s="499">
        <v>19.83682822580646</v>
      </c>
      <c r="BG441" s="499">
        <v>26.329742889711547</v>
      </c>
      <c r="BI441" s="499">
        <f t="shared" ref="BI441:BJ441" si="663">AS444</f>
        <v>242</v>
      </c>
      <c r="BJ441" s="499">
        <f t="shared" si="663"/>
        <v>14.491256999999999</v>
      </c>
      <c r="BK441" s="5">
        <f t="shared" si="586"/>
        <v>0</v>
      </c>
      <c r="BL441" s="499">
        <f t="shared" si="587"/>
        <v>23.401229000000001</v>
      </c>
      <c r="BM441" s="499">
        <f t="shared" si="588"/>
        <v>483.42492099999998</v>
      </c>
      <c r="BO441" s="499">
        <f t="shared" si="589"/>
        <v>242</v>
      </c>
      <c r="BP441" s="499">
        <f t="shared" si="590"/>
        <v>14.491256999999999</v>
      </c>
      <c r="BQ441" s="5">
        <f t="shared" si="583"/>
        <v>0</v>
      </c>
      <c r="BR441" s="499">
        <f t="shared" si="591"/>
        <v>20.207273556451614</v>
      </c>
      <c r="BS441" s="499">
        <f t="shared" si="592"/>
        <v>483.42492099999998</v>
      </c>
      <c r="BU441" s="499">
        <f t="shared" si="593"/>
        <v>242</v>
      </c>
      <c r="BV441" s="499">
        <f t="shared" si="594"/>
        <v>14.491256999999999</v>
      </c>
      <c r="BW441" s="5">
        <f t="shared" si="584"/>
        <v>0</v>
      </c>
      <c r="BX441" s="499">
        <f t="shared" si="595"/>
        <v>22.777287414231367</v>
      </c>
      <c r="BY441" s="499">
        <f t="shared" si="596"/>
        <v>483.42492099999998</v>
      </c>
      <c r="CA441">
        <v>242</v>
      </c>
      <c r="CB441">
        <v>14.491256999999999</v>
      </c>
      <c r="CC441">
        <v>0</v>
      </c>
      <c r="CD441">
        <v>22.039815040000001</v>
      </c>
      <c r="CE441">
        <v>483.42492099999998</v>
      </c>
      <c r="CG441" s="499">
        <f t="shared" si="597"/>
        <v>0</v>
      </c>
      <c r="CH441" s="499">
        <f t="shared" si="598"/>
        <v>0</v>
      </c>
      <c r="CI441" s="499">
        <f t="shared" si="599"/>
        <v>0</v>
      </c>
      <c r="CJ441" s="499">
        <f t="shared" si="600"/>
        <v>0</v>
      </c>
      <c r="CP441" s="499"/>
      <c r="CQ441" s="65">
        <f t="shared" si="602"/>
        <v>0.85055714911358105</v>
      </c>
      <c r="CR441" s="499">
        <f t="shared" si="603"/>
        <v>0.97867128557061978</v>
      </c>
      <c r="CS441" s="499">
        <f t="shared" si="604"/>
        <v>0.94513520543248708</v>
      </c>
      <c r="CT441" s="38">
        <f t="shared" si="605"/>
        <v>1.1506237841755307</v>
      </c>
      <c r="CU441" s="498">
        <f t="shared" si="606"/>
        <v>1.1111954163426547</v>
      </c>
    </row>
    <row r="442" spans="43:99">
      <c r="AQ442" s="499"/>
      <c r="AR442" s="228">
        <v>24.164048000000001</v>
      </c>
      <c r="AS442" s="13">
        <v>184</v>
      </c>
      <c r="AT442" s="13">
        <v>14.354423000000001</v>
      </c>
      <c r="AU442" s="13">
        <f t="shared" si="617"/>
        <v>0</v>
      </c>
      <c r="AV442" s="13">
        <f t="shared" si="608"/>
        <v>23.448974596774192</v>
      </c>
      <c r="AW442" s="13">
        <f t="shared" si="609"/>
        <v>20.079769758064522</v>
      </c>
      <c r="AX442" s="13">
        <f t="shared" si="610"/>
        <v>22.723051470416671</v>
      </c>
      <c r="AY442" s="13">
        <v>788.47535500000004</v>
      </c>
      <c r="AZ442" s="13">
        <f t="shared" si="611"/>
        <v>3.3692048387096705</v>
      </c>
      <c r="BA442" s="13">
        <f t="shared" si="612"/>
        <v>0.72592312635752165</v>
      </c>
      <c r="BB442" s="97">
        <f t="shared" si="613"/>
        <v>0.71507340322580859</v>
      </c>
      <c r="BC442" s="499"/>
      <c r="BD442" s="499">
        <v>25.55</v>
      </c>
      <c r="BE442" s="499">
        <v>26.770419556451618</v>
      </c>
      <c r="BF442" s="499">
        <v>19.895307258064513</v>
      </c>
      <c r="BG442" s="499">
        <v>26.348581359226195</v>
      </c>
      <c r="BI442" s="499">
        <f t="shared" ref="BI442:BJ442" si="664">AS445</f>
        <v>269</v>
      </c>
      <c r="BJ442" s="499">
        <f t="shared" si="664"/>
        <v>14.525829</v>
      </c>
      <c r="BK442" s="5">
        <f t="shared" si="586"/>
        <v>1</v>
      </c>
      <c r="BL442" s="499">
        <f t="shared" si="587"/>
        <v>24.628802</v>
      </c>
      <c r="BM442" s="499">
        <f t="shared" si="588"/>
        <v>751.59441500000003</v>
      </c>
      <c r="BO442" s="499">
        <f t="shared" si="589"/>
        <v>269</v>
      </c>
      <c r="BP442" s="499">
        <f t="shared" si="590"/>
        <v>14.525829</v>
      </c>
      <c r="BQ442" s="5">
        <f t="shared" si="583"/>
        <v>0</v>
      </c>
      <c r="BR442" s="499">
        <f t="shared" si="591"/>
        <v>22.036122564516134</v>
      </c>
      <c r="BS442" s="499">
        <f t="shared" si="592"/>
        <v>751.59441500000003</v>
      </c>
      <c r="BU442" s="499">
        <f t="shared" si="593"/>
        <v>269</v>
      </c>
      <c r="BV442" s="499">
        <f t="shared" si="594"/>
        <v>14.525829</v>
      </c>
      <c r="BW442" s="5">
        <f t="shared" si="584"/>
        <v>0</v>
      </c>
      <c r="BX442" s="499">
        <f t="shared" si="595"/>
        <v>24.069349445903796</v>
      </c>
      <c r="BY442" s="499">
        <f t="shared" si="596"/>
        <v>751.59441500000003</v>
      </c>
      <c r="CA442">
        <v>269</v>
      </c>
      <c r="CB442">
        <v>14.525829</v>
      </c>
      <c r="CC442">
        <v>0</v>
      </c>
      <c r="CD442">
        <v>23.850216020000001</v>
      </c>
      <c r="CE442">
        <v>751.59441500000003</v>
      </c>
      <c r="CG442" s="499">
        <f t="shared" si="597"/>
        <v>1</v>
      </c>
      <c r="CH442" s="499">
        <f t="shared" si="598"/>
        <v>0</v>
      </c>
      <c r="CI442" s="499">
        <f t="shared" si="599"/>
        <v>0</v>
      </c>
      <c r="CJ442" s="499">
        <f t="shared" si="600"/>
        <v>0</v>
      </c>
      <c r="CP442" s="499"/>
      <c r="CQ442" s="65">
        <f t="shared" si="602"/>
        <v>0.85055714911358105</v>
      </c>
      <c r="CR442" s="499">
        <f t="shared" si="603"/>
        <v>0.97860112270513111</v>
      </c>
      <c r="CS442" s="499">
        <f t="shared" si="604"/>
        <v>0.93790596120309533</v>
      </c>
      <c r="CT442" s="38">
        <f t="shared" si="605"/>
        <v>1.1505412936978929</v>
      </c>
      <c r="CU442" s="498">
        <f t="shared" si="606"/>
        <v>1.1026959942439447</v>
      </c>
    </row>
    <row r="443" spans="43:99">
      <c r="AQ443" s="499"/>
      <c r="AR443" s="228">
        <v>23.401229000000001</v>
      </c>
      <c r="AS443" s="13">
        <v>183</v>
      </c>
      <c r="AT443" s="13">
        <v>14.354749</v>
      </c>
      <c r="AU443" s="13">
        <f t="shared" si="617"/>
        <v>0</v>
      </c>
      <c r="AV443" s="13">
        <f t="shared" si="608"/>
        <v>23.433356653225804</v>
      </c>
      <c r="AW443" s="13">
        <f t="shared" si="609"/>
        <v>20.080262298387101</v>
      </c>
      <c r="AX443" s="13">
        <f t="shared" si="610"/>
        <v>22.707801100219779</v>
      </c>
      <c r="AY443" s="13">
        <v>991.96707800000001</v>
      </c>
      <c r="AZ443" s="13">
        <f t="shared" si="611"/>
        <v>3.3530943548387029</v>
      </c>
      <c r="BA443" s="13">
        <f t="shared" si="612"/>
        <v>0.72555555300602492</v>
      </c>
      <c r="BB443" s="97">
        <f t="shared" si="613"/>
        <v>-3.2127653225803243E-2</v>
      </c>
      <c r="BC443" s="499"/>
      <c r="BD443" s="499">
        <v>25.35</v>
      </c>
      <c r="BE443" s="499">
        <v>26.806018346774199</v>
      </c>
      <c r="BF443" s="499">
        <v>19.926224596774194</v>
      </c>
      <c r="BG443" s="499">
        <v>26.372055448910249</v>
      </c>
      <c r="BI443" s="499">
        <f t="shared" ref="BI443:BJ443" si="665">AS446</f>
        <v>313</v>
      </c>
      <c r="BJ443" s="499">
        <f t="shared" si="665"/>
        <v>14.555547000000001</v>
      </c>
      <c r="BK443" s="5">
        <f t="shared" si="586"/>
        <v>1</v>
      </c>
      <c r="BL443" s="499">
        <f t="shared" si="587"/>
        <v>26.759342</v>
      </c>
      <c r="BM443" s="499">
        <f t="shared" si="588"/>
        <v>999.19973100000004</v>
      </c>
      <c r="BO443" s="499">
        <f t="shared" si="589"/>
        <v>313</v>
      </c>
      <c r="BP443" s="499">
        <f t="shared" si="590"/>
        <v>14.555547000000001</v>
      </c>
      <c r="BQ443" s="5">
        <f t="shared" si="583"/>
        <v>0</v>
      </c>
      <c r="BR443" s="499">
        <f t="shared" si="591"/>
        <v>21.968251274193534</v>
      </c>
      <c r="BS443" s="499">
        <f t="shared" si="592"/>
        <v>999.19973100000004</v>
      </c>
      <c r="BU443" s="499">
        <f t="shared" si="593"/>
        <v>313</v>
      </c>
      <c r="BV443" s="499">
        <f t="shared" si="594"/>
        <v>14.555547000000001</v>
      </c>
      <c r="BW443" s="5">
        <f t="shared" si="584"/>
        <v>1</v>
      </c>
      <c r="BX443" s="499">
        <f t="shared" si="595"/>
        <v>25.847348910159948</v>
      </c>
      <c r="BY443" s="499">
        <f t="shared" si="596"/>
        <v>999.19973100000004</v>
      </c>
      <c r="CA443">
        <v>313</v>
      </c>
      <c r="CB443">
        <v>14.555547000000001</v>
      </c>
      <c r="CC443">
        <v>1</v>
      </c>
      <c r="CD443">
        <v>24.668427680000001</v>
      </c>
      <c r="CE443">
        <v>999.19973100000004</v>
      </c>
      <c r="CG443" s="499">
        <f t="shared" si="597"/>
        <v>1</v>
      </c>
      <c r="CH443" s="499">
        <f t="shared" si="598"/>
        <v>0</v>
      </c>
      <c r="CI443" s="499">
        <f t="shared" si="599"/>
        <v>1</v>
      </c>
      <c r="CJ443" s="499">
        <f t="shared" si="600"/>
        <v>1</v>
      </c>
      <c r="CP443" s="499"/>
      <c r="CQ443" s="65">
        <f t="shared" si="602"/>
        <v>0.35868658199100634</v>
      </c>
      <c r="CR443" s="499">
        <f t="shared" si="603"/>
        <v>0.9691552535298571</v>
      </c>
      <c r="CS443" s="499">
        <f t="shared" si="604"/>
        <v>0.62390760023173442</v>
      </c>
      <c r="CT443" s="38">
        <f t="shared" si="605"/>
        <v>2.7019556966704643</v>
      </c>
      <c r="CU443" s="498">
        <f t="shared" si="606"/>
        <v>1.7394227483184141</v>
      </c>
    </row>
    <row r="444" spans="43:99">
      <c r="AQ444" s="499"/>
      <c r="AR444" s="228">
        <v>23.401229000000001</v>
      </c>
      <c r="AS444" s="13">
        <v>242</v>
      </c>
      <c r="AT444" s="13">
        <v>14.491256999999999</v>
      </c>
      <c r="AU444" s="13">
        <f t="shared" si="617"/>
        <v>0</v>
      </c>
      <c r="AV444" s="13">
        <f t="shared" si="608"/>
        <v>22.685246774193541</v>
      </c>
      <c r="AW444" s="13">
        <f t="shared" si="609"/>
        <v>19.491291330645154</v>
      </c>
      <c r="AX444" s="13">
        <f t="shared" si="610"/>
        <v>22.061305188424907</v>
      </c>
      <c r="AY444" s="13">
        <v>483.42492099999998</v>
      </c>
      <c r="AZ444" s="13">
        <f t="shared" si="611"/>
        <v>3.1939554435483863</v>
      </c>
      <c r="BA444" s="13">
        <f t="shared" si="612"/>
        <v>0.6239415857686339</v>
      </c>
      <c r="BB444" s="97">
        <f t="shared" si="613"/>
        <v>0.71598222580646009</v>
      </c>
      <c r="BC444" s="499"/>
      <c r="BD444" s="499">
        <v>25.15</v>
      </c>
      <c r="BE444" s="499">
        <v>26.840112903225805</v>
      </c>
      <c r="BF444" s="499">
        <v>19.923462499999999</v>
      </c>
      <c r="BG444" s="499">
        <v>26.396724734024723</v>
      </c>
      <c r="BI444" s="499">
        <f t="shared" ref="BI444:BJ444" si="666">AS447</f>
        <v>268</v>
      </c>
      <c r="BJ444" s="499">
        <f t="shared" si="666"/>
        <v>14.591822000000001</v>
      </c>
      <c r="BK444" s="5">
        <f t="shared" si="586"/>
        <v>0</v>
      </c>
      <c r="BL444" s="499">
        <f t="shared" si="587"/>
        <v>23.422604</v>
      </c>
      <c r="BM444" s="499">
        <f t="shared" si="588"/>
        <v>473.182794</v>
      </c>
      <c r="BO444" s="499">
        <f t="shared" si="589"/>
        <v>268</v>
      </c>
      <c r="BP444" s="499">
        <f t="shared" si="590"/>
        <v>14.591822000000001</v>
      </c>
      <c r="BQ444" s="5">
        <f t="shared" si="583"/>
        <v>0</v>
      </c>
      <c r="BR444" s="499">
        <f t="shared" si="591"/>
        <v>23.422604</v>
      </c>
      <c r="BS444" s="499">
        <f t="shared" si="592"/>
        <v>473.182794</v>
      </c>
      <c r="BU444" s="499">
        <f t="shared" si="593"/>
        <v>268</v>
      </c>
      <c r="BV444" s="499">
        <f t="shared" si="594"/>
        <v>14.591822000000001</v>
      </c>
      <c r="BW444" s="5">
        <f t="shared" si="584"/>
        <v>0</v>
      </c>
      <c r="BX444" s="499">
        <f t="shared" si="595"/>
        <v>23.422604</v>
      </c>
      <c r="BY444" s="499">
        <f t="shared" si="596"/>
        <v>473.182794</v>
      </c>
      <c r="CA444">
        <v>268</v>
      </c>
      <c r="CB444">
        <v>14.591822000000001</v>
      </c>
      <c r="CC444">
        <v>0</v>
      </c>
      <c r="CD444">
        <v>23.422604</v>
      </c>
      <c r="CE444">
        <v>473.182794</v>
      </c>
      <c r="CG444" s="499">
        <f t="shared" si="597"/>
        <v>0</v>
      </c>
      <c r="CH444" s="499">
        <f t="shared" si="598"/>
        <v>0</v>
      </c>
      <c r="CI444" s="499">
        <f t="shared" si="599"/>
        <v>0</v>
      </c>
      <c r="CJ444" s="499">
        <f t="shared" si="600"/>
        <v>0</v>
      </c>
      <c r="CP444" s="499"/>
      <c r="CQ444" s="65">
        <f t="shared" si="602"/>
        <v>8.1444930468588285E-3</v>
      </c>
      <c r="CR444" s="499">
        <f t="shared" si="603"/>
        <v>0.97036893811585656</v>
      </c>
      <c r="CS444" s="499">
        <f t="shared" si="604"/>
        <v>4.7828808498302025E-2</v>
      </c>
      <c r="CT444" s="38">
        <f t="shared" si="605"/>
        <v>119.14417908308104</v>
      </c>
      <c r="CU444" s="498">
        <f t="shared" si="606"/>
        <v>5.8725335294808385</v>
      </c>
    </row>
    <row r="445" spans="43:99">
      <c r="AQ445" s="499"/>
      <c r="AR445" s="228">
        <v>24.628802</v>
      </c>
      <c r="AS445" s="13">
        <v>269</v>
      </c>
      <c r="AT445" s="13">
        <v>14.525829</v>
      </c>
      <c r="AU445" s="13">
        <f t="shared" si="617"/>
        <v>0</v>
      </c>
      <c r="AV445" s="13">
        <f t="shared" si="608"/>
        <v>22.862246572580645</v>
      </c>
      <c r="AW445" s="13">
        <f t="shared" si="609"/>
        <v>20.269567137096779</v>
      </c>
      <c r="AX445" s="13">
        <f t="shared" si="610"/>
        <v>22.302794018484441</v>
      </c>
      <c r="AY445" s="13">
        <v>751.59441500000003</v>
      </c>
      <c r="AZ445" s="13">
        <f t="shared" si="611"/>
        <v>2.5926794354838663</v>
      </c>
      <c r="BA445" s="13">
        <f t="shared" si="612"/>
        <v>0.55945255409620387</v>
      </c>
      <c r="BB445" s="97">
        <f t="shared" si="613"/>
        <v>1.7665554274193553</v>
      </c>
      <c r="BC445" s="499"/>
      <c r="BD445" s="499">
        <v>24.95</v>
      </c>
      <c r="BE445" s="499">
        <v>26.879428830645164</v>
      </c>
      <c r="BF445" s="499">
        <v>19.889549798387094</v>
      </c>
      <c r="BG445" s="499">
        <v>26.432192402870886</v>
      </c>
      <c r="BI445" s="499">
        <f t="shared" ref="BI445:BJ445" si="667">AS448</f>
        <v>250</v>
      </c>
      <c r="BJ445" s="499">
        <f t="shared" si="667"/>
        <v>14.596819</v>
      </c>
      <c r="BK445" s="5">
        <f t="shared" si="586"/>
        <v>1</v>
      </c>
      <c r="BL445" s="499">
        <f t="shared" si="587"/>
        <v>25.195340000000002</v>
      </c>
      <c r="BM445" s="499">
        <f t="shared" si="588"/>
        <v>999.05145500000003</v>
      </c>
      <c r="BO445" s="499">
        <f t="shared" si="589"/>
        <v>250</v>
      </c>
      <c r="BP445" s="499">
        <f t="shared" si="590"/>
        <v>14.596819</v>
      </c>
      <c r="BQ445" s="5">
        <f t="shared" si="583"/>
        <v>0</v>
      </c>
      <c r="BR445" s="499">
        <f t="shared" si="591"/>
        <v>20.346602701612905</v>
      </c>
      <c r="BS445" s="499">
        <f t="shared" si="592"/>
        <v>999.05145500000003</v>
      </c>
      <c r="BU445" s="499">
        <f t="shared" si="593"/>
        <v>250</v>
      </c>
      <c r="BV445" s="499">
        <f t="shared" si="594"/>
        <v>14.596819</v>
      </c>
      <c r="BW445" s="5">
        <f t="shared" si="584"/>
        <v>0</v>
      </c>
      <c r="BX445" s="499">
        <f t="shared" si="595"/>
        <v>24.225692091081914</v>
      </c>
      <c r="BY445" s="499">
        <f t="shared" si="596"/>
        <v>999.05145500000003</v>
      </c>
      <c r="CA445">
        <v>250</v>
      </c>
      <c r="CB445">
        <v>14.596819</v>
      </c>
      <c r="CC445">
        <v>0</v>
      </c>
      <c r="CD445">
        <v>22.867511180000001</v>
      </c>
      <c r="CE445">
        <v>999.05145500000003</v>
      </c>
      <c r="CG445" s="499">
        <f t="shared" si="597"/>
        <v>1</v>
      </c>
      <c r="CH445" s="499">
        <f t="shared" si="598"/>
        <v>0</v>
      </c>
      <c r="CI445" s="499">
        <f t="shared" si="599"/>
        <v>0</v>
      </c>
      <c r="CJ445" s="499">
        <f t="shared" si="600"/>
        <v>0</v>
      </c>
      <c r="CP445" s="499"/>
      <c r="CQ445" s="65">
        <f t="shared" si="602"/>
        <v>0.84574775257740309</v>
      </c>
      <c r="CR445" s="499">
        <f t="shared" si="603"/>
        <v>0.84574775257740309</v>
      </c>
      <c r="CS445" s="499">
        <f t="shared" si="604"/>
        <v>0.84574775257740309</v>
      </c>
      <c r="CT445" s="38">
        <f t="shared" si="605"/>
        <v>1</v>
      </c>
      <c r="CU445" s="498">
        <f t="shared" si="606"/>
        <v>1</v>
      </c>
    </row>
    <row r="446" spans="43:99">
      <c r="AQ446" s="499"/>
      <c r="AR446" s="228">
        <v>26.759342</v>
      </c>
      <c r="AS446" s="13">
        <v>313</v>
      </c>
      <c r="AT446" s="13">
        <v>14.555547000000001</v>
      </c>
      <c r="AU446" s="13">
        <f t="shared" si="617"/>
        <v>0</v>
      </c>
      <c r="AV446" s="13">
        <f t="shared" si="608"/>
        <v>24.489951612903244</v>
      </c>
      <c r="AW446" s="13">
        <f t="shared" si="609"/>
        <v>19.698860887096778</v>
      </c>
      <c r="AX446" s="13">
        <f t="shared" si="610"/>
        <v>23.577958523063192</v>
      </c>
      <c r="AY446" s="13">
        <v>999.19973100000004</v>
      </c>
      <c r="AZ446" s="13">
        <f t="shared" si="611"/>
        <v>4.7910907258064661</v>
      </c>
      <c r="BA446" s="13">
        <f t="shared" si="612"/>
        <v>0.91199308984005256</v>
      </c>
      <c r="BB446" s="97">
        <f t="shared" si="613"/>
        <v>2.269390387096756</v>
      </c>
      <c r="BC446" s="499"/>
      <c r="BD446" s="499">
        <v>24.75</v>
      </c>
      <c r="BE446" s="499">
        <v>26.918531854838715</v>
      </c>
      <c r="BF446" s="499">
        <v>19.878485685483867</v>
      </c>
      <c r="BG446" s="499">
        <v>26.474500210164841</v>
      </c>
      <c r="BI446" s="499">
        <f t="shared" ref="BI446:BJ446" si="668">AS449</f>
        <v>395</v>
      </c>
      <c r="BJ446" s="499">
        <f t="shared" si="668"/>
        <v>14.60952</v>
      </c>
      <c r="BK446" s="5">
        <f t="shared" si="586"/>
        <v>0</v>
      </c>
      <c r="BL446" s="499">
        <f t="shared" si="587"/>
        <v>23.422604</v>
      </c>
      <c r="BM446" s="499">
        <f t="shared" si="588"/>
        <v>441.21829000000002</v>
      </c>
      <c r="BO446" s="499">
        <f t="shared" si="589"/>
        <v>395</v>
      </c>
      <c r="BP446" s="499">
        <f t="shared" si="590"/>
        <v>14.60952</v>
      </c>
      <c r="BQ446" s="5">
        <f t="shared" si="583"/>
        <v>0</v>
      </c>
      <c r="BR446" s="499">
        <f t="shared" si="591"/>
        <v>20.329299362903221</v>
      </c>
      <c r="BS446" s="499">
        <f t="shared" si="592"/>
        <v>441.21829000000002</v>
      </c>
      <c r="BU446" s="499">
        <f t="shared" si="593"/>
        <v>395</v>
      </c>
      <c r="BV446" s="499">
        <f t="shared" si="594"/>
        <v>14.60952</v>
      </c>
      <c r="BW446" s="5">
        <f t="shared" si="584"/>
        <v>0</v>
      </c>
      <c r="BX446" s="499">
        <f t="shared" si="595"/>
        <v>22.608788623355188</v>
      </c>
      <c r="BY446" s="499">
        <f t="shared" si="596"/>
        <v>441.21829000000002</v>
      </c>
      <c r="CA446">
        <v>395</v>
      </c>
      <c r="CB446">
        <v>14.60952</v>
      </c>
      <c r="CC446">
        <v>0</v>
      </c>
      <c r="CD446">
        <v>21.444475570000002</v>
      </c>
      <c r="CE446">
        <v>441.21829000000002</v>
      </c>
      <c r="CG446" s="499">
        <f t="shared" si="597"/>
        <v>0</v>
      </c>
      <c r="CH446" s="499">
        <f t="shared" si="598"/>
        <v>0</v>
      </c>
      <c r="CI446" s="499">
        <f t="shared" si="599"/>
        <v>0</v>
      </c>
      <c r="CJ446" s="499">
        <f t="shared" si="600"/>
        <v>0</v>
      </c>
      <c r="CP446" s="499"/>
      <c r="CQ446" s="65">
        <f t="shared" si="602"/>
        <v>0.1546583278395473</v>
      </c>
      <c r="CR446" s="499">
        <f t="shared" si="603"/>
        <v>0.97851858421617821</v>
      </c>
      <c r="CS446" s="499">
        <f t="shared" si="604"/>
        <v>0.55110710363724114</v>
      </c>
      <c r="CT446" s="38">
        <f t="shared" si="605"/>
        <v>6.3269698947693112</v>
      </c>
      <c r="CU446" s="498">
        <f t="shared" si="606"/>
        <v>3.5633845996899423</v>
      </c>
    </row>
    <row r="447" spans="43:99">
      <c r="AQ447" s="499"/>
      <c r="AR447" s="228">
        <v>23.422604</v>
      </c>
      <c r="AS447" s="13">
        <v>268</v>
      </c>
      <c r="AT447" s="13">
        <v>14.591822000000001</v>
      </c>
      <c r="AU447" s="13">
        <f t="shared" si="617"/>
        <v>0</v>
      </c>
      <c r="AV447" s="13">
        <f>IF(ISERROR(VLOOKUP(AS447,B$3:AP$102,40,FALSE))=TRUE,AR447,VLOOKUP(AS447,B$3:AP$102,40,FALSE))</f>
        <v>0</v>
      </c>
      <c r="AW447" s="13">
        <f t="shared" si="609"/>
        <v>0</v>
      </c>
      <c r="AX447" s="13">
        <f t="shared" si="610"/>
        <v>0</v>
      </c>
      <c r="AY447" s="13">
        <v>473.182794</v>
      </c>
      <c r="AZ447" s="13">
        <f t="shared" si="611"/>
        <v>0</v>
      </c>
      <c r="BA447" s="13">
        <f t="shared" si="612"/>
        <v>0</v>
      </c>
      <c r="BB447" s="97">
        <f t="shared" si="613"/>
        <v>0</v>
      </c>
      <c r="BC447" s="499"/>
      <c r="BD447" s="499">
        <v>24.55</v>
      </c>
      <c r="BE447" s="499">
        <v>26.953948387096769</v>
      </c>
      <c r="BF447" s="499">
        <v>19.944063911290321</v>
      </c>
      <c r="BG447" s="499">
        <v>26.510742165338826</v>
      </c>
      <c r="BI447" s="499">
        <f t="shared" ref="BI447:BJ447" si="669">AS450</f>
        <v>297</v>
      </c>
      <c r="BJ447" s="499">
        <f t="shared" si="669"/>
        <v>14.612484</v>
      </c>
      <c r="BK447" s="5">
        <f t="shared" si="586"/>
        <v>1</v>
      </c>
      <c r="BL447" s="499">
        <f t="shared" si="587"/>
        <v>24.628802</v>
      </c>
      <c r="BM447" s="499">
        <f t="shared" si="588"/>
        <v>1136.4752289999999</v>
      </c>
      <c r="BO447" s="499">
        <f t="shared" si="589"/>
        <v>297</v>
      </c>
      <c r="BP447" s="499">
        <f t="shared" si="590"/>
        <v>14.612484</v>
      </c>
      <c r="BQ447" s="5">
        <f t="shared" si="583"/>
        <v>0</v>
      </c>
      <c r="BR447" s="499">
        <f t="shared" si="591"/>
        <v>21.399515104838699</v>
      </c>
      <c r="BS447" s="499">
        <f t="shared" si="592"/>
        <v>1136.4752289999999</v>
      </c>
      <c r="BU447" s="499">
        <f t="shared" si="593"/>
        <v>297</v>
      </c>
      <c r="BV447" s="499">
        <f t="shared" si="594"/>
        <v>14.612484</v>
      </c>
      <c r="BW447" s="5">
        <f t="shared" si="584"/>
        <v>0</v>
      </c>
      <c r="BX447" s="499">
        <f t="shared" si="595"/>
        <v>23.797893420093196</v>
      </c>
      <c r="BY447" s="499">
        <f t="shared" si="596"/>
        <v>1136.4752289999999</v>
      </c>
      <c r="CA447">
        <v>297</v>
      </c>
      <c r="CB447">
        <v>14.612484</v>
      </c>
      <c r="CC447">
        <v>0</v>
      </c>
      <c r="CD447">
        <v>22.90645937</v>
      </c>
      <c r="CE447">
        <v>1136.4752289999999</v>
      </c>
      <c r="CG447" s="499">
        <f t="shared" si="597"/>
        <v>1</v>
      </c>
      <c r="CH447" s="499">
        <f t="shared" si="598"/>
        <v>0</v>
      </c>
      <c r="CI447" s="499">
        <f t="shared" si="599"/>
        <v>0</v>
      </c>
      <c r="CJ447" s="499">
        <f t="shared" si="600"/>
        <v>0</v>
      </c>
      <c r="CP447" s="499"/>
      <c r="CQ447" s="65">
        <f t="shared" si="602"/>
        <v>0.84574775257740309</v>
      </c>
      <c r="CR447" s="499">
        <f t="shared" si="603"/>
        <v>0.97853011864531003</v>
      </c>
      <c r="CS447" s="499">
        <f t="shared" si="604"/>
        <v>0.94920480418630604</v>
      </c>
      <c r="CT447" s="38">
        <f t="shared" si="605"/>
        <v>1.1569999632434786</v>
      </c>
      <c r="CU447" s="498">
        <f t="shared" si="606"/>
        <v>1.1223261324592577</v>
      </c>
    </row>
    <row r="448" spans="43:99">
      <c r="AQ448" s="499"/>
      <c r="AR448" s="228">
        <v>25.195340000000002</v>
      </c>
      <c r="AS448" s="13">
        <v>250</v>
      </c>
      <c r="AT448" s="13">
        <v>14.596819</v>
      </c>
      <c r="AU448" s="13">
        <f t="shared" si="617"/>
        <v>0</v>
      </c>
      <c r="AV448" s="13">
        <f t="shared" si="608"/>
        <v>24.888061491935485</v>
      </c>
      <c r="AW448" s="13">
        <f t="shared" si="609"/>
        <v>20.039324193548389</v>
      </c>
      <c r="AX448" s="13">
        <f t="shared" si="610"/>
        <v>23.918413583017397</v>
      </c>
      <c r="AY448" s="13">
        <v>999.05145500000003</v>
      </c>
      <c r="AZ448" s="13">
        <f t="shared" si="611"/>
        <v>4.8487372983870962</v>
      </c>
      <c r="BA448" s="13">
        <f t="shared" si="612"/>
        <v>0.96964790891808761</v>
      </c>
      <c r="BB448" s="97">
        <f t="shared" si="613"/>
        <v>0.30727850806451684</v>
      </c>
      <c r="BC448" s="499"/>
      <c r="BD448" s="499">
        <v>24.35</v>
      </c>
      <c r="BE448" s="499">
        <v>26.991919758064515</v>
      </c>
      <c r="BF448" s="499">
        <v>19.926042540322587</v>
      </c>
      <c r="BG448" s="499">
        <v>26.552777240714299</v>
      </c>
      <c r="BI448" s="499">
        <f t="shared" ref="BI448:BJ448" si="670">AS451</f>
        <v>455</v>
      </c>
      <c r="BJ448" s="499">
        <f t="shared" si="670"/>
        <v>14.676373999999999</v>
      </c>
      <c r="BK448" s="5">
        <f t="shared" si="586"/>
        <v>1</v>
      </c>
      <c r="BL448" s="499">
        <f t="shared" si="587"/>
        <v>27.957811</v>
      </c>
      <c r="BM448" s="499">
        <f t="shared" si="588"/>
        <v>1289.971456</v>
      </c>
      <c r="BO448" s="499">
        <f t="shared" si="589"/>
        <v>455</v>
      </c>
      <c r="BP448" s="499">
        <f t="shared" si="590"/>
        <v>14.676373999999999</v>
      </c>
      <c r="BQ448" s="5">
        <f t="shared" si="583"/>
        <v>0</v>
      </c>
      <c r="BR448" s="499">
        <f t="shared" si="591"/>
        <v>23.642131362903232</v>
      </c>
      <c r="BS448" s="499">
        <f t="shared" si="592"/>
        <v>1289.971456</v>
      </c>
      <c r="BU448" s="499">
        <f t="shared" si="593"/>
        <v>455</v>
      </c>
      <c r="BV448" s="499">
        <f t="shared" si="594"/>
        <v>14.676373999999999</v>
      </c>
      <c r="BW448" s="5">
        <f t="shared" si="584"/>
        <v>1</v>
      </c>
      <c r="BX448" s="499">
        <f t="shared" si="595"/>
        <v>27.364071336852771</v>
      </c>
      <c r="BY448" s="499">
        <f t="shared" si="596"/>
        <v>1289.971456</v>
      </c>
      <c r="CA448">
        <v>455</v>
      </c>
      <c r="CB448">
        <v>14.676373999999999</v>
      </c>
      <c r="CC448">
        <v>1</v>
      </c>
      <c r="CD448">
        <v>25.87841135</v>
      </c>
      <c r="CE448">
        <v>1289.971456</v>
      </c>
      <c r="CG448" s="499">
        <f t="shared" si="597"/>
        <v>1</v>
      </c>
      <c r="CH448" s="499">
        <f t="shared" si="598"/>
        <v>0</v>
      </c>
      <c r="CI448" s="499">
        <f t="shared" si="599"/>
        <v>1</v>
      </c>
      <c r="CJ448" s="499">
        <f t="shared" si="600"/>
        <v>1</v>
      </c>
      <c r="CP448" s="499"/>
      <c r="CQ448" s="65">
        <f t="shared" si="602"/>
        <v>0.35868658199100634</v>
      </c>
      <c r="CR448" s="499">
        <f t="shared" si="603"/>
        <v>0.97610094155190996</v>
      </c>
      <c r="CS448" s="499">
        <f t="shared" si="604"/>
        <v>0.73501734041305367</v>
      </c>
      <c r="CT448" s="38">
        <f t="shared" si="605"/>
        <v>2.7213199226292346</v>
      </c>
      <c r="CU448" s="498">
        <f t="shared" si="606"/>
        <v>2.0491910690751274</v>
      </c>
    </row>
    <row r="449" spans="43:99">
      <c r="AQ449" s="499"/>
      <c r="AR449" s="228">
        <v>23.422604</v>
      </c>
      <c r="AS449" s="13">
        <v>395</v>
      </c>
      <c r="AT449" s="13">
        <v>14.60952</v>
      </c>
      <c r="AU449" s="13">
        <f t="shared" si="617"/>
        <v>0</v>
      </c>
      <c r="AV449" s="13">
        <f t="shared" si="608"/>
        <v>22.232130645161291</v>
      </c>
      <c r="AW449" s="13">
        <f t="shared" si="609"/>
        <v>19.138826008064513</v>
      </c>
      <c r="AX449" s="13">
        <f t="shared" si="610"/>
        <v>21.41831526851648</v>
      </c>
      <c r="AY449" s="13">
        <v>441.21829000000002</v>
      </c>
      <c r="AZ449" s="13">
        <f t="shared" si="611"/>
        <v>3.0933046370967787</v>
      </c>
      <c r="BA449" s="13">
        <f t="shared" si="612"/>
        <v>0.81381537664481129</v>
      </c>
      <c r="BB449" s="97">
        <f t="shared" si="613"/>
        <v>1.1904733548387085</v>
      </c>
      <c r="BC449" s="499"/>
      <c r="BD449" s="499">
        <v>24.15</v>
      </c>
      <c r="BE449" s="499">
        <v>27.007439314516123</v>
      </c>
      <c r="BF449" s="499">
        <v>19.950358669354838</v>
      </c>
      <c r="BG449" s="499">
        <v>26.575821237326011</v>
      </c>
      <c r="BI449" s="499">
        <f t="shared" ref="BI449:BJ449" si="671">AS452</f>
        <v>210</v>
      </c>
      <c r="BJ449" s="499">
        <f t="shared" si="671"/>
        <v>14.733886999999999</v>
      </c>
      <c r="BK449" s="5">
        <f t="shared" si="586"/>
        <v>1</v>
      </c>
      <c r="BL449" s="499">
        <f t="shared" si="587"/>
        <v>27.506598</v>
      </c>
      <c r="BM449" s="499">
        <f t="shared" si="588"/>
        <v>748.420885</v>
      </c>
      <c r="BO449" s="499">
        <f t="shared" si="589"/>
        <v>210</v>
      </c>
      <c r="BP449" s="499">
        <f t="shared" si="590"/>
        <v>14.733886999999999</v>
      </c>
      <c r="BQ449" s="5">
        <f t="shared" si="583"/>
        <v>0</v>
      </c>
      <c r="BR449" s="499">
        <f t="shared" si="591"/>
        <v>22.534552032258052</v>
      </c>
      <c r="BS449" s="499">
        <f t="shared" si="592"/>
        <v>748.420885</v>
      </c>
      <c r="BU449" s="499">
        <f t="shared" si="593"/>
        <v>210</v>
      </c>
      <c r="BV449" s="499">
        <f t="shared" si="594"/>
        <v>14.733886999999999</v>
      </c>
      <c r="BW449" s="5">
        <f t="shared" si="584"/>
        <v>1</v>
      </c>
      <c r="BX449" s="499">
        <f t="shared" si="595"/>
        <v>26.508073256770345</v>
      </c>
      <c r="BY449" s="499">
        <f t="shared" si="596"/>
        <v>748.420885</v>
      </c>
      <c r="CA449">
        <v>210</v>
      </c>
      <c r="CB449">
        <v>14.733886999999999</v>
      </c>
      <c r="CC449">
        <v>1</v>
      </c>
      <c r="CD449">
        <v>25.2796415</v>
      </c>
      <c r="CE449">
        <v>748.420885</v>
      </c>
      <c r="CG449" s="499">
        <f t="shared" si="597"/>
        <v>1</v>
      </c>
      <c r="CH449" s="499">
        <f t="shared" si="598"/>
        <v>0</v>
      </c>
      <c r="CI449" s="499">
        <f t="shared" si="599"/>
        <v>1</v>
      </c>
      <c r="CJ449" s="499">
        <f t="shared" si="600"/>
        <v>1</v>
      </c>
      <c r="CP449" s="499"/>
      <c r="CQ449" s="65">
        <f t="shared" si="602"/>
        <v>7.5858531261372808E-4</v>
      </c>
      <c r="CR449" s="499">
        <f t="shared" si="603"/>
        <v>0.78721434495104248</v>
      </c>
      <c r="CS449" s="499">
        <f t="shared" si="604"/>
        <v>2.4636612762759386E-3</v>
      </c>
      <c r="CT449" s="38">
        <f t="shared" si="605"/>
        <v>1037.7400298440689</v>
      </c>
      <c r="CU449" s="498">
        <f t="shared" si="606"/>
        <v>3.2477049519813677</v>
      </c>
    </row>
    <row r="450" spans="43:99">
      <c r="AQ450" s="499"/>
      <c r="AR450" s="228">
        <v>24.628802</v>
      </c>
      <c r="AS450" s="13">
        <v>297</v>
      </c>
      <c r="AT450" s="13">
        <v>14.612484</v>
      </c>
      <c r="AU450" s="13">
        <f t="shared" si="617"/>
        <v>0</v>
      </c>
      <c r="AV450" s="13">
        <f t="shared" si="608"/>
        <v>23.382078629032261</v>
      </c>
      <c r="AW450" s="13">
        <f t="shared" si="609"/>
        <v>20.152791733870959</v>
      </c>
      <c r="AX450" s="13">
        <f t="shared" si="610"/>
        <v>22.551170049125457</v>
      </c>
      <c r="AY450" s="13">
        <v>1136.4752289999999</v>
      </c>
      <c r="AZ450" s="13">
        <f t="shared" si="611"/>
        <v>3.2292868951613016</v>
      </c>
      <c r="BA450" s="13">
        <f t="shared" si="612"/>
        <v>0.83090857990680433</v>
      </c>
      <c r="BB450" s="97">
        <f t="shared" si="613"/>
        <v>1.2467233709677394</v>
      </c>
      <c r="BC450" s="499"/>
      <c r="BD450" s="499">
        <v>23.95</v>
      </c>
      <c r="BE450" s="499">
        <v>27.026373185483873</v>
      </c>
      <c r="BF450" s="499">
        <v>19.95227963709678</v>
      </c>
      <c r="BG450" s="499">
        <v>26.602444926039382</v>
      </c>
      <c r="BI450" s="499">
        <f t="shared" ref="BI450:BJ450" si="672">AS453</f>
        <v>409</v>
      </c>
      <c r="BJ450" s="499">
        <f t="shared" si="672"/>
        <v>14.809559</v>
      </c>
      <c r="BK450" s="5">
        <f t="shared" si="586"/>
        <v>1</v>
      </c>
      <c r="BL450" s="499">
        <f t="shared" si="587"/>
        <v>27.255911999999999</v>
      </c>
      <c r="BM450" s="499">
        <f t="shared" si="588"/>
        <v>614.75779999999997</v>
      </c>
      <c r="BO450" s="499">
        <f t="shared" si="589"/>
        <v>409</v>
      </c>
      <c r="BP450" s="499">
        <f t="shared" si="590"/>
        <v>14.809559</v>
      </c>
      <c r="BQ450" s="5">
        <f t="shared" si="583"/>
        <v>0</v>
      </c>
      <c r="BR450" s="499">
        <f t="shared" si="591"/>
        <v>22.266294661290321</v>
      </c>
      <c r="BS450" s="499">
        <f t="shared" si="592"/>
        <v>614.75779999999997</v>
      </c>
      <c r="BU450" s="499">
        <f t="shared" si="593"/>
        <v>409</v>
      </c>
      <c r="BV450" s="499">
        <f t="shared" si="594"/>
        <v>14.809559</v>
      </c>
      <c r="BW450" s="5">
        <f t="shared" si="584"/>
        <v>1</v>
      </c>
      <c r="BX450" s="499">
        <f t="shared" si="595"/>
        <v>26.314921471810095</v>
      </c>
      <c r="BY450" s="499">
        <f t="shared" si="596"/>
        <v>614.75779999999997</v>
      </c>
      <c r="CA450">
        <v>409</v>
      </c>
      <c r="CB450">
        <v>14.809559</v>
      </c>
      <c r="CC450">
        <v>1</v>
      </c>
      <c r="CD450">
        <v>24.995126490000001</v>
      </c>
      <c r="CE450">
        <v>614.75779999999997</v>
      </c>
      <c r="CG450" s="499">
        <f t="shared" si="597"/>
        <v>1</v>
      </c>
      <c r="CH450" s="499">
        <f t="shared" si="598"/>
        <v>0</v>
      </c>
      <c r="CI450" s="499">
        <f t="shared" si="599"/>
        <v>1</v>
      </c>
      <c r="CJ450" s="499">
        <f t="shared" si="600"/>
        <v>1</v>
      </c>
      <c r="CP450" s="499"/>
      <c r="CQ450" s="65">
        <f t="shared" si="602"/>
        <v>1.8572281934782049E-3</v>
      </c>
      <c r="CR450" s="499">
        <f t="shared" si="603"/>
        <v>0.95316488280657963</v>
      </c>
      <c r="CS450" s="499">
        <f t="shared" si="604"/>
        <v>1.3345933351607419E-2</v>
      </c>
      <c r="CT450" s="38">
        <f t="shared" si="605"/>
        <v>513.21904661672113</v>
      </c>
      <c r="CU450" s="498">
        <f t="shared" si="606"/>
        <v>7.1859416082916781</v>
      </c>
    </row>
    <row r="451" spans="43:99">
      <c r="AQ451" s="499"/>
      <c r="AR451" s="228">
        <v>27.957811</v>
      </c>
      <c r="AS451" s="13">
        <v>455</v>
      </c>
      <c r="AT451" s="13">
        <v>14.676373999999999</v>
      </c>
      <c r="AU451" s="13">
        <f t="shared" si="617"/>
        <v>0</v>
      </c>
      <c r="AV451" s="13">
        <f t="shared" si="608"/>
        <v>24.568302620967735</v>
      </c>
      <c r="AW451" s="13">
        <f t="shared" si="609"/>
        <v>20.252622983870967</v>
      </c>
      <c r="AX451" s="13">
        <f t="shared" si="610"/>
        <v>23.974562957820506</v>
      </c>
      <c r="AY451" s="13">
        <v>1289.971456</v>
      </c>
      <c r="AZ451" s="13">
        <f t="shared" si="611"/>
        <v>4.3156796370967676</v>
      </c>
      <c r="BA451" s="13">
        <f t="shared" si="612"/>
        <v>0.59373966314722892</v>
      </c>
      <c r="BB451" s="97">
        <f t="shared" si="613"/>
        <v>3.3895083790322644</v>
      </c>
      <c r="BC451" s="499"/>
      <c r="BD451" s="499">
        <v>23.75</v>
      </c>
      <c r="BE451" s="499">
        <v>27.027234879032264</v>
      </c>
      <c r="BF451" s="499">
        <v>19.918775403225805</v>
      </c>
      <c r="BG451" s="499">
        <v>26.61899736383242</v>
      </c>
      <c r="BI451" s="499">
        <f t="shared" ref="BI451:BJ451" si="673">AS454</f>
        <v>170</v>
      </c>
      <c r="BJ451" s="499">
        <f t="shared" si="673"/>
        <v>14.835436</v>
      </c>
      <c r="BK451" s="5">
        <f t="shared" si="586"/>
        <v>0</v>
      </c>
      <c r="BL451" s="499">
        <f t="shared" si="587"/>
        <v>23.229558999999998</v>
      </c>
      <c r="BM451" s="499">
        <f t="shared" si="588"/>
        <v>862.82706199999996</v>
      </c>
      <c r="BO451" s="499">
        <f t="shared" si="589"/>
        <v>170</v>
      </c>
      <c r="BP451" s="499">
        <f t="shared" si="590"/>
        <v>14.835436</v>
      </c>
      <c r="BQ451" s="5">
        <f t="shared" si="583"/>
        <v>0</v>
      </c>
      <c r="BR451" s="499">
        <f t="shared" si="591"/>
        <v>19.540949725806449</v>
      </c>
      <c r="BS451" s="499">
        <f t="shared" si="592"/>
        <v>862.82706199999996</v>
      </c>
      <c r="BU451" s="499">
        <f t="shared" si="593"/>
        <v>170</v>
      </c>
      <c r="BV451" s="499">
        <f t="shared" si="594"/>
        <v>14.835436</v>
      </c>
      <c r="BW451" s="5">
        <f t="shared" si="584"/>
        <v>0</v>
      </c>
      <c r="BX451" s="499">
        <f t="shared" si="595"/>
        <v>22.485934845805854</v>
      </c>
      <c r="BY451" s="499">
        <f t="shared" si="596"/>
        <v>862.82706199999996</v>
      </c>
      <c r="CA451">
        <v>170</v>
      </c>
      <c r="CB451">
        <v>14.835436</v>
      </c>
      <c r="CC451">
        <v>0</v>
      </c>
      <c r="CD451">
        <v>21.756601660000001</v>
      </c>
      <c r="CE451">
        <v>862.82706199999996</v>
      </c>
      <c r="CG451" s="499">
        <f t="shared" si="597"/>
        <v>0</v>
      </c>
      <c r="CH451" s="499">
        <f t="shared" si="598"/>
        <v>0</v>
      </c>
      <c r="CI451" s="499">
        <f t="shared" si="599"/>
        <v>0</v>
      </c>
      <c r="CJ451" s="499">
        <f t="shared" si="600"/>
        <v>0</v>
      </c>
      <c r="CP451" s="499"/>
      <c r="CQ451" s="65">
        <f t="shared" si="602"/>
        <v>3.0524534923595408E-3</v>
      </c>
      <c r="CR451" s="499">
        <f t="shared" si="603"/>
        <v>0.96361565472117872</v>
      </c>
      <c r="CS451" s="499">
        <f t="shared" si="604"/>
        <v>1.9465126474566628E-2</v>
      </c>
      <c r="CT451" s="38">
        <f t="shared" si="605"/>
        <v>315.68561392766895</v>
      </c>
      <c r="CU451" s="498">
        <f t="shared" si="606"/>
        <v>6.3768789674564781</v>
      </c>
    </row>
    <row r="452" spans="43:99">
      <c r="AQ452" s="499"/>
      <c r="AR452" s="228">
        <v>27.506598</v>
      </c>
      <c r="AS452" s="13">
        <v>210</v>
      </c>
      <c r="AT452" s="13">
        <v>14.733886999999999</v>
      </c>
      <c r="AU452" s="13">
        <f t="shared" si="617"/>
        <v>0</v>
      </c>
      <c r="AV452" s="13">
        <f t="shared" si="608"/>
        <v>25.290308870967756</v>
      </c>
      <c r="AW452" s="13">
        <f t="shared" si="609"/>
        <v>20.318262903225808</v>
      </c>
      <c r="AX452" s="13">
        <f t="shared" si="610"/>
        <v>24.291784127738101</v>
      </c>
      <c r="AY452" s="13">
        <v>748.420885</v>
      </c>
      <c r="AZ452" s="13">
        <f t="shared" si="611"/>
        <v>4.9720459677419484</v>
      </c>
      <c r="BA452" s="13">
        <f t="shared" si="612"/>
        <v>0.99852474322965534</v>
      </c>
      <c r="BB452" s="97">
        <f t="shared" si="613"/>
        <v>2.2162891290322442</v>
      </c>
      <c r="BC452" s="499"/>
      <c r="BD452" s="499">
        <v>23.55</v>
      </c>
      <c r="BE452" s="499">
        <v>27.03026754032259</v>
      </c>
      <c r="BF452" s="499">
        <v>20.001056451612914</v>
      </c>
      <c r="BG452" s="499">
        <v>26.642853068021978</v>
      </c>
      <c r="BI452" s="499">
        <f t="shared" ref="BI452:BJ452" si="674">AS455</f>
        <v>146</v>
      </c>
      <c r="BJ452" s="499">
        <f t="shared" si="674"/>
        <v>14.867652</v>
      </c>
      <c r="BK452" s="5">
        <f t="shared" si="586"/>
        <v>1</v>
      </c>
      <c r="BL452" s="499">
        <f t="shared" si="587"/>
        <v>27.710276</v>
      </c>
      <c r="BM452" s="499">
        <f t="shared" si="588"/>
        <v>1000.6593329999999</v>
      </c>
      <c r="BO452" s="499">
        <f t="shared" si="589"/>
        <v>146</v>
      </c>
      <c r="BP452" s="499">
        <f t="shared" si="590"/>
        <v>14.867652</v>
      </c>
      <c r="BQ452" s="5">
        <f t="shared" si="583"/>
        <v>0</v>
      </c>
      <c r="BR452" s="499">
        <f t="shared" si="591"/>
        <v>22.876162895161279</v>
      </c>
      <c r="BS452" s="499">
        <f t="shared" si="592"/>
        <v>1000.6593329999999</v>
      </c>
      <c r="BU452" s="499">
        <f t="shared" si="593"/>
        <v>146</v>
      </c>
      <c r="BV452" s="499">
        <f t="shared" si="594"/>
        <v>14.867652</v>
      </c>
      <c r="BW452" s="5">
        <f t="shared" si="584"/>
        <v>1</v>
      </c>
      <c r="BX452" s="499">
        <f t="shared" si="595"/>
        <v>27.4977582747842</v>
      </c>
      <c r="BY452" s="499">
        <f t="shared" si="596"/>
        <v>1000.6593329999999</v>
      </c>
      <c r="CA452">
        <v>146</v>
      </c>
      <c r="CB452">
        <v>14.867652</v>
      </c>
      <c r="CC452">
        <v>1</v>
      </c>
      <c r="CD452">
        <v>25.33111852</v>
      </c>
      <c r="CE452">
        <v>1000.6593329999999</v>
      </c>
      <c r="CG452" s="499">
        <f t="shared" si="597"/>
        <v>1</v>
      </c>
      <c r="CH452" s="499">
        <f t="shared" si="598"/>
        <v>0</v>
      </c>
      <c r="CI452" s="499">
        <f t="shared" si="599"/>
        <v>1</v>
      </c>
      <c r="CJ452" s="499">
        <f t="shared" si="600"/>
        <v>1</v>
      </c>
      <c r="CP452" s="499"/>
      <c r="CQ452" s="65">
        <f t="shared" si="602"/>
        <v>0.88404556384068744</v>
      </c>
      <c r="CR452" s="499">
        <f t="shared" si="603"/>
        <v>0.97879110122199309</v>
      </c>
      <c r="CS452" s="499">
        <f t="shared" si="604"/>
        <v>0.95547431400763205</v>
      </c>
      <c r="CT452" s="38">
        <f t="shared" si="605"/>
        <v>1.1071726857263882</v>
      </c>
      <c r="CU452" s="498">
        <f t="shared" si="606"/>
        <v>1.0807975890480421</v>
      </c>
    </row>
    <row r="453" spans="43:99">
      <c r="AQ453" s="499"/>
      <c r="AR453" s="228">
        <v>27.255911999999999</v>
      </c>
      <c r="AS453" s="13">
        <v>409</v>
      </c>
      <c r="AT453" s="13">
        <v>14.809559</v>
      </c>
      <c r="AU453" s="13">
        <f t="shared" si="617"/>
        <v>0</v>
      </c>
      <c r="AV453" s="13">
        <f t="shared" si="608"/>
        <v>25.409885685483868</v>
      </c>
      <c r="AW453" s="13">
        <f t="shared" si="609"/>
        <v>20.42026834677419</v>
      </c>
      <c r="AX453" s="13">
        <f t="shared" si="610"/>
        <v>24.468895157293964</v>
      </c>
      <c r="AY453" s="13">
        <v>614.75779999999997</v>
      </c>
      <c r="AZ453" s="13">
        <f t="shared" si="611"/>
        <v>4.9896173387096781</v>
      </c>
      <c r="BA453" s="13">
        <f t="shared" si="612"/>
        <v>0.94099052818990359</v>
      </c>
      <c r="BB453" s="97">
        <f t="shared" si="613"/>
        <v>1.8460263145161306</v>
      </c>
      <c r="BC453" s="499"/>
      <c r="BD453" s="499">
        <v>23.35</v>
      </c>
      <c r="BE453" s="499">
        <v>26.967596975806444</v>
      </c>
      <c r="BF453" s="499">
        <v>20.02104899193548</v>
      </c>
      <c r="BG453" s="499">
        <v>26.64716130936813</v>
      </c>
      <c r="BI453" s="499">
        <f t="shared" ref="BI453:BJ453" si="675">AS456</f>
        <v>473</v>
      </c>
      <c r="BJ453" s="499">
        <f t="shared" si="675"/>
        <v>14.996591</v>
      </c>
      <c r="BK453" s="5">
        <f t="shared" si="586"/>
        <v>1</v>
      </c>
      <c r="BL453" s="499">
        <f t="shared" si="587"/>
        <v>24.628802</v>
      </c>
      <c r="BM453" s="499">
        <f t="shared" si="588"/>
        <v>1087.5310260000001</v>
      </c>
      <c r="BO453" s="499">
        <f t="shared" si="589"/>
        <v>473</v>
      </c>
      <c r="BP453" s="499">
        <f t="shared" si="590"/>
        <v>14.996591</v>
      </c>
      <c r="BQ453" s="5">
        <f t="shared" ref="BQ453:BQ488" si="676">IF(BR453&gt;=24.4,1,0)</f>
        <v>0</v>
      </c>
      <c r="BR453" s="499">
        <f t="shared" si="591"/>
        <v>21.871189096774199</v>
      </c>
      <c r="BS453" s="499">
        <f t="shared" si="592"/>
        <v>1087.5310260000001</v>
      </c>
      <c r="BU453" s="499">
        <f t="shared" si="593"/>
        <v>473</v>
      </c>
      <c r="BV453" s="499">
        <f t="shared" si="594"/>
        <v>14.996591</v>
      </c>
      <c r="BW453" s="5">
        <f t="shared" ref="BW453:BW488" si="677">IF(BX453&gt;=24.4,1,0)</f>
        <v>0</v>
      </c>
      <c r="BX453" s="499">
        <f t="shared" si="595"/>
        <v>23.941913791004815</v>
      </c>
      <c r="BY453" s="499">
        <f t="shared" si="596"/>
        <v>1087.5310260000001</v>
      </c>
      <c r="CA453">
        <v>473</v>
      </c>
      <c r="CB453">
        <v>14.996591</v>
      </c>
      <c r="CC453">
        <v>0</v>
      </c>
      <c r="CD453">
        <v>23.375916449999998</v>
      </c>
      <c r="CE453">
        <v>1087.5310260000001</v>
      </c>
      <c r="CG453" s="499">
        <f t="shared" si="597"/>
        <v>1</v>
      </c>
      <c r="CH453" s="499">
        <f t="shared" si="598"/>
        <v>0</v>
      </c>
      <c r="CI453" s="499">
        <f t="shared" si="599"/>
        <v>0</v>
      </c>
      <c r="CJ453" s="499">
        <f t="shared" si="600"/>
        <v>0</v>
      </c>
      <c r="CP453" s="499"/>
      <c r="CQ453" s="65">
        <f t="shared" si="602"/>
        <v>1.2399012478207234E-3</v>
      </c>
      <c r="CR453" s="499">
        <f t="shared" si="603"/>
        <v>0.92946429392953189</v>
      </c>
      <c r="CS453" s="499">
        <f t="shared" si="604"/>
        <v>1.8900722787376792E-3</v>
      </c>
      <c r="CT453" s="38">
        <f t="shared" si="605"/>
        <v>749.62767846485997</v>
      </c>
      <c r="CU453" s="498">
        <f t="shared" si="606"/>
        <v>1.5243732370297314</v>
      </c>
    </row>
    <row r="454" spans="43:99">
      <c r="AQ454" s="499"/>
      <c r="AR454" s="228">
        <v>23.229558999999998</v>
      </c>
      <c r="AS454" s="13">
        <v>170</v>
      </c>
      <c r="AT454" s="13">
        <v>14.835436</v>
      </c>
      <c r="AU454" s="13">
        <f t="shared" si="617"/>
        <v>0</v>
      </c>
      <c r="AV454" s="13">
        <f t="shared" si="608"/>
        <v>24.066106250000001</v>
      </c>
      <c r="AW454" s="13">
        <f t="shared" si="609"/>
        <v>20.377496975806451</v>
      </c>
      <c r="AX454" s="13">
        <f t="shared" si="610"/>
        <v>23.322482095805857</v>
      </c>
      <c r="AY454" s="13">
        <v>862.82706199999996</v>
      </c>
      <c r="AZ454" s="13">
        <f t="shared" si="611"/>
        <v>3.6886092741935492</v>
      </c>
      <c r="BA454" s="13">
        <f t="shared" si="612"/>
        <v>0.74362415419414418</v>
      </c>
      <c r="BB454" s="97">
        <f t="shared" si="613"/>
        <v>-0.83654725000000241</v>
      </c>
      <c r="BC454" s="499"/>
      <c r="BD454" s="499">
        <v>23.15</v>
      </c>
      <c r="BE454" s="499">
        <v>26.965697983870985</v>
      </c>
      <c r="BF454" s="499">
        <v>20.024999798387093</v>
      </c>
      <c r="BG454" s="499">
        <v>26.626879220325097</v>
      </c>
      <c r="BI454" s="499">
        <f t="shared" ref="BI454:BJ454" si="678">AS457</f>
        <v>463</v>
      </c>
      <c r="BJ454" s="499">
        <f t="shared" si="678"/>
        <v>15.020261</v>
      </c>
      <c r="BK454" s="5">
        <f t="shared" ref="BK454:BK488" si="679">IF(BL454&gt;=24.4,1,0)</f>
        <v>1</v>
      </c>
      <c r="BL454" s="499">
        <f t="shared" ref="BL454:BL488" si="680">AR457</f>
        <v>28.477941000000001</v>
      </c>
      <c r="BM454" s="499">
        <f t="shared" ref="BM454:BM488" si="681">AY457</f>
        <v>879.211457</v>
      </c>
      <c r="BO454" s="499">
        <f t="shared" ref="BO454:BO488" si="682">BI454</f>
        <v>463</v>
      </c>
      <c r="BP454" s="499">
        <f t="shared" ref="BP454:BP488" si="683">BJ454</f>
        <v>15.020261</v>
      </c>
      <c r="BQ454" s="5">
        <f t="shared" si="676"/>
        <v>1</v>
      </c>
      <c r="BR454" s="499">
        <f t="shared" ref="BR454:BR488" si="684">$BL454-AZ457</f>
        <v>24.924779911290322</v>
      </c>
      <c r="BS454" s="499">
        <f t="shared" ref="BS454:BS488" si="685">BM454</f>
        <v>879.211457</v>
      </c>
      <c r="BU454" s="499">
        <f t="shared" ref="BU454:BU488" si="686">BI454</f>
        <v>463</v>
      </c>
      <c r="BV454" s="499">
        <f t="shared" ref="BV454:BV488" si="687">BJ454</f>
        <v>15.020261</v>
      </c>
      <c r="BW454" s="5">
        <f t="shared" si="677"/>
        <v>1</v>
      </c>
      <c r="BX454" s="499">
        <f t="shared" ref="BX454:BX488" si="688">$BL454-BA457</f>
        <v>28.528689554453646</v>
      </c>
      <c r="BY454" s="499">
        <f t="shared" ref="BY454:BY488" si="689">BM454</f>
        <v>879.211457</v>
      </c>
      <c r="CA454">
        <v>463</v>
      </c>
      <c r="CB454">
        <v>15.020261</v>
      </c>
      <c r="CC454">
        <v>1</v>
      </c>
      <c r="CD454">
        <v>26.94449809</v>
      </c>
      <c r="CE454">
        <v>879.211457</v>
      </c>
      <c r="CG454" s="499">
        <f t="shared" ref="CG454:CG488" si="690">BK454</f>
        <v>1</v>
      </c>
      <c r="CH454" s="499">
        <f t="shared" ref="CH454:CH488" si="691">BQ454</f>
        <v>1</v>
      </c>
      <c r="CI454" s="499">
        <f t="shared" ref="CI454:CI488" si="692">BW454</f>
        <v>1</v>
      </c>
      <c r="CJ454" s="499">
        <f t="shared" ref="CJ454:CJ488" si="693">CC454</f>
        <v>1</v>
      </c>
      <c r="CP454" s="499"/>
      <c r="CQ454" s="65">
        <f t="shared" si="602"/>
        <v>0.35868658199100634</v>
      </c>
      <c r="CR454" s="499">
        <f t="shared" si="603"/>
        <v>0.97184756396182626</v>
      </c>
      <c r="CS454" s="499">
        <f t="shared" si="604"/>
        <v>0.67898197539777672</v>
      </c>
      <c r="CT454" s="38">
        <f t="shared" si="605"/>
        <v>2.709461721615765</v>
      </c>
      <c r="CU454" s="498">
        <f t="shared" si="606"/>
        <v>1.8929673132149711</v>
      </c>
    </row>
    <row r="455" spans="43:99">
      <c r="AQ455" s="499"/>
      <c r="AR455" s="228">
        <v>27.710276</v>
      </c>
      <c r="AS455" s="13">
        <v>146</v>
      </c>
      <c r="AT455" s="13">
        <v>14.867652</v>
      </c>
      <c r="AU455" s="13">
        <f t="shared" si="617"/>
        <v>0</v>
      </c>
      <c r="AV455" s="13">
        <f t="shared" si="608"/>
        <v>24.537765725806455</v>
      </c>
      <c r="AW455" s="13">
        <f t="shared" si="609"/>
        <v>19.703652620967734</v>
      </c>
      <c r="AX455" s="13">
        <f t="shared" si="610"/>
        <v>24.325248000590655</v>
      </c>
      <c r="AY455" s="13">
        <v>1000.6593329999999</v>
      </c>
      <c r="AZ455" s="13">
        <f t="shared" si="611"/>
        <v>4.8341131048387211</v>
      </c>
      <c r="BA455" s="13">
        <f t="shared" si="612"/>
        <v>0.21251772521580037</v>
      </c>
      <c r="BB455" s="97">
        <f t="shared" si="613"/>
        <v>3.1725102741935451</v>
      </c>
      <c r="BC455" s="499"/>
      <c r="BD455" s="499">
        <v>22.95</v>
      </c>
      <c r="BE455" s="499">
        <v>26.948383870967746</v>
      </c>
      <c r="BF455" s="499">
        <v>20.01263528225806</v>
      </c>
      <c r="BG455" s="499">
        <v>26.613587503026565</v>
      </c>
      <c r="BI455" s="499">
        <f t="shared" ref="BI455:BJ455" si="694">AS458</f>
        <v>331</v>
      </c>
      <c r="BJ455" s="499">
        <f t="shared" si="694"/>
        <v>15.394978</v>
      </c>
      <c r="BK455" s="5">
        <f t="shared" si="679"/>
        <v>1</v>
      </c>
      <c r="BL455" s="499">
        <f t="shared" si="680"/>
        <v>25.550660000000001</v>
      </c>
      <c r="BM455" s="499">
        <f t="shared" si="681"/>
        <v>1000.281403</v>
      </c>
      <c r="BO455" s="499">
        <f t="shared" si="682"/>
        <v>331</v>
      </c>
      <c r="BP455" s="499">
        <f t="shared" si="683"/>
        <v>15.394978</v>
      </c>
      <c r="BQ455" s="5">
        <f t="shared" si="676"/>
        <v>0</v>
      </c>
      <c r="BR455" s="499">
        <f t="shared" si="684"/>
        <v>20.130241653225795</v>
      </c>
      <c r="BS455" s="499">
        <f t="shared" si="685"/>
        <v>1000.281403</v>
      </c>
      <c r="BU455" s="499">
        <f t="shared" si="686"/>
        <v>331</v>
      </c>
      <c r="BV455" s="499">
        <f t="shared" si="687"/>
        <v>15.394978</v>
      </c>
      <c r="BW455" s="5">
        <f t="shared" si="677"/>
        <v>1</v>
      </c>
      <c r="BX455" s="499">
        <f t="shared" si="688"/>
        <v>25.296985097941768</v>
      </c>
      <c r="BY455" s="499">
        <f t="shared" si="689"/>
        <v>1000.281403</v>
      </c>
      <c r="CA455">
        <v>331</v>
      </c>
      <c r="CB455">
        <v>15.394978</v>
      </c>
      <c r="CC455">
        <v>0</v>
      </c>
      <c r="CD455">
        <v>22.75907462</v>
      </c>
      <c r="CE455">
        <v>1000.281403</v>
      </c>
      <c r="CG455" s="499">
        <f t="shared" si="690"/>
        <v>1</v>
      </c>
      <c r="CH455" s="499">
        <f t="shared" si="691"/>
        <v>0</v>
      </c>
      <c r="CI455" s="499">
        <f t="shared" si="692"/>
        <v>1</v>
      </c>
      <c r="CJ455" s="499">
        <f t="shared" si="693"/>
        <v>0</v>
      </c>
      <c r="CP455" s="499"/>
      <c r="CQ455" s="65">
        <f t="shared" ref="CQ455:CQ488" si="695">(97.886/(1+EXP(-((BL454-24.35322)/-0.5033))))/100</f>
        <v>2.7002521431144594E-4</v>
      </c>
      <c r="CR455" s="499">
        <f t="shared" ref="CR455:CR488" si="696">(97.886/(1+EXP(-((BR454-24.35322)/-0.5033))))/100</f>
        <v>0.23798492327924253</v>
      </c>
      <c r="CS455" s="499">
        <f t="shared" ref="CS455:CS488" si="697">(97.886/(1+EXP(-((BX454-24.35322)/-0.5033))))/100</f>
        <v>2.4413227275195168E-4</v>
      </c>
      <c r="CT455" s="38">
        <f t="shared" ref="CT455:CT488" si="698">CR455/CQ455</f>
        <v>881.34333634766313</v>
      </c>
      <c r="CU455" s="498">
        <f t="shared" ref="CU455:CU488" si="699">CS455/CQ455</f>
        <v>0.90410917133971991</v>
      </c>
    </row>
    <row r="456" spans="43:99">
      <c r="AQ456" s="499"/>
      <c r="AR456" s="228">
        <v>24.628802</v>
      </c>
      <c r="AS456" s="13">
        <v>473</v>
      </c>
      <c r="AT456" s="13">
        <v>14.996591</v>
      </c>
      <c r="AU456" s="13">
        <f t="shared" si="617"/>
        <v>0</v>
      </c>
      <c r="AV456" s="13">
        <f t="shared" si="608"/>
        <v>22.914507459677417</v>
      </c>
      <c r="AW456" s="13">
        <f t="shared" si="609"/>
        <v>20.156894556451615</v>
      </c>
      <c r="AX456" s="13">
        <f t="shared" si="610"/>
        <v>22.227619250682231</v>
      </c>
      <c r="AY456" s="13">
        <v>1087.5310260000001</v>
      </c>
      <c r="AZ456" s="13">
        <f t="shared" si="611"/>
        <v>2.7576129032258017</v>
      </c>
      <c r="BA456" s="13">
        <f t="shared" si="612"/>
        <v>0.68688820899518532</v>
      </c>
      <c r="BB456" s="97">
        <f t="shared" si="613"/>
        <v>1.7142945403225838</v>
      </c>
      <c r="BC456" s="499"/>
      <c r="BD456" s="499">
        <v>22.75</v>
      </c>
      <c r="BE456" s="499">
        <v>26.964210887096769</v>
      </c>
      <c r="BF456" s="499">
        <v>20.030494153225806</v>
      </c>
      <c r="BG456" s="499">
        <v>26.63115008611263</v>
      </c>
      <c r="BI456" s="499">
        <f t="shared" ref="BI456:BJ456" si="700">AS459</f>
        <v>60</v>
      </c>
      <c r="BJ456" s="499">
        <f t="shared" si="700"/>
        <v>15.420795999999999</v>
      </c>
      <c r="BK456" s="5">
        <f t="shared" si="679"/>
        <v>1</v>
      </c>
      <c r="BL456" s="499">
        <f t="shared" si="680"/>
        <v>28.477941000000001</v>
      </c>
      <c r="BM456" s="499">
        <f t="shared" si="681"/>
        <v>1280.4011620000001</v>
      </c>
      <c r="BO456" s="499">
        <f t="shared" si="682"/>
        <v>60</v>
      </c>
      <c r="BP456" s="499">
        <f t="shared" si="683"/>
        <v>15.420795999999999</v>
      </c>
      <c r="BQ456" s="5">
        <f t="shared" si="676"/>
        <v>0</v>
      </c>
      <c r="BR456" s="499">
        <f t="shared" si="684"/>
        <v>23.787393822580643</v>
      </c>
      <c r="BS456" s="499">
        <f t="shared" si="685"/>
        <v>1280.4011620000001</v>
      </c>
      <c r="BU456" s="499">
        <f t="shared" si="686"/>
        <v>60</v>
      </c>
      <c r="BV456" s="499">
        <f t="shared" si="687"/>
        <v>15.420795999999999</v>
      </c>
      <c r="BW456" s="5">
        <f t="shared" si="677"/>
        <v>1</v>
      </c>
      <c r="BX456" s="499">
        <f t="shared" si="688"/>
        <v>28.32613522811311</v>
      </c>
      <c r="BY456" s="499">
        <f t="shared" si="689"/>
        <v>1280.4011620000001</v>
      </c>
      <c r="CA456">
        <v>60</v>
      </c>
      <c r="CB456">
        <v>15.420795999999999</v>
      </c>
      <c r="CC456">
        <v>1</v>
      </c>
      <c r="CD456">
        <v>25.615355390000001</v>
      </c>
      <c r="CE456">
        <v>1280.4011620000001</v>
      </c>
      <c r="CG456" s="499">
        <f t="shared" si="690"/>
        <v>1</v>
      </c>
      <c r="CH456" s="499">
        <f t="shared" si="691"/>
        <v>0</v>
      </c>
      <c r="CI456" s="499">
        <f t="shared" si="692"/>
        <v>1</v>
      </c>
      <c r="CJ456" s="499">
        <f t="shared" si="693"/>
        <v>1</v>
      </c>
      <c r="CP456" s="499"/>
      <c r="CQ456" s="65">
        <f t="shared" si="695"/>
        <v>8.2982235225227893E-2</v>
      </c>
      <c r="CR456" s="499">
        <f t="shared" si="696"/>
        <v>0.97863785327984842</v>
      </c>
      <c r="CS456" s="499">
        <f t="shared" si="697"/>
        <v>0.13013597848787362</v>
      </c>
      <c r="CT456" s="38">
        <f t="shared" si="698"/>
        <v>11.793341678778102</v>
      </c>
      <c r="CU456" s="498">
        <f t="shared" si="699"/>
        <v>1.5682390108516895</v>
      </c>
    </row>
    <row r="457" spans="43:99">
      <c r="AQ457" s="499"/>
      <c r="AR457" s="228">
        <v>28.477941000000001</v>
      </c>
      <c r="AS457" s="13">
        <v>463</v>
      </c>
      <c r="AT457" s="13">
        <v>15.020261</v>
      </c>
      <c r="AU457" s="13">
        <f t="shared" si="617"/>
        <v>0</v>
      </c>
      <c r="AV457" s="13">
        <f t="shared" ref="AV457:AV491" si="701">IF(ISERROR(VLOOKUP(AS457,B$3:AP$102,40,FALSE))=TRUE,AR457,VLOOKUP(AS457,B$3:AP$102,40,FALSE))</f>
        <v>23.379095564516128</v>
      </c>
      <c r="AW457" s="13">
        <f t="shared" ref="AW457:AW491" si="702">IF(ISERROR(VLOOKUP(AS457,B$3:AP$102,39,FALSE))=TRUE,AR457,VLOOKUP(AS457,B$3:AP$102,39,FALSE))</f>
        <v>19.825934475806449</v>
      </c>
      <c r="AX457" s="13">
        <f t="shared" ref="AX457:AX491" si="703">IF(ISERROR(VLOOKUP(AS457,B$3:AP$102,41,FALSE))=TRUE,AR457,VLOOKUP(AS457,B$3:AP$102,41,FALSE))</f>
        <v>23.429844118969772</v>
      </c>
      <c r="AY457" s="13">
        <v>879.211457</v>
      </c>
      <c r="AZ457" s="13">
        <f t="shared" ref="AZ457:AZ491" si="704">IF($AV457=0,0,$AV457-AW457)</f>
        <v>3.5531610887096789</v>
      </c>
      <c r="BA457" s="13">
        <f t="shared" ref="BA457:BA491" si="705">IF($AV457=0,0,$AV457-AX457)</f>
        <v>-5.0748554453644346E-2</v>
      </c>
      <c r="BB457" s="97">
        <f t="shared" ref="BB457:BB491" si="706">IF(AV457=0,0,$AR457-AV457)</f>
        <v>5.0988454354838737</v>
      </c>
      <c r="BC457" s="499"/>
      <c r="BD457" s="499">
        <v>22.55</v>
      </c>
      <c r="BE457" s="499">
        <v>26.971927217741939</v>
      </c>
      <c r="BF457" s="499">
        <v>20.067747983870969</v>
      </c>
      <c r="BG457" s="499">
        <v>26.639471996401102</v>
      </c>
      <c r="BI457" s="499">
        <f t="shared" ref="BI457:BJ457" si="707">AS460</f>
        <v>94</v>
      </c>
      <c r="BJ457" s="499">
        <f t="shared" si="707"/>
        <v>15.507129000000001</v>
      </c>
      <c r="BK457" s="5">
        <f t="shared" si="679"/>
        <v>1</v>
      </c>
      <c r="BL457" s="499">
        <f t="shared" si="680"/>
        <v>27.509188000000002</v>
      </c>
      <c r="BM457" s="499">
        <f t="shared" si="681"/>
        <v>1057.904012</v>
      </c>
      <c r="BO457" s="499">
        <f t="shared" si="682"/>
        <v>94</v>
      </c>
      <c r="BP457" s="499">
        <f t="shared" si="683"/>
        <v>15.507129000000001</v>
      </c>
      <c r="BQ457" s="5">
        <f t="shared" si="676"/>
        <v>0</v>
      </c>
      <c r="BR457" s="499">
        <f t="shared" si="684"/>
        <v>24.282835580645145</v>
      </c>
      <c r="BS457" s="499">
        <f t="shared" si="685"/>
        <v>1057.904012</v>
      </c>
      <c r="BU457" s="499">
        <f t="shared" si="686"/>
        <v>94</v>
      </c>
      <c r="BV457" s="499">
        <f t="shared" si="687"/>
        <v>15.507129000000001</v>
      </c>
      <c r="BW457" s="5">
        <f t="shared" si="677"/>
        <v>1</v>
      </c>
      <c r="BX457" s="499">
        <f t="shared" si="688"/>
        <v>27.2724884365451</v>
      </c>
      <c r="BY457" s="499">
        <f t="shared" si="689"/>
        <v>1057.904012</v>
      </c>
      <c r="CA457">
        <v>94</v>
      </c>
      <c r="CB457">
        <v>15.507129000000001</v>
      </c>
      <c r="CC457">
        <v>1</v>
      </c>
      <c r="CD457">
        <v>26.021773499999998</v>
      </c>
      <c r="CE457">
        <v>1057.904012</v>
      </c>
      <c r="CG457" s="499">
        <f t="shared" si="690"/>
        <v>1</v>
      </c>
      <c r="CH457" s="499">
        <f t="shared" si="691"/>
        <v>0</v>
      </c>
      <c r="CI457" s="499">
        <f t="shared" si="692"/>
        <v>1</v>
      </c>
      <c r="CJ457" s="499">
        <f t="shared" si="693"/>
        <v>1</v>
      </c>
      <c r="CP457" s="499"/>
      <c r="CQ457" s="65">
        <f t="shared" si="695"/>
        <v>2.7002521431144594E-4</v>
      </c>
      <c r="CR457" s="499">
        <f t="shared" si="696"/>
        <v>0.73881704284386407</v>
      </c>
      <c r="CS457" s="499">
        <f t="shared" si="697"/>
        <v>3.6505173267669099E-4</v>
      </c>
      <c r="CT457" s="38">
        <f t="shared" si="698"/>
        <v>2736.1039032144445</v>
      </c>
      <c r="CU457" s="498">
        <f t="shared" si="699"/>
        <v>1.3519172037602454</v>
      </c>
    </row>
    <row r="458" spans="43:99">
      <c r="AQ458" s="499"/>
      <c r="AR458" s="228">
        <v>25.550660000000001</v>
      </c>
      <c r="AS458" s="13">
        <v>331</v>
      </c>
      <c r="AT458" s="13">
        <v>15.394978</v>
      </c>
      <c r="AU458" s="13">
        <f t="shared" si="617"/>
        <v>0</v>
      </c>
      <c r="AV458" s="13">
        <f t="shared" si="701"/>
        <v>24.986444153225815</v>
      </c>
      <c r="AW458" s="13">
        <f t="shared" si="702"/>
        <v>19.566025806451609</v>
      </c>
      <c r="AX458" s="13">
        <f t="shared" si="703"/>
        <v>24.732769251167582</v>
      </c>
      <c r="AY458" s="13">
        <v>1000.281403</v>
      </c>
      <c r="AZ458" s="13">
        <f t="shared" si="704"/>
        <v>5.4204183467742055</v>
      </c>
      <c r="BA458" s="13">
        <f t="shared" si="705"/>
        <v>0.25367490205823273</v>
      </c>
      <c r="BB458" s="97">
        <f t="shared" si="706"/>
        <v>0.56421584677418579</v>
      </c>
      <c r="BC458" s="499"/>
      <c r="BD458" s="499">
        <v>22.35</v>
      </c>
      <c r="BE458" s="499">
        <v>26.987167137096773</v>
      </c>
      <c r="BF458" s="499">
        <v>20.108778629032265</v>
      </c>
      <c r="BG458" s="499">
        <v>26.661719180828761</v>
      </c>
      <c r="BI458" s="499">
        <f t="shared" ref="BI458:BJ458" si="708">AS461</f>
        <v>142</v>
      </c>
      <c r="BJ458" s="499">
        <f t="shared" si="708"/>
        <v>15.575673</v>
      </c>
      <c r="BK458" s="5">
        <f t="shared" si="679"/>
        <v>1</v>
      </c>
      <c r="BL458" s="499">
        <f t="shared" si="680"/>
        <v>25.550660000000001</v>
      </c>
      <c r="BM458" s="499">
        <f t="shared" si="681"/>
        <v>1000.107618</v>
      </c>
      <c r="BO458" s="499">
        <f t="shared" si="682"/>
        <v>142</v>
      </c>
      <c r="BP458" s="499">
        <f t="shared" si="683"/>
        <v>15.575673</v>
      </c>
      <c r="BQ458" s="5">
        <f t="shared" si="676"/>
        <v>0</v>
      </c>
      <c r="BR458" s="499">
        <f t="shared" si="684"/>
        <v>20.605798104838705</v>
      </c>
      <c r="BS458" s="499">
        <f t="shared" si="685"/>
        <v>1000.107618</v>
      </c>
      <c r="BU458" s="499">
        <f t="shared" si="686"/>
        <v>142</v>
      </c>
      <c r="BV458" s="499">
        <f t="shared" si="687"/>
        <v>15.575673</v>
      </c>
      <c r="BW458" s="5">
        <f t="shared" si="677"/>
        <v>1</v>
      </c>
      <c r="BX458" s="499">
        <f t="shared" si="688"/>
        <v>25.37334855204065</v>
      </c>
      <c r="BY458" s="499">
        <f t="shared" si="689"/>
        <v>1000.107618</v>
      </c>
      <c r="CA458">
        <v>142</v>
      </c>
      <c r="CB458">
        <v>15.575673</v>
      </c>
      <c r="CC458">
        <v>0</v>
      </c>
      <c r="CD458">
        <v>23.348988670000001</v>
      </c>
      <c r="CE458">
        <v>1000.107618</v>
      </c>
      <c r="CG458" s="499">
        <f t="shared" si="690"/>
        <v>1</v>
      </c>
      <c r="CH458" s="499">
        <f t="shared" si="691"/>
        <v>0</v>
      </c>
      <c r="CI458" s="499">
        <f t="shared" si="692"/>
        <v>1</v>
      </c>
      <c r="CJ458" s="499">
        <f t="shared" si="693"/>
        <v>0</v>
      </c>
      <c r="CP458" s="499"/>
      <c r="CQ458" s="65">
        <f t="shared" si="695"/>
        <v>1.8477133734834947E-3</v>
      </c>
      <c r="CR458" s="499">
        <f t="shared" si="696"/>
        <v>0.52359671399353036</v>
      </c>
      <c r="CS458" s="499">
        <f t="shared" si="697"/>
        <v>2.9538553920192777E-3</v>
      </c>
      <c r="CT458" s="38">
        <f t="shared" si="698"/>
        <v>283.37550699565122</v>
      </c>
      <c r="CU458" s="498">
        <f t="shared" si="699"/>
        <v>1.59865455021867</v>
      </c>
    </row>
    <row r="459" spans="43:99">
      <c r="AQ459" s="499"/>
      <c r="AR459" s="228">
        <v>28.477941000000001</v>
      </c>
      <c r="AS459" s="13">
        <v>60</v>
      </c>
      <c r="AT459" s="13">
        <v>15.420795999999999</v>
      </c>
      <c r="AU459" s="13">
        <f t="shared" si="617"/>
        <v>0</v>
      </c>
      <c r="AV459" s="13">
        <f t="shared" si="701"/>
        <v>24.254439919354837</v>
      </c>
      <c r="AW459" s="13">
        <f t="shared" si="702"/>
        <v>19.563892741935479</v>
      </c>
      <c r="AX459" s="13">
        <f t="shared" si="703"/>
        <v>24.102634147467946</v>
      </c>
      <c r="AY459" s="13">
        <v>1280.4011620000001</v>
      </c>
      <c r="AZ459" s="13">
        <f t="shared" si="704"/>
        <v>4.6905471774193579</v>
      </c>
      <c r="BA459" s="13">
        <f t="shared" si="705"/>
        <v>0.1518057718868917</v>
      </c>
      <c r="BB459" s="97">
        <f t="shared" si="706"/>
        <v>4.2235010806451641</v>
      </c>
      <c r="BC459" s="499"/>
      <c r="BD459" s="499">
        <v>22.15</v>
      </c>
      <c r="BE459" s="499">
        <v>26.994920564516129</v>
      </c>
      <c r="BF459" s="499">
        <v>20.133135483870959</v>
      </c>
      <c r="BG459" s="499">
        <v>26.681011228791213</v>
      </c>
      <c r="BI459" s="499">
        <f t="shared" ref="BI459:BJ459" si="709">AS462</f>
        <v>1</v>
      </c>
      <c r="BJ459" s="499">
        <f t="shared" si="709"/>
        <v>15.806675</v>
      </c>
      <c r="BK459" s="5">
        <f t="shared" si="679"/>
        <v>1</v>
      </c>
      <c r="BL459" s="499">
        <f t="shared" si="680"/>
        <v>28.093139000000001</v>
      </c>
      <c r="BM459" s="499">
        <f t="shared" si="681"/>
        <v>999.61317699999995</v>
      </c>
      <c r="BO459" s="499">
        <f t="shared" si="682"/>
        <v>1</v>
      </c>
      <c r="BP459" s="499">
        <f t="shared" si="683"/>
        <v>15.806675</v>
      </c>
      <c r="BQ459" s="5">
        <f t="shared" si="676"/>
        <v>0</v>
      </c>
      <c r="BR459" s="499">
        <f t="shared" si="684"/>
        <v>21.789393838709678</v>
      </c>
      <c r="BS459" s="499">
        <f t="shared" si="685"/>
        <v>999.61317699999995</v>
      </c>
      <c r="BU459" s="499">
        <f t="shared" si="686"/>
        <v>1</v>
      </c>
      <c r="BV459" s="499">
        <f t="shared" si="687"/>
        <v>15.806675</v>
      </c>
      <c r="BW459" s="5">
        <f t="shared" si="677"/>
        <v>1</v>
      </c>
      <c r="BX459" s="499">
        <f t="shared" si="688"/>
        <v>27.756318343814844</v>
      </c>
      <c r="BY459" s="499">
        <f t="shared" si="689"/>
        <v>999.61317699999995</v>
      </c>
      <c r="CA459">
        <v>1</v>
      </c>
      <c r="CB459">
        <v>15.806675</v>
      </c>
      <c r="CC459">
        <v>1</v>
      </c>
      <c r="CD459">
        <v>25.977624519999999</v>
      </c>
      <c r="CE459">
        <v>999.61317699999995</v>
      </c>
      <c r="CG459" s="499">
        <f t="shared" si="690"/>
        <v>1</v>
      </c>
      <c r="CH459" s="499">
        <f t="shared" si="691"/>
        <v>0</v>
      </c>
      <c r="CI459" s="499">
        <f t="shared" si="692"/>
        <v>1</v>
      </c>
      <c r="CJ459" s="499">
        <f t="shared" si="693"/>
        <v>1</v>
      </c>
      <c r="CP459" s="499"/>
      <c r="CQ459" s="65">
        <f t="shared" si="695"/>
        <v>8.2982235225227893E-2</v>
      </c>
      <c r="CR459" s="499">
        <f t="shared" si="696"/>
        <v>0.97828873227131452</v>
      </c>
      <c r="CS459" s="499">
        <f t="shared" si="697"/>
        <v>0.11394859056997603</v>
      </c>
      <c r="CT459" s="38">
        <f t="shared" si="698"/>
        <v>11.789134501090174</v>
      </c>
      <c r="CU459" s="498">
        <f t="shared" si="699"/>
        <v>1.3731684891434917</v>
      </c>
    </row>
    <row r="460" spans="43:99">
      <c r="AQ460" s="499"/>
      <c r="AR460" s="228">
        <v>27.509188000000002</v>
      </c>
      <c r="AS460" s="13">
        <v>94</v>
      </c>
      <c r="AT460" s="13">
        <v>15.507129000000001</v>
      </c>
      <c r="AU460" s="13">
        <f t="shared" ref="AU460:AU491" si="710">IF(AW460&gt;=24.4,1,0)</f>
        <v>0</v>
      </c>
      <c r="AV460" s="13">
        <f t="shared" si="701"/>
        <v>23.314276209677431</v>
      </c>
      <c r="AW460" s="13">
        <f t="shared" si="702"/>
        <v>20.087923790322574</v>
      </c>
      <c r="AX460" s="13">
        <f t="shared" si="703"/>
        <v>23.077576646222528</v>
      </c>
      <c r="AY460" s="13">
        <v>1057.904012</v>
      </c>
      <c r="AZ460" s="13">
        <f t="shared" si="704"/>
        <v>3.2263524193548569</v>
      </c>
      <c r="BA460" s="13">
        <f t="shared" si="705"/>
        <v>0.23669956345490206</v>
      </c>
      <c r="BB460" s="97">
        <f t="shared" si="706"/>
        <v>4.1949117903225712</v>
      </c>
      <c r="BC460" s="499"/>
      <c r="BD460" s="499">
        <v>21.95</v>
      </c>
      <c r="BE460" s="499">
        <v>26.990789112903233</v>
      </c>
      <c r="BF460" s="499">
        <v>20.143222580645162</v>
      </c>
      <c r="BG460" s="499">
        <v>26.700872454423074</v>
      </c>
      <c r="BI460" s="499">
        <f t="shared" ref="BI460:BJ460" si="711">AS463</f>
        <v>476</v>
      </c>
      <c r="BJ460" s="499">
        <f t="shared" si="711"/>
        <v>15.884487</v>
      </c>
      <c r="BK460" s="5">
        <f t="shared" si="679"/>
        <v>1</v>
      </c>
      <c r="BL460" s="499">
        <f t="shared" si="680"/>
        <v>27.411840000000002</v>
      </c>
      <c r="BM460" s="499">
        <f t="shared" si="681"/>
        <v>1273.230961</v>
      </c>
      <c r="BO460" s="499">
        <f t="shared" si="682"/>
        <v>476</v>
      </c>
      <c r="BP460" s="499">
        <f t="shared" si="683"/>
        <v>15.884487</v>
      </c>
      <c r="BQ460" s="5">
        <f t="shared" si="676"/>
        <v>0</v>
      </c>
      <c r="BR460" s="499">
        <f t="shared" si="684"/>
        <v>22.530008346774185</v>
      </c>
      <c r="BS460" s="499">
        <f t="shared" si="685"/>
        <v>1273.230961</v>
      </c>
      <c r="BU460" s="499">
        <f t="shared" si="686"/>
        <v>476</v>
      </c>
      <c r="BV460" s="499">
        <f t="shared" si="687"/>
        <v>15.884487</v>
      </c>
      <c r="BW460" s="5">
        <f t="shared" si="677"/>
        <v>1</v>
      </c>
      <c r="BX460" s="499">
        <f t="shared" si="688"/>
        <v>27.159977509280687</v>
      </c>
      <c r="BY460" s="499">
        <f t="shared" si="689"/>
        <v>1273.230961</v>
      </c>
      <c r="CA460">
        <v>476</v>
      </c>
      <c r="CB460">
        <v>15.884487</v>
      </c>
      <c r="CC460">
        <v>1</v>
      </c>
      <c r="CD460">
        <v>24.770582579999999</v>
      </c>
      <c r="CE460">
        <v>1273.230961</v>
      </c>
      <c r="CG460" s="499">
        <f t="shared" si="690"/>
        <v>1</v>
      </c>
      <c r="CH460" s="499">
        <f t="shared" si="691"/>
        <v>0</v>
      </c>
      <c r="CI460" s="499">
        <f t="shared" si="692"/>
        <v>1</v>
      </c>
      <c r="CJ460" s="499">
        <f t="shared" si="693"/>
        <v>1</v>
      </c>
      <c r="CP460" s="499"/>
      <c r="CQ460" s="65">
        <f t="shared" si="695"/>
        <v>5.798425568185443E-4</v>
      </c>
      <c r="CR460" s="499">
        <f t="shared" si="696"/>
        <v>0.97289301123758587</v>
      </c>
      <c r="CS460" s="499">
        <f t="shared" si="697"/>
        <v>1.1316328217934369E-3</v>
      </c>
      <c r="CT460" s="38">
        <f t="shared" si="698"/>
        <v>1677.8572041617888</v>
      </c>
      <c r="CU460" s="498">
        <f t="shared" si="699"/>
        <v>1.9516208468768352</v>
      </c>
    </row>
    <row r="461" spans="43:99">
      <c r="AQ461" s="499"/>
      <c r="AR461" s="228">
        <v>25.550660000000001</v>
      </c>
      <c r="AS461" s="13">
        <v>142</v>
      </c>
      <c r="AT461" s="13">
        <v>15.575673</v>
      </c>
      <c r="AU461" s="13">
        <f t="shared" si="710"/>
        <v>0</v>
      </c>
      <c r="AV461" s="13">
        <f t="shared" si="701"/>
        <v>24.507220564516132</v>
      </c>
      <c r="AW461" s="13">
        <f t="shared" si="702"/>
        <v>19.562358669354836</v>
      </c>
      <c r="AX461" s="13">
        <f t="shared" si="703"/>
        <v>24.329909116556781</v>
      </c>
      <c r="AY461" s="13">
        <v>1000.107618</v>
      </c>
      <c r="AZ461" s="13">
        <f t="shared" si="704"/>
        <v>4.9448618951612957</v>
      </c>
      <c r="BA461" s="13">
        <f t="shared" si="705"/>
        <v>0.17731144795935094</v>
      </c>
      <c r="BB461" s="97">
        <f t="shared" si="706"/>
        <v>1.0434394354838687</v>
      </c>
      <c r="BC461" s="499"/>
      <c r="BD461" s="499">
        <v>21.75</v>
      </c>
      <c r="BE461" s="499">
        <v>26.959479032258056</v>
      </c>
      <c r="BF461" s="499">
        <v>20.187334677419358</v>
      </c>
      <c r="BG461" s="499">
        <v>26.706381237092494</v>
      </c>
      <c r="BI461" s="499">
        <f t="shared" ref="BI461:BJ461" si="712">AS464</f>
        <v>235</v>
      </c>
      <c r="BJ461" s="499">
        <f t="shared" si="712"/>
        <v>15.938903</v>
      </c>
      <c r="BK461" s="5">
        <f t="shared" si="679"/>
        <v>1</v>
      </c>
      <c r="BL461" s="499">
        <f t="shared" si="680"/>
        <v>25.72832</v>
      </c>
      <c r="BM461" s="499">
        <f t="shared" si="681"/>
        <v>999.56978900000001</v>
      </c>
      <c r="BO461" s="499">
        <f t="shared" si="682"/>
        <v>235</v>
      </c>
      <c r="BP461" s="499">
        <f t="shared" si="683"/>
        <v>15.938903</v>
      </c>
      <c r="BQ461" s="5">
        <f t="shared" si="676"/>
        <v>0</v>
      </c>
      <c r="BR461" s="499">
        <f t="shared" si="684"/>
        <v>20.015511330645154</v>
      </c>
      <c r="BS461" s="499">
        <f t="shared" si="685"/>
        <v>999.56978900000001</v>
      </c>
      <c r="BU461" s="499">
        <f t="shared" si="686"/>
        <v>235</v>
      </c>
      <c r="BV461" s="499">
        <f t="shared" si="687"/>
        <v>15.938903</v>
      </c>
      <c r="BW461" s="5">
        <f t="shared" si="677"/>
        <v>1</v>
      </c>
      <c r="BX461" s="499">
        <f t="shared" si="688"/>
        <v>25.278345229214523</v>
      </c>
      <c r="BY461" s="499">
        <f t="shared" si="689"/>
        <v>999.56978900000001</v>
      </c>
      <c r="CA461">
        <v>235</v>
      </c>
      <c r="CB461">
        <v>15.938903</v>
      </c>
      <c r="CC461">
        <v>0</v>
      </c>
      <c r="CD461">
        <v>22.822377079999999</v>
      </c>
      <c r="CE461">
        <v>999.56978900000001</v>
      </c>
      <c r="CG461" s="499">
        <f t="shared" si="690"/>
        <v>1</v>
      </c>
      <c r="CH461" s="499">
        <f t="shared" si="691"/>
        <v>0</v>
      </c>
      <c r="CI461" s="499">
        <f t="shared" si="692"/>
        <v>1</v>
      </c>
      <c r="CJ461" s="499">
        <f t="shared" si="693"/>
        <v>0</v>
      </c>
      <c r="CP461" s="499"/>
      <c r="CQ461" s="65">
        <f t="shared" si="695"/>
        <v>2.2410972088733202E-3</v>
      </c>
      <c r="CR461" s="499">
        <f t="shared" si="696"/>
        <v>0.95338980016235775</v>
      </c>
      <c r="CS461" s="499">
        <f t="shared" si="697"/>
        <v>3.6910170043060906E-3</v>
      </c>
      <c r="CT461" s="38">
        <f t="shared" si="698"/>
        <v>425.41206886856145</v>
      </c>
      <c r="CU461" s="498">
        <f t="shared" si="699"/>
        <v>1.6469687212549327</v>
      </c>
    </row>
    <row r="462" spans="43:99">
      <c r="AQ462" s="499"/>
      <c r="AR462" s="228">
        <v>28.093139000000001</v>
      </c>
      <c r="AS462" s="13">
        <v>1</v>
      </c>
      <c r="AT462" s="13">
        <v>15.806675</v>
      </c>
      <c r="AU462" s="13">
        <f t="shared" si="710"/>
        <v>0</v>
      </c>
      <c r="AV462" s="13">
        <f t="shared" si="701"/>
        <v>26.871639717741935</v>
      </c>
      <c r="AW462" s="13">
        <f t="shared" si="702"/>
        <v>20.567894556451613</v>
      </c>
      <c r="AX462" s="13">
        <f t="shared" si="703"/>
        <v>26.534819061556778</v>
      </c>
      <c r="AY462" s="13">
        <v>999.61317699999995</v>
      </c>
      <c r="AZ462" s="13">
        <f t="shared" si="704"/>
        <v>6.3037451612903226</v>
      </c>
      <c r="BA462" s="13">
        <f t="shared" si="705"/>
        <v>0.33682065618515722</v>
      </c>
      <c r="BB462" s="97">
        <f t="shared" si="706"/>
        <v>1.2214992822580655</v>
      </c>
      <c r="BC462" s="499"/>
      <c r="BD462" s="499">
        <v>21.55</v>
      </c>
      <c r="BE462" s="499">
        <v>26.862689112903226</v>
      </c>
      <c r="BF462" s="499">
        <v>20.165073387096783</v>
      </c>
      <c r="BG462" s="499">
        <v>26.64926375307693</v>
      </c>
      <c r="BI462" s="499">
        <f t="shared" ref="BI462:BJ462" si="713">AS465</f>
        <v>28</v>
      </c>
      <c r="BJ462" s="499">
        <f t="shared" si="713"/>
        <v>15.963279</v>
      </c>
      <c r="BK462" s="5">
        <f t="shared" si="679"/>
        <v>1</v>
      </c>
      <c r="BL462" s="499">
        <f t="shared" si="680"/>
        <v>26.616620000000001</v>
      </c>
      <c r="BM462" s="499">
        <f t="shared" si="681"/>
        <v>1000.235482</v>
      </c>
      <c r="BO462" s="499">
        <f t="shared" si="682"/>
        <v>28</v>
      </c>
      <c r="BP462" s="499">
        <f t="shared" si="683"/>
        <v>15.963279</v>
      </c>
      <c r="BQ462" s="5">
        <f t="shared" si="676"/>
        <v>0</v>
      </c>
      <c r="BR462" s="499">
        <f t="shared" si="684"/>
        <v>19.815332903225812</v>
      </c>
      <c r="BS462" s="499">
        <f t="shared" si="685"/>
        <v>1000.235482</v>
      </c>
      <c r="BU462" s="499">
        <f t="shared" si="686"/>
        <v>28</v>
      </c>
      <c r="BV462" s="499">
        <f t="shared" si="687"/>
        <v>15.963279</v>
      </c>
      <c r="BW462" s="5">
        <f t="shared" si="677"/>
        <v>1</v>
      </c>
      <c r="BX462" s="499">
        <f t="shared" si="688"/>
        <v>26.272214028938471</v>
      </c>
      <c r="BY462" s="499">
        <f t="shared" si="689"/>
        <v>1000.235482</v>
      </c>
      <c r="CA462">
        <v>28</v>
      </c>
      <c r="CB462">
        <v>15.963279</v>
      </c>
      <c r="CC462">
        <v>0</v>
      </c>
      <c r="CD462">
        <v>23.267034330000001</v>
      </c>
      <c r="CE462">
        <v>1000.235482</v>
      </c>
      <c r="CG462" s="499">
        <f t="shared" si="690"/>
        <v>1</v>
      </c>
      <c r="CH462" s="499">
        <f t="shared" si="691"/>
        <v>0</v>
      </c>
      <c r="CI462" s="499">
        <f t="shared" si="692"/>
        <v>1</v>
      </c>
      <c r="CJ462" s="499">
        <f t="shared" si="693"/>
        <v>0</v>
      </c>
      <c r="CP462" s="499"/>
      <c r="CQ462" s="65">
        <f t="shared" si="695"/>
        <v>5.9809997953614191E-2</v>
      </c>
      <c r="CR462" s="499">
        <f t="shared" si="696"/>
        <v>0.97868312766660503</v>
      </c>
      <c r="CS462" s="499">
        <f t="shared" si="697"/>
        <v>0.13437195126955664</v>
      </c>
      <c r="CT462" s="38">
        <f t="shared" si="698"/>
        <v>16.363202828156346</v>
      </c>
      <c r="CU462" s="498">
        <f t="shared" si="699"/>
        <v>2.2466469798873625</v>
      </c>
    </row>
    <row r="463" spans="43:99">
      <c r="AQ463" s="499"/>
      <c r="AR463" s="228">
        <v>27.411840000000002</v>
      </c>
      <c r="AS463" s="13">
        <v>476</v>
      </c>
      <c r="AT463" s="13">
        <v>15.884487</v>
      </c>
      <c r="AU463" s="13">
        <f t="shared" si="710"/>
        <v>0</v>
      </c>
      <c r="AV463" s="13">
        <f t="shared" si="701"/>
        <v>24.453314919354845</v>
      </c>
      <c r="AW463" s="13">
        <f t="shared" si="702"/>
        <v>19.571483266129029</v>
      </c>
      <c r="AX463" s="13">
        <f t="shared" si="703"/>
        <v>24.20145242863553</v>
      </c>
      <c r="AY463" s="13">
        <v>1273.230961</v>
      </c>
      <c r="AZ463" s="13">
        <f t="shared" si="704"/>
        <v>4.8818316532258166</v>
      </c>
      <c r="BA463" s="13">
        <f t="shared" si="705"/>
        <v>0.25186249071931499</v>
      </c>
      <c r="BB463" s="97">
        <f t="shared" si="706"/>
        <v>2.9585250806451562</v>
      </c>
      <c r="BC463" s="499"/>
      <c r="BD463" s="499">
        <v>21.35</v>
      </c>
      <c r="BE463" s="499">
        <v>26.774050806451623</v>
      </c>
      <c r="BF463" s="499">
        <v>20.157225201612896</v>
      </c>
      <c r="BG463" s="499">
        <v>26.595763976401102</v>
      </c>
      <c r="BI463" s="499">
        <f t="shared" ref="BI463:BJ463" si="714">AS466</f>
        <v>89</v>
      </c>
      <c r="BJ463" s="499">
        <f t="shared" si="714"/>
        <v>16.079549</v>
      </c>
      <c r="BK463" s="5">
        <f t="shared" si="679"/>
        <v>1</v>
      </c>
      <c r="BL463" s="499">
        <f t="shared" si="680"/>
        <v>29.041609999999999</v>
      </c>
      <c r="BM463" s="499">
        <f t="shared" si="681"/>
        <v>1000.155572</v>
      </c>
      <c r="BO463" s="499">
        <f t="shared" si="682"/>
        <v>89</v>
      </c>
      <c r="BP463" s="499">
        <f t="shared" si="683"/>
        <v>16.079549</v>
      </c>
      <c r="BQ463" s="5">
        <f t="shared" si="676"/>
        <v>0</v>
      </c>
      <c r="BR463" s="499">
        <f t="shared" si="684"/>
        <v>22.310035806451612</v>
      </c>
      <c r="BS463" s="499">
        <f t="shared" si="685"/>
        <v>1000.155572</v>
      </c>
      <c r="BU463" s="499">
        <f t="shared" si="686"/>
        <v>89</v>
      </c>
      <c r="BV463" s="499">
        <f t="shared" si="687"/>
        <v>16.079549</v>
      </c>
      <c r="BW463" s="5">
        <f t="shared" si="677"/>
        <v>1</v>
      </c>
      <c r="BX463" s="499">
        <f t="shared" si="688"/>
        <v>28.887184169339477</v>
      </c>
      <c r="BY463" s="499">
        <f t="shared" si="689"/>
        <v>1000.155572</v>
      </c>
      <c r="CA463">
        <v>89</v>
      </c>
      <c r="CB463">
        <v>16.079549</v>
      </c>
      <c r="CC463">
        <v>1</v>
      </c>
      <c r="CD463">
        <v>25.501910169999999</v>
      </c>
      <c r="CE463">
        <v>1000.155572</v>
      </c>
      <c r="CG463" s="499">
        <f t="shared" si="690"/>
        <v>1</v>
      </c>
      <c r="CH463" s="499">
        <f t="shared" si="691"/>
        <v>0</v>
      </c>
      <c r="CI463" s="499">
        <f t="shared" si="692"/>
        <v>1</v>
      </c>
      <c r="CJ463" s="499">
        <f t="shared" si="693"/>
        <v>1</v>
      </c>
      <c r="CP463" s="499"/>
      <c r="CQ463" s="65">
        <f t="shared" si="695"/>
        <v>1.0785365528030237E-2</v>
      </c>
      <c r="CR463" s="499">
        <f t="shared" si="696"/>
        <v>0.97874116266032385</v>
      </c>
      <c r="CS463" s="499">
        <f t="shared" si="697"/>
        <v>2.1151690465795337E-2</v>
      </c>
      <c r="CT463" s="38">
        <f t="shared" si="698"/>
        <v>90.747148079187468</v>
      </c>
      <c r="CU463" s="498">
        <f t="shared" si="699"/>
        <v>1.9611472982370335</v>
      </c>
    </row>
    <row r="464" spans="43:99">
      <c r="AQ464" s="499"/>
      <c r="AR464" s="228">
        <v>25.72832</v>
      </c>
      <c r="AS464" s="13">
        <v>235</v>
      </c>
      <c r="AT464" s="13">
        <v>15.938903</v>
      </c>
      <c r="AU464" s="13">
        <f t="shared" si="710"/>
        <v>0</v>
      </c>
      <c r="AV464" s="13">
        <f t="shared" si="701"/>
        <v>25.643019959677424</v>
      </c>
      <c r="AW464" s="13">
        <f t="shared" si="702"/>
        <v>19.930211290322578</v>
      </c>
      <c r="AX464" s="13">
        <f t="shared" si="703"/>
        <v>25.193045188891947</v>
      </c>
      <c r="AY464" s="13">
        <v>999.56978900000001</v>
      </c>
      <c r="AZ464" s="13">
        <f t="shared" si="704"/>
        <v>5.7128086693548461</v>
      </c>
      <c r="BA464" s="13">
        <f t="shared" si="705"/>
        <v>0.44997477078547732</v>
      </c>
      <c r="BB464" s="97">
        <f t="shared" si="706"/>
        <v>8.5300040322575654E-2</v>
      </c>
      <c r="BC464" s="499"/>
      <c r="BD464" s="499">
        <v>21.15</v>
      </c>
      <c r="BE464" s="499">
        <v>26.759018346774198</v>
      </c>
      <c r="BF464" s="499">
        <v>20.19726411290322</v>
      </c>
      <c r="BG464" s="499">
        <v>26.60594296762363</v>
      </c>
      <c r="BI464" s="499">
        <f t="shared" ref="BI464:BJ464" si="715">AS467</f>
        <v>144</v>
      </c>
      <c r="BJ464" s="499">
        <f t="shared" si="715"/>
        <v>16.081106999999999</v>
      </c>
      <c r="BK464" s="5">
        <f t="shared" si="679"/>
        <v>1</v>
      </c>
      <c r="BL464" s="499">
        <f t="shared" si="680"/>
        <v>29.044177000000001</v>
      </c>
      <c r="BM464" s="499">
        <f t="shared" si="681"/>
        <v>1240.999159</v>
      </c>
      <c r="BO464" s="499">
        <f t="shared" si="682"/>
        <v>144</v>
      </c>
      <c r="BP464" s="499">
        <f t="shared" si="683"/>
        <v>16.081106999999999</v>
      </c>
      <c r="BQ464" s="5">
        <f t="shared" si="676"/>
        <v>0</v>
      </c>
      <c r="BR464" s="499">
        <f t="shared" si="684"/>
        <v>22.75085018548388</v>
      </c>
      <c r="BS464" s="499">
        <f t="shared" si="685"/>
        <v>1240.999159</v>
      </c>
      <c r="BU464" s="499">
        <f t="shared" si="686"/>
        <v>144</v>
      </c>
      <c r="BV464" s="499">
        <f t="shared" si="687"/>
        <v>16.081106999999999</v>
      </c>
      <c r="BW464" s="5">
        <f t="shared" si="677"/>
        <v>1</v>
      </c>
      <c r="BX464" s="499">
        <f t="shared" si="688"/>
        <v>28.622595087259697</v>
      </c>
      <c r="BY464" s="499">
        <f t="shared" si="689"/>
        <v>1240.999159</v>
      </c>
      <c r="CA464">
        <v>144</v>
      </c>
      <c r="CB464">
        <v>16.081106999999999</v>
      </c>
      <c r="CC464">
        <v>1</v>
      </c>
      <c r="CD464">
        <v>25.588248199999999</v>
      </c>
      <c r="CE464">
        <v>1240.999159</v>
      </c>
      <c r="CG464" s="499">
        <f t="shared" si="690"/>
        <v>1</v>
      </c>
      <c r="CH464" s="499">
        <f t="shared" si="691"/>
        <v>0</v>
      </c>
      <c r="CI464" s="499">
        <f t="shared" si="692"/>
        <v>1</v>
      </c>
      <c r="CJ464" s="499">
        <f t="shared" si="693"/>
        <v>1</v>
      </c>
      <c r="CP464" s="499"/>
      <c r="CQ464" s="65">
        <f t="shared" si="695"/>
        <v>8.8124875615404238E-5</v>
      </c>
      <c r="CR464" s="499">
        <f t="shared" si="696"/>
        <v>0.96225499277465676</v>
      </c>
      <c r="CS464" s="499">
        <f t="shared" si="697"/>
        <v>1.1976711230896384E-4</v>
      </c>
      <c r="CT464" s="38">
        <f t="shared" si="698"/>
        <v>10919.221003773588</v>
      </c>
      <c r="CU464" s="498">
        <f t="shared" si="699"/>
        <v>1.3590613487121739</v>
      </c>
    </row>
    <row r="465" spans="43:99">
      <c r="AQ465" s="499"/>
      <c r="AR465" s="228">
        <v>26.616620000000001</v>
      </c>
      <c r="AS465" s="13">
        <v>28</v>
      </c>
      <c r="AT465" s="13">
        <v>15.963279</v>
      </c>
      <c r="AU465" s="13">
        <f t="shared" si="710"/>
        <v>0</v>
      </c>
      <c r="AV465" s="13">
        <f t="shared" si="701"/>
        <v>26.728808467741935</v>
      </c>
      <c r="AW465" s="13">
        <f t="shared" si="702"/>
        <v>19.927521370967746</v>
      </c>
      <c r="AX465" s="13">
        <f t="shared" si="703"/>
        <v>26.384402496680405</v>
      </c>
      <c r="AY465" s="13">
        <v>1000.235482</v>
      </c>
      <c r="AZ465" s="13">
        <f t="shared" si="704"/>
        <v>6.801287096774189</v>
      </c>
      <c r="BA465" s="13">
        <f t="shared" si="705"/>
        <v>0.34440597106152993</v>
      </c>
      <c r="BB465" s="97">
        <f t="shared" si="706"/>
        <v>-0.11218846774193381</v>
      </c>
      <c r="BC465" s="499"/>
      <c r="BD465" s="499">
        <v>20.95</v>
      </c>
      <c r="BE465" s="499">
        <v>26.772873790322581</v>
      </c>
      <c r="BF465" s="499">
        <v>20.234712500000004</v>
      </c>
      <c r="BG465" s="499">
        <v>26.627474853310446</v>
      </c>
      <c r="BI465" s="499">
        <f t="shared" ref="BI465:BJ465" si="716">AS468</f>
        <v>399</v>
      </c>
      <c r="BJ465" s="499">
        <f t="shared" si="716"/>
        <v>16.197050999999998</v>
      </c>
      <c r="BK465" s="5">
        <f t="shared" si="679"/>
        <v>1</v>
      </c>
      <c r="BL465" s="499">
        <f t="shared" si="680"/>
        <v>26.705449999999999</v>
      </c>
      <c r="BM465" s="499">
        <f t="shared" si="681"/>
        <v>999.88487499999997</v>
      </c>
      <c r="BO465" s="499">
        <f t="shared" si="682"/>
        <v>399</v>
      </c>
      <c r="BP465" s="499">
        <f t="shared" si="683"/>
        <v>16.197050999999998</v>
      </c>
      <c r="BQ465" s="5">
        <f t="shared" si="676"/>
        <v>0</v>
      </c>
      <c r="BR465" s="499">
        <f t="shared" si="684"/>
        <v>19.725552822580642</v>
      </c>
      <c r="BS465" s="499">
        <f t="shared" si="685"/>
        <v>999.88487499999997</v>
      </c>
      <c r="BU465" s="499">
        <f t="shared" si="686"/>
        <v>399</v>
      </c>
      <c r="BV465" s="499">
        <f t="shared" si="687"/>
        <v>16.197050999999998</v>
      </c>
      <c r="BW465" s="5">
        <f t="shared" si="677"/>
        <v>1</v>
      </c>
      <c r="BX465" s="499">
        <f t="shared" si="688"/>
        <v>26.337297730156564</v>
      </c>
      <c r="BY465" s="499">
        <f t="shared" si="689"/>
        <v>999.88487499999997</v>
      </c>
      <c r="CA465">
        <v>399</v>
      </c>
      <c r="CB465">
        <v>16.197050999999998</v>
      </c>
      <c r="CC465">
        <v>0</v>
      </c>
      <c r="CD465">
        <v>23.30227846</v>
      </c>
      <c r="CE465">
        <v>999.88487499999997</v>
      </c>
      <c r="CG465" s="499">
        <f t="shared" si="690"/>
        <v>1</v>
      </c>
      <c r="CH465" s="499">
        <f t="shared" si="691"/>
        <v>0</v>
      </c>
      <c r="CI465" s="499">
        <f t="shared" si="692"/>
        <v>1</v>
      </c>
      <c r="CJ465" s="499">
        <f t="shared" si="693"/>
        <v>0</v>
      </c>
      <c r="CP465" s="499"/>
      <c r="CQ465" s="65">
        <f t="shared" si="695"/>
        <v>8.767659340964963E-5</v>
      </c>
      <c r="CR465" s="499">
        <f t="shared" si="696"/>
        <v>0.93991828990163795</v>
      </c>
      <c r="CS465" s="499">
        <f t="shared" si="697"/>
        <v>2.0258772271166805E-4</v>
      </c>
      <c r="CT465" s="38">
        <f t="shared" si="698"/>
        <v>10720.287517445804</v>
      </c>
      <c r="CU465" s="498">
        <f t="shared" si="699"/>
        <v>2.3106249323023009</v>
      </c>
    </row>
    <row r="466" spans="43:99">
      <c r="AQ466" s="499"/>
      <c r="AR466" s="228">
        <v>29.041609999999999</v>
      </c>
      <c r="AS466" s="13">
        <v>89</v>
      </c>
      <c r="AT466" s="13">
        <v>16.079549</v>
      </c>
      <c r="AU466" s="13">
        <f t="shared" si="710"/>
        <v>0</v>
      </c>
      <c r="AV466" s="13">
        <f t="shared" si="701"/>
        <v>26.803887701612901</v>
      </c>
      <c r="AW466" s="13">
        <f t="shared" si="702"/>
        <v>20.072313508064514</v>
      </c>
      <c r="AX466" s="13">
        <f t="shared" si="703"/>
        <v>26.649461870952379</v>
      </c>
      <c r="AY466" s="13">
        <v>1000.155572</v>
      </c>
      <c r="AZ466" s="13">
        <f t="shared" si="704"/>
        <v>6.7315741935483864</v>
      </c>
      <c r="BA466" s="13">
        <f t="shared" si="705"/>
        <v>0.15442583066052151</v>
      </c>
      <c r="BB466" s="97">
        <f t="shared" si="706"/>
        <v>2.2377222983870979</v>
      </c>
      <c r="BC466" s="499"/>
      <c r="BD466" s="499">
        <v>20.75</v>
      </c>
      <c r="BE466" s="499">
        <v>26.798636491935479</v>
      </c>
      <c r="BF466" s="499">
        <v>20.306059072580645</v>
      </c>
      <c r="BG466" s="499">
        <v>26.648236107980775</v>
      </c>
      <c r="BI466" s="499">
        <f t="shared" ref="BI466:BJ466" si="717">AS469</f>
        <v>372</v>
      </c>
      <c r="BJ466" s="499">
        <f t="shared" si="717"/>
        <v>16.22092</v>
      </c>
      <c r="BK466" s="5">
        <f t="shared" si="679"/>
        <v>1</v>
      </c>
      <c r="BL466" s="499">
        <f t="shared" si="680"/>
        <v>28.682257</v>
      </c>
      <c r="BM466" s="499">
        <f t="shared" si="681"/>
        <v>999.39421000000004</v>
      </c>
      <c r="BO466" s="499">
        <f t="shared" si="682"/>
        <v>372</v>
      </c>
      <c r="BP466" s="499">
        <f t="shared" si="683"/>
        <v>16.22092</v>
      </c>
      <c r="BQ466" s="5">
        <f t="shared" si="676"/>
        <v>0</v>
      </c>
      <c r="BR466" s="499">
        <f t="shared" si="684"/>
        <v>21.8194186935484</v>
      </c>
      <c r="BS466" s="499">
        <f t="shared" si="685"/>
        <v>999.39421000000004</v>
      </c>
      <c r="BU466" s="499">
        <f t="shared" si="686"/>
        <v>372</v>
      </c>
      <c r="BV466" s="499">
        <f t="shared" si="687"/>
        <v>16.22092</v>
      </c>
      <c r="BW466" s="5">
        <f t="shared" si="677"/>
        <v>1</v>
      </c>
      <c r="BX466" s="499">
        <f t="shared" si="688"/>
        <v>28.514911143171911</v>
      </c>
      <c r="BY466" s="499">
        <f t="shared" si="689"/>
        <v>999.39421000000004</v>
      </c>
      <c r="CA466">
        <v>372</v>
      </c>
      <c r="CB466">
        <v>16.22092</v>
      </c>
      <c r="CC466">
        <v>1</v>
      </c>
      <c r="CD466">
        <v>25.198328320000002</v>
      </c>
      <c r="CE466">
        <v>999.39421000000004</v>
      </c>
      <c r="CG466" s="499">
        <f t="shared" si="690"/>
        <v>1</v>
      </c>
      <c r="CH466" s="499">
        <f t="shared" si="691"/>
        <v>0</v>
      </c>
      <c r="CI466" s="499">
        <f t="shared" si="692"/>
        <v>1</v>
      </c>
      <c r="CJ466" s="499">
        <f t="shared" si="693"/>
        <v>1</v>
      </c>
      <c r="CP466" s="499"/>
      <c r="CQ466" s="65">
        <f t="shared" si="695"/>
        <v>9.0564694486357858E-3</v>
      </c>
      <c r="CR466" s="499">
        <f t="shared" si="696"/>
        <v>0.97876057608633071</v>
      </c>
      <c r="CS466" s="499">
        <f t="shared" si="697"/>
        <v>1.8634794262363693E-2</v>
      </c>
      <c r="CT466" s="38">
        <f t="shared" si="698"/>
        <v>108.07308318516611</v>
      </c>
      <c r="CU466" s="498">
        <f t="shared" si="699"/>
        <v>2.0576223845342656</v>
      </c>
    </row>
    <row r="467" spans="43:99">
      <c r="AQ467" s="499"/>
      <c r="AR467" s="228">
        <v>29.044177000000001</v>
      </c>
      <c r="AS467" s="13">
        <v>144</v>
      </c>
      <c r="AT467" s="13">
        <v>16.081106999999999</v>
      </c>
      <c r="AU467" s="13">
        <f t="shared" si="710"/>
        <v>0</v>
      </c>
      <c r="AV467" s="13">
        <f t="shared" si="701"/>
        <v>26.727543346774187</v>
      </c>
      <c r="AW467" s="13">
        <f t="shared" si="702"/>
        <v>20.434216532258066</v>
      </c>
      <c r="AX467" s="13">
        <f t="shared" si="703"/>
        <v>26.305961434033883</v>
      </c>
      <c r="AY467" s="13">
        <v>1240.999159</v>
      </c>
      <c r="AZ467" s="13">
        <f t="shared" si="704"/>
        <v>6.2933268145161207</v>
      </c>
      <c r="BA467" s="13">
        <f t="shared" si="705"/>
        <v>0.42158191274030443</v>
      </c>
      <c r="BB467" s="97">
        <f t="shared" si="706"/>
        <v>2.3166336532258143</v>
      </c>
      <c r="BC467" s="499"/>
      <c r="BD467" s="499">
        <v>20.55</v>
      </c>
      <c r="BE467" s="499">
        <v>26.828291733870959</v>
      </c>
      <c r="BF467" s="499">
        <v>20.2810627016129</v>
      </c>
      <c r="BG467" s="499">
        <v>26.660748695663923</v>
      </c>
      <c r="BI467" s="499">
        <f t="shared" ref="BI467:BJ467" si="718">AS470</f>
        <v>214</v>
      </c>
      <c r="BJ467" s="499">
        <f t="shared" si="718"/>
        <v>16.228684000000001</v>
      </c>
      <c r="BK467" s="5">
        <f t="shared" si="679"/>
        <v>1</v>
      </c>
      <c r="BL467" s="499">
        <f t="shared" si="680"/>
        <v>29.666878000000001</v>
      </c>
      <c r="BM467" s="499">
        <f t="shared" si="681"/>
        <v>1067.8182380000001</v>
      </c>
      <c r="BO467" s="499">
        <f t="shared" si="682"/>
        <v>214</v>
      </c>
      <c r="BP467" s="499">
        <f t="shared" si="683"/>
        <v>16.228684000000001</v>
      </c>
      <c r="BQ467" s="5">
        <f t="shared" si="676"/>
        <v>0</v>
      </c>
      <c r="BR467" s="499">
        <f t="shared" si="684"/>
        <v>22.833054411290313</v>
      </c>
      <c r="BS467" s="499">
        <f t="shared" si="685"/>
        <v>1067.8182380000001</v>
      </c>
      <c r="BU467" s="499">
        <f t="shared" si="686"/>
        <v>214</v>
      </c>
      <c r="BV467" s="499">
        <f t="shared" si="687"/>
        <v>16.228684000000001</v>
      </c>
      <c r="BW467" s="5">
        <f t="shared" si="677"/>
        <v>1</v>
      </c>
      <c r="BX467" s="499">
        <f t="shared" si="688"/>
        <v>29.378381289623643</v>
      </c>
      <c r="BY467" s="499">
        <f t="shared" si="689"/>
        <v>1067.8182380000001</v>
      </c>
      <c r="CA467">
        <v>214</v>
      </c>
      <c r="CB467">
        <v>16.228684000000001</v>
      </c>
      <c r="CC467">
        <v>1</v>
      </c>
      <c r="CD467">
        <v>26.741020460000001</v>
      </c>
      <c r="CE467">
        <v>1067.8182380000001</v>
      </c>
      <c r="CG467" s="499">
        <f t="shared" si="690"/>
        <v>1</v>
      </c>
      <c r="CH467" s="499">
        <f t="shared" si="691"/>
        <v>0</v>
      </c>
      <c r="CI467" s="499">
        <f t="shared" si="692"/>
        <v>1</v>
      </c>
      <c r="CJ467" s="499">
        <f t="shared" si="693"/>
        <v>1</v>
      </c>
      <c r="CP467" s="499"/>
      <c r="CQ467" s="65">
        <f t="shared" si="695"/>
        <v>1.7994561656395385E-4</v>
      </c>
      <c r="CR467" s="499">
        <f t="shared" si="696"/>
        <v>0.97252858509163786</v>
      </c>
      <c r="CS467" s="499">
        <f t="shared" si="697"/>
        <v>2.5090625864999412E-4</v>
      </c>
      <c r="CT467" s="38">
        <f t="shared" si="698"/>
        <v>5404.5694674979477</v>
      </c>
      <c r="CU467" s="498">
        <f t="shared" si="699"/>
        <v>1.3943449328804316</v>
      </c>
    </row>
    <row r="468" spans="43:99">
      <c r="AQ468" s="499"/>
      <c r="AR468" s="228">
        <v>26.705449999999999</v>
      </c>
      <c r="AS468" s="13">
        <v>399</v>
      </c>
      <c r="AT468" s="13">
        <v>16.197050999999998</v>
      </c>
      <c r="AU468" s="13">
        <f t="shared" si="710"/>
        <v>0</v>
      </c>
      <c r="AV468" s="13">
        <f t="shared" si="701"/>
        <v>27.115176411290324</v>
      </c>
      <c r="AW468" s="13">
        <f t="shared" si="702"/>
        <v>20.135279233870968</v>
      </c>
      <c r="AX468" s="13">
        <f t="shared" si="703"/>
        <v>26.747024141446889</v>
      </c>
      <c r="AY468" s="13">
        <v>999.88487499999997</v>
      </c>
      <c r="AZ468" s="13">
        <f t="shared" si="704"/>
        <v>6.9798971774193568</v>
      </c>
      <c r="BA468" s="13">
        <f t="shared" si="705"/>
        <v>0.36815226984343496</v>
      </c>
      <c r="BB468" s="97">
        <f t="shared" si="706"/>
        <v>-0.40972641129032539</v>
      </c>
      <c r="BC468" s="499"/>
      <c r="BD468" s="499">
        <v>20.350000000000001</v>
      </c>
      <c r="BE468" s="499">
        <v>26.85827862903227</v>
      </c>
      <c r="BF468" s="499">
        <v>20.234140725806451</v>
      </c>
      <c r="BG468" s="499">
        <v>26.662555561758243</v>
      </c>
      <c r="BI468" s="499">
        <f t="shared" ref="BI468:BJ468" si="719">AS471</f>
        <v>262</v>
      </c>
      <c r="BJ468" s="499">
        <f t="shared" si="719"/>
        <v>16.276966000000002</v>
      </c>
      <c r="BK468" s="5">
        <f t="shared" si="679"/>
        <v>1</v>
      </c>
      <c r="BL468" s="499">
        <f t="shared" si="680"/>
        <v>25.72832</v>
      </c>
      <c r="BM468" s="499">
        <f t="shared" si="681"/>
        <v>999.10749599999997</v>
      </c>
      <c r="BO468" s="499">
        <f t="shared" si="682"/>
        <v>262</v>
      </c>
      <c r="BP468" s="499">
        <f t="shared" si="683"/>
        <v>16.276966000000002</v>
      </c>
      <c r="BQ468" s="5">
        <f t="shared" si="676"/>
        <v>0</v>
      </c>
      <c r="BR468" s="499">
        <f t="shared" si="684"/>
        <v>19.573189556451627</v>
      </c>
      <c r="BS468" s="499">
        <f t="shared" si="685"/>
        <v>999.10749599999997</v>
      </c>
      <c r="BU468" s="499">
        <f t="shared" si="686"/>
        <v>262</v>
      </c>
      <c r="BV468" s="499">
        <f t="shared" si="687"/>
        <v>16.276966000000002</v>
      </c>
      <c r="BW468" s="5">
        <f t="shared" si="677"/>
        <v>1</v>
      </c>
      <c r="BX468" s="499">
        <f t="shared" si="688"/>
        <v>25.350652379073182</v>
      </c>
      <c r="BY468" s="499">
        <f t="shared" si="689"/>
        <v>999.10749599999997</v>
      </c>
      <c r="CA468">
        <v>262</v>
      </c>
      <c r="CB468">
        <v>16.276966000000002</v>
      </c>
      <c r="CC468">
        <v>0</v>
      </c>
      <c r="CD468">
        <v>23.381748760000001</v>
      </c>
      <c r="CE468">
        <v>999.10749599999997</v>
      </c>
      <c r="CG468" s="499">
        <f t="shared" si="690"/>
        <v>1</v>
      </c>
      <c r="CH468" s="499">
        <f t="shared" si="691"/>
        <v>0</v>
      </c>
      <c r="CI468" s="499">
        <f t="shared" si="692"/>
        <v>1</v>
      </c>
      <c r="CJ468" s="499">
        <f t="shared" si="693"/>
        <v>0</v>
      </c>
      <c r="CP468" s="499"/>
      <c r="CQ468" s="65">
        <f t="shared" si="695"/>
        <v>2.5444059806123252E-5</v>
      </c>
      <c r="CR468" s="499">
        <f t="shared" si="696"/>
        <v>0.93333039823666764</v>
      </c>
      <c r="CS468" s="499">
        <f t="shared" si="697"/>
        <v>4.5135651130790013E-5</v>
      </c>
      <c r="CT468" s="38">
        <f t="shared" si="698"/>
        <v>36681.661863255664</v>
      </c>
      <c r="CU468" s="498">
        <f t="shared" si="699"/>
        <v>1.773917035045165</v>
      </c>
    </row>
    <row r="469" spans="43:99">
      <c r="AQ469" s="499"/>
      <c r="AR469" s="228">
        <v>28.682257</v>
      </c>
      <c r="AS469" s="13">
        <v>372</v>
      </c>
      <c r="AT469" s="13">
        <v>16.22092</v>
      </c>
      <c r="AU469" s="13">
        <f t="shared" si="710"/>
        <v>0</v>
      </c>
      <c r="AV469" s="13">
        <f t="shared" si="701"/>
        <v>26.70396895161289</v>
      </c>
      <c r="AW469" s="13">
        <f t="shared" si="702"/>
        <v>19.841130645161289</v>
      </c>
      <c r="AX469" s="13">
        <f t="shared" si="703"/>
        <v>26.536623094784801</v>
      </c>
      <c r="AY469" s="13">
        <v>999.39421000000004</v>
      </c>
      <c r="AZ469" s="13">
        <f t="shared" si="704"/>
        <v>6.8628383064516001</v>
      </c>
      <c r="BA469" s="13">
        <f t="shared" si="705"/>
        <v>0.16734585682808856</v>
      </c>
      <c r="BB469" s="97">
        <f t="shared" si="706"/>
        <v>1.9782880483871104</v>
      </c>
      <c r="BC469" s="499"/>
      <c r="BD469" s="499">
        <v>20.149999999999999</v>
      </c>
      <c r="BE469" s="499">
        <v>26.881598790322577</v>
      </c>
      <c r="BF469" s="499">
        <v>20.190994354838711</v>
      </c>
      <c r="BG469" s="499">
        <v>26.660688565792114</v>
      </c>
      <c r="BI469" s="499">
        <f t="shared" ref="BI469:BJ469" si="720">AS472</f>
        <v>75</v>
      </c>
      <c r="BJ469" s="499">
        <f t="shared" si="720"/>
        <v>16.277920000000002</v>
      </c>
      <c r="BK469" s="5">
        <f t="shared" si="679"/>
        <v>1</v>
      </c>
      <c r="BL469" s="499">
        <f t="shared" si="680"/>
        <v>29.856717</v>
      </c>
      <c r="BM469" s="499">
        <f t="shared" si="681"/>
        <v>1000.837808</v>
      </c>
      <c r="BO469" s="499">
        <f t="shared" si="682"/>
        <v>75</v>
      </c>
      <c r="BP469" s="499">
        <f t="shared" si="683"/>
        <v>16.277920000000002</v>
      </c>
      <c r="BQ469" s="5">
        <f t="shared" si="676"/>
        <v>0</v>
      </c>
      <c r="BR469" s="499">
        <f t="shared" si="684"/>
        <v>22.94686518548388</v>
      </c>
      <c r="BS469" s="499">
        <f t="shared" si="685"/>
        <v>1000.837808</v>
      </c>
      <c r="BU469" s="499">
        <f t="shared" si="686"/>
        <v>75</v>
      </c>
      <c r="BV469" s="499">
        <f t="shared" si="687"/>
        <v>16.277920000000002</v>
      </c>
      <c r="BW469" s="5">
        <f t="shared" si="677"/>
        <v>1</v>
      </c>
      <c r="BX469" s="499">
        <f t="shared" si="688"/>
        <v>29.379363346348963</v>
      </c>
      <c r="BY469" s="499">
        <f t="shared" si="689"/>
        <v>1000.837808</v>
      </c>
      <c r="CA469">
        <v>75</v>
      </c>
      <c r="CB469">
        <v>16.277920000000002</v>
      </c>
      <c r="CC469">
        <v>1</v>
      </c>
      <c r="CD469">
        <v>26.624416650000001</v>
      </c>
      <c r="CE469">
        <v>1000.837808</v>
      </c>
      <c r="CG469" s="499">
        <f t="shared" si="690"/>
        <v>1</v>
      </c>
      <c r="CH469" s="499">
        <f t="shared" si="691"/>
        <v>0</v>
      </c>
      <c r="CI469" s="499">
        <f t="shared" si="692"/>
        <v>1</v>
      </c>
      <c r="CJ469" s="499">
        <f t="shared" si="693"/>
        <v>1</v>
      </c>
      <c r="CP469" s="499"/>
      <c r="CQ469" s="65">
        <f t="shared" si="695"/>
        <v>5.9809997953614191E-2</v>
      </c>
      <c r="CR469" s="499">
        <f t="shared" si="696"/>
        <v>0.97878654369999329</v>
      </c>
      <c r="CS469" s="499">
        <f t="shared" si="697"/>
        <v>0.11856802642159735</v>
      </c>
      <c r="CT469" s="38">
        <f t="shared" si="698"/>
        <v>16.364931904179198</v>
      </c>
      <c r="CU469" s="498">
        <f t="shared" si="699"/>
        <v>1.9824114776521662</v>
      </c>
    </row>
    <row r="470" spans="43:99">
      <c r="AQ470" s="499"/>
      <c r="AR470" s="228">
        <v>29.666878000000001</v>
      </c>
      <c r="AS470" s="13">
        <v>214</v>
      </c>
      <c r="AT470" s="13">
        <v>16.228684000000001</v>
      </c>
      <c r="AU470" s="13">
        <f t="shared" si="710"/>
        <v>0</v>
      </c>
      <c r="AV470" s="13">
        <f t="shared" si="701"/>
        <v>26.541623588709687</v>
      </c>
      <c r="AW470" s="13">
        <f t="shared" si="702"/>
        <v>19.707799999999999</v>
      </c>
      <c r="AX470" s="13">
        <f t="shared" si="703"/>
        <v>26.25312687833333</v>
      </c>
      <c r="AY470" s="13">
        <v>1067.8182380000001</v>
      </c>
      <c r="AZ470" s="13">
        <f t="shared" si="704"/>
        <v>6.8338235887096879</v>
      </c>
      <c r="BA470" s="13">
        <f t="shared" si="705"/>
        <v>0.28849671037635716</v>
      </c>
      <c r="BB470" s="97">
        <f t="shared" si="706"/>
        <v>3.1252544112903138</v>
      </c>
      <c r="BC470" s="499"/>
      <c r="BD470" s="499">
        <v>19.95</v>
      </c>
      <c r="BE470" s="499">
        <v>26.897255241935479</v>
      </c>
      <c r="BF470" s="499">
        <v>20.225257056451614</v>
      </c>
      <c r="BG470" s="499">
        <v>26.652491438695062</v>
      </c>
      <c r="BI470" s="499">
        <f t="shared" ref="BI470:BJ470" si="721">AS473</f>
        <v>474</v>
      </c>
      <c r="BJ470" s="499">
        <f t="shared" si="721"/>
        <v>16.297456</v>
      </c>
      <c r="BK470" s="5">
        <f t="shared" si="679"/>
        <v>1</v>
      </c>
      <c r="BL470" s="499">
        <f t="shared" si="680"/>
        <v>28.661266999999999</v>
      </c>
      <c r="BM470" s="499">
        <f t="shared" si="681"/>
        <v>1000.300881</v>
      </c>
      <c r="BO470" s="499">
        <f t="shared" si="682"/>
        <v>474</v>
      </c>
      <c r="BP470" s="499">
        <f t="shared" si="683"/>
        <v>16.297456</v>
      </c>
      <c r="BQ470" s="5">
        <f t="shared" si="676"/>
        <v>0</v>
      </c>
      <c r="BR470" s="499">
        <f t="shared" si="684"/>
        <v>22.272836354838706</v>
      </c>
      <c r="BS470" s="499">
        <f t="shared" si="685"/>
        <v>1000.300881</v>
      </c>
      <c r="BU470" s="499">
        <f t="shared" si="686"/>
        <v>474</v>
      </c>
      <c r="BV470" s="499">
        <f t="shared" si="687"/>
        <v>16.297456</v>
      </c>
      <c r="BW470" s="5">
        <f t="shared" si="677"/>
        <v>1</v>
      </c>
      <c r="BX470" s="499">
        <f t="shared" si="688"/>
        <v>28.383889426728853</v>
      </c>
      <c r="BY470" s="499">
        <f t="shared" si="689"/>
        <v>1000.300881</v>
      </c>
      <c r="CA470">
        <v>474</v>
      </c>
      <c r="CB470">
        <v>16.297456</v>
      </c>
      <c r="CC470">
        <v>1</v>
      </c>
      <c r="CD470">
        <v>25.290538919999999</v>
      </c>
      <c r="CE470">
        <v>1000.300881</v>
      </c>
      <c r="CG470" s="499">
        <f t="shared" si="690"/>
        <v>1</v>
      </c>
      <c r="CH470" s="499">
        <f t="shared" si="691"/>
        <v>0</v>
      </c>
      <c r="CI470" s="499">
        <f t="shared" si="692"/>
        <v>1</v>
      </c>
      <c r="CJ470" s="499">
        <f t="shared" si="693"/>
        <v>1</v>
      </c>
      <c r="CP470" s="499"/>
      <c r="CQ470" s="65">
        <f t="shared" si="695"/>
        <v>1.7449341670812924E-5</v>
      </c>
      <c r="CR470" s="499">
        <f t="shared" si="696"/>
        <v>0.92244365977398823</v>
      </c>
      <c r="CS470" s="499">
        <f t="shared" si="697"/>
        <v>4.5047670771267704E-5</v>
      </c>
      <c r="CT470" s="38">
        <f t="shared" si="698"/>
        <v>52864.095229273698</v>
      </c>
      <c r="CU470" s="498">
        <f t="shared" si="699"/>
        <v>2.5816258069275939</v>
      </c>
    </row>
    <row r="471" spans="43:99">
      <c r="AQ471" s="499"/>
      <c r="AR471" s="228">
        <v>25.72832</v>
      </c>
      <c r="AS471" s="13">
        <v>262</v>
      </c>
      <c r="AT471" s="13">
        <v>16.276966000000002</v>
      </c>
      <c r="AU471" s="13">
        <f t="shared" si="710"/>
        <v>0</v>
      </c>
      <c r="AV471" s="13">
        <f t="shared" si="701"/>
        <v>26.49628548387096</v>
      </c>
      <c r="AW471" s="13">
        <f t="shared" si="702"/>
        <v>20.341155040322587</v>
      </c>
      <c r="AX471" s="13">
        <f t="shared" si="703"/>
        <v>26.118617862944141</v>
      </c>
      <c r="AY471" s="13">
        <v>999.10749599999997</v>
      </c>
      <c r="AZ471" s="13">
        <f t="shared" si="704"/>
        <v>6.1551304435483729</v>
      </c>
      <c r="BA471" s="13">
        <f t="shared" si="705"/>
        <v>0.37766762092681816</v>
      </c>
      <c r="BB471" s="97">
        <f t="shared" si="706"/>
        <v>-0.76796548387095953</v>
      </c>
      <c r="BC471" s="499"/>
      <c r="BD471" s="499">
        <v>19.75</v>
      </c>
      <c r="BE471" s="499">
        <v>26.905973588709674</v>
      </c>
      <c r="BF471" s="499">
        <v>20.19265806451612</v>
      </c>
      <c r="BG471" s="499">
        <v>26.641938143589748</v>
      </c>
      <c r="BI471" s="499">
        <f t="shared" ref="BI471:BJ471" si="722">AS474</f>
        <v>337</v>
      </c>
      <c r="BJ471" s="499">
        <f t="shared" si="722"/>
        <v>16.360858</v>
      </c>
      <c r="BK471" s="5">
        <f t="shared" si="679"/>
        <v>1</v>
      </c>
      <c r="BL471" s="499">
        <f t="shared" si="680"/>
        <v>28.079886999999999</v>
      </c>
      <c r="BM471" s="499">
        <f t="shared" si="681"/>
        <v>999.65326100000004</v>
      </c>
      <c r="BO471" s="499">
        <f t="shared" si="682"/>
        <v>337</v>
      </c>
      <c r="BP471" s="499">
        <f t="shared" si="683"/>
        <v>16.360858</v>
      </c>
      <c r="BQ471" s="5">
        <f t="shared" si="676"/>
        <v>0</v>
      </c>
      <c r="BR471" s="499">
        <f t="shared" si="684"/>
        <v>21.636896475806452</v>
      </c>
      <c r="BS471" s="499">
        <f t="shared" si="685"/>
        <v>999.65326100000004</v>
      </c>
      <c r="BU471" s="499">
        <f t="shared" si="686"/>
        <v>337</v>
      </c>
      <c r="BV471" s="499">
        <f t="shared" si="687"/>
        <v>16.360858</v>
      </c>
      <c r="BW471" s="5">
        <f t="shared" si="677"/>
        <v>1</v>
      </c>
      <c r="BX471" s="499">
        <f t="shared" si="688"/>
        <v>27.50067790062139</v>
      </c>
      <c r="BY471" s="499">
        <f t="shared" si="689"/>
        <v>999.65326100000004</v>
      </c>
      <c r="CA471">
        <v>337</v>
      </c>
      <c r="CB471">
        <v>16.360858</v>
      </c>
      <c r="CC471">
        <v>1</v>
      </c>
      <c r="CD471">
        <v>25.101058569999999</v>
      </c>
      <c r="CE471">
        <v>999.65326100000004</v>
      </c>
      <c r="CG471" s="499">
        <f t="shared" si="690"/>
        <v>1</v>
      </c>
      <c r="CH471" s="499">
        <f t="shared" si="691"/>
        <v>0</v>
      </c>
      <c r="CI471" s="499">
        <f t="shared" si="692"/>
        <v>1</v>
      </c>
      <c r="CJ471" s="499">
        <f t="shared" si="693"/>
        <v>1</v>
      </c>
      <c r="CP471" s="499"/>
      <c r="CQ471" s="65">
        <f t="shared" si="695"/>
        <v>1.8760742129944746E-4</v>
      </c>
      <c r="CR471" s="499">
        <f t="shared" si="696"/>
        <v>0.96341936738417178</v>
      </c>
      <c r="CS471" s="499">
        <f t="shared" si="697"/>
        <v>3.2548893525988524E-4</v>
      </c>
      <c r="CT471" s="38">
        <f t="shared" si="698"/>
        <v>5135.2945459786524</v>
      </c>
      <c r="CU471" s="498">
        <f t="shared" si="699"/>
        <v>1.7349470133186244</v>
      </c>
    </row>
    <row r="472" spans="43:99">
      <c r="AQ472" s="499"/>
      <c r="AR472" s="228">
        <v>29.856717</v>
      </c>
      <c r="AS472" s="13">
        <v>75</v>
      </c>
      <c r="AT472" s="13">
        <v>16.277920000000002</v>
      </c>
      <c r="AU472" s="13">
        <f t="shared" si="710"/>
        <v>0</v>
      </c>
      <c r="AV472" s="13">
        <f t="shared" si="701"/>
        <v>26.999634677419348</v>
      </c>
      <c r="AW472" s="13">
        <f t="shared" si="702"/>
        <v>20.089782862903228</v>
      </c>
      <c r="AX472" s="13">
        <f t="shared" si="703"/>
        <v>26.522281023768311</v>
      </c>
      <c r="AY472" s="13">
        <v>1000.837808</v>
      </c>
      <c r="AZ472" s="13">
        <f t="shared" si="704"/>
        <v>6.9098518145161201</v>
      </c>
      <c r="BA472" s="13">
        <f t="shared" si="705"/>
        <v>0.47735365365103632</v>
      </c>
      <c r="BB472" s="97">
        <f t="shared" si="706"/>
        <v>2.8570823225806521</v>
      </c>
      <c r="BC472" s="499"/>
      <c r="BD472" s="499">
        <v>19.55</v>
      </c>
      <c r="BE472" s="499">
        <v>26.904240322580652</v>
      </c>
      <c r="BF472" s="499">
        <v>20.172893346774192</v>
      </c>
      <c r="BG472" s="499">
        <v>26.616539075563189</v>
      </c>
      <c r="BI472" s="499">
        <f t="shared" ref="BI472:BJ472" si="723">AS475</f>
        <v>200</v>
      </c>
      <c r="BJ472" s="499">
        <f t="shared" si="723"/>
        <v>16.361146999999999</v>
      </c>
      <c r="BK472" s="5">
        <f t="shared" si="679"/>
        <v>1</v>
      </c>
      <c r="BL472" s="499">
        <f t="shared" si="680"/>
        <v>25.90598</v>
      </c>
      <c r="BM472" s="499">
        <f t="shared" si="681"/>
        <v>999.36442399999999</v>
      </c>
      <c r="BO472" s="499">
        <f t="shared" si="682"/>
        <v>200</v>
      </c>
      <c r="BP472" s="499">
        <f t="shared" si="683"/>
        <v>16.361146999999999</v>
      </c>
      <c r="BQ472" s="5">
        <f t="shared" si="676"/>
        <v>0</v>
      </c>
      <c r="BR472" s="499">
        <f t="shared" si="684"/>
        <v>19.689381411290324</v>
      </c>
      <c r="BS472" s="499">
        <f t="shared" si="685"/>
        <v>999.36442399999999</v>
      </c>
      <c r="BU472" s="499">
        <f t="shared" si="686"/>
        <v>200</v>
      </c>
      <c r="BV472" s="499">
        <f t="shared" si="687"/>
        <v>16.361146999999999</v>
      </c>
      <c r="BW472" s="5">
        <f t="shared" si="677"/>
        <v>1</v>
      </c>
      <c r="BX472" s="499">
        <f t="shared" si="688"/>
        <v>25.61112426976057</v>
      </c>
      <c r="BY472" s="499">
        <f t="shared" si="689"/>
        <v>999.36442399999999</v>
      </c>
      <c r="CA472">
        <v>200</v>
      </c>
      <c r="CB472">
        <v>16.361146999999999</v>
      </c>
      <c r="CC472">
        <v>0</v>
      </c>
      <c r="CD472">
        <v>23.747494039999999</v>
      </c>
      <c r="CE472">
        <v>999.36442399999999</v>
      </c>
      <c r="CG472" s="499">
        <f t="shared" si="690"/>
        <v>1</v>
      </c>
      <c r="CH472" s="499">
        <f t="shared" si="691"/>
        <v>0</v>
      </c>
      <c r="CI472" s="499">
        <f t="shared" si="692"/>
        <v>1</v>
      </c>
      <c r="CJ472" s="499">
        <f t="shared" si="693"/>
        <v>0</v>
      </c>
      <c r="CP472" s="499"/>
      <c r="CQ472" s="65">
        <f t="shared" si="695"/>
        <v>5.9530330343727416E-4</v>
      </c>
      <c r="CR472" s="499">
        <f t="shared" si="696"/>
        <v>0.97444573140629143</v>
      </c>
      <c r="CS472" s="499">
        <f t="shared" si="697"/>
        <v>1.8791607628319822E-3</v>
      </c>
      <c r="CT472" s="38">
        <f t="shared" si="698"/>
        <v>1636.8895078859018</v>
      </c>
      <c r="CU472" s="498">
        <f t="shared" si="699"/>
        <v>3.1566442718891872</v>
      </c>
    </row>
    <row r="473" spans="43:99">
      <c r="AQ473" s="499"/>
      <c r="AR473" s="228">
        <v>28.661266999999999</v>
      </c>
      <c r="AS473" s="13">
        <v>474</v>
      </c>
      <c r="AT473" s="13">
        <v>16.297456</v>
      </c>
      <c r="AU473" s="13">
        <f t="shared" si="710"/>
        <v>0</v>
      </c>
      <c r="AV473" s="13">
        <f t="shared" si="701"/>
        <v>26.689679233870965</v>
      </c>
      <c r="AW473" s="13">
        <f t="shared" si="702"/>
        <v>20.301248588709672</v>
      </c>
      <c r="AX473" s="13">
        <f t="shared" si="703"/>
        <v>26.41230166059982</v>
      </c>
      <c r="AY473" s="13">
        <v>1000.300881</v>
      </c>
      <c r="AZ473" s="13">
        <f t="shared" si="704"/>
        <v>6.3884306451612929</v>
      </c>
      <c r="BA473" s="13">
        <f t="shared" si="705"/>
        <v>0.27737757327114565</v>
      </c>
      <c r="BB473" s="97">
        <f t="shared" si="706"/>
        <v>1.9715877661290335</v>
      </c>
      <c r="BC473" s="499"/>
      <c r="BD473" s="499">
        <v>19.350000000000001</v>
      </c>
      <c r="BE473" s="499">
        <v>26.878961088709669</v>
      </c>
      <c r="BF473" s="499">
        <v>20.152404233870961</v>
      </c>
      <c r="BG473" s="499">
        <v>26.582343135228935</v>
      </c>
      <c r="BI473" s="499">
        <f t="shared" ref="BI473:BJ473" si="724">AS476</f>
        <v>88</v>
      </c>
      <c r="BJ473" s="499">
        <f t="shared" si="724"/>
        <v>16.370573</v>
      </c>
      <c r="BK473" s="5">
        <f t="shared" si="679"/>
        <v>1</v>
      </c>
      <c r="BL473" s="499">
        <f t="shared" si="680"/>
        <v>25.90598</v>
      </c>
      <c r="BM473" s="499">
        <f t="shared" si="681"/>
        <v>1000.236705</v>
      </c>
      <c r="BO473" s="499">
        <f t="shared" si="682"/>
        <v>88</v>
      </c>
      <c r="BP473" s="499">
        <f t="shared" si="683"/>
        <v>16.370573</v>
      </c>
      <c r="BQ473" s="5">
        <f t="shared" si="676"/>
        <v>0</v>
      </c>
      <c r="BR473" s="499">
        <f t="shared" si="684"/>
        <v>19.655012459677408</v>
      </c>
      <c r="BS473" s="499">
        <f t="shared" si="685"/>
        <v>1000.236705</v>
      </c>
      <c r="BU473" s="499">
        <f t="shared" si="686"/>
        <v>88</v>
      </c>
      <c r="BV473" s="499">
        <f t="shared" si="687"/>
        <v>16.370573</v>
      </c>
      <c r="BW473" s="5">
        <f t="shared" si="677"/>
        <v>1</v>
      </c>
      <c r="BX473" s="499">
        <f t="shared" si="688"/>
        <v>25.55937577044828</v>
      </c>
      <c r="BY473" s="499">
        <f t="shared" si="689"/>
        <v>1000.236705</v>
      </c>
      <c r="CA473">
        <v>88</v>
      </c>
      <c r="CB473">
        <v>16.370573</v>
      </c>
      <c r="CC473">
        <v>0</v>
      </c>
      <c r="CD473">
        <v>22.83315116</v>
      </c>
      <c r="CE473">
        <v>1000.236705</v>
      </c>
      <c r="CG473" s="499">
        <f t="shared" si="690"/>
        <v>1</v>
      </c>
      <c r="CH473" s="499">
        <f t="shared" si="691"/>
        <v>0</v>
      </c>
      <c r="CI473" s="499">
        <f t="shared" si="692"/>
        <v>1</v>
      </c>
      <c r="CJ473" s="499">
        <f t="shared" si="693"/>
        <v>0</v>
      </c>
      <c r="CP473" s="499"/>
      <c r="CQ473" s="65">
        <f t="shared" si="695"/>
        <v>4.2799325375661501E-2</v>
      </c>
      <c r="CR473" s="499">
        <f t="shared" si="696"/>
        <v>0.97876747015713927</v>
      </c>
      <c r="CS473" s="499">
        <f t="shared" si="697"/>
        <v>7.4301689930303727E-2</v>
      </c>
      <c r="CT473" s="38">
        <f t="shared" si="698"/>
        <v>22.868759298569003</v>
      </c>
      <c r="CU473" s="498">
        <f t="shared" si="699"/>
        <v>1.7360481567907267</v>
      </c>
    </row>
    <row r="474" spans="43:99">
      <c r="AQ474" s="499"/>
      <c r="AR474" s="228">
        <v>28.079886999999999</v>
      </c>
      <c r="AS474" s="13">
        <v>337</v>
      </c>
      <c r="AT474" s="13">
        <v>16.360858</v>
      </c>
      <c r="AU474" s="13">
        <f t="shared" si="710"/>
        <v>0</v>
      </c>
      <c r="AV474" s="13">
        <f t="shared" si="701"/>
        <v>27.055326008064515</v>
      </c>
      <c r="AW474" s="13">
        <f t="shared" si="702"/>
        <v>20.612335483870968</v>
      </c>
      <c r="AX474" s="13">
        <f t="shared" si="703"/>
        <v>26.476116908685906</v>
      </c>
      <c r="AY474" s="13">
        <v>999.65326100000004</v>
      </c>
      <c r="AZ474" s="13">
        <f t="shared" si="704"/>
        <v>6.4429905241935472</v>
      </c>
      <c r="BA474" s="13">
        <f t="shared" si="705"/>
        <v>0.57920909937860898</v>
      </c>
      <c r="BB474" s="97">
        <f t="shared" si="706"/>
        <v>1.0245609919354841</v>
      </c>
      <c r="BC474" s="499"/>
      <c r="BD474" s="499">
        <v>19.149999999999999</v>
      </c>
      <c r="BE474" s="499">
        <v>26.817233669354838</v>
      </c>
      <c r="BF474" s="499">
        <v>20.128027620967742</v>
      </c>
      <c r="BG474" s="499">
        <v>26.487922696227105</v>
      </c>
      <c r="BI474" s="499">
        <f t="shared" ref="BI474:BJ474" si="725">AS477</f>
        <v>64</v>
      </c>
      <c r="BJ474" s="499">
        <f t="shared" si="725"/>
        <v>16.376984</v>
      </c>
      <c r="BK474" s="5">
        <f t="shared" si="679"/>
        <v>1</v>
      </c>
      <c r="BL474" s="499">
        <f t="shared" si="680"/>
        <v>26.261299999999999</v>
      </c>
      <c r="BM474" s="499">
        <f t="shared" si="681"/>
        <v>999.50562500000001</v>
      </c>
      <c r="BO474" s="499">
        <f t="shared" si="682"/>
        <v>64</v>
      </c>
      <c r="BP474" s="499">
        <f t="shared" si="683"/>
        <v>16.376984</v>
      </c>
      <c r="BQ474" s="5">
        <f t="shared" si="676"/>
        <v>0</v>
      </c>
      <c r="BR474" s="499">
        <f t="shared" si="684"/>
        <v>19.952438911290322</v>
      </c>
      <c r="BS474" s="499">
        <f t="shared" si="685"/>
        <v>999.50562500000001</v>
      </c>
      <c r="BU474" s="499">
        <f t="shared" si="686"/>
        <v>64</v>
      </c>
      <c r="BV474" s="499">
        <f t="shared" si="687"/>
        <v>16.376984</v>
      </c>
      <c r="BW474" s="5">
        <f t="shared" si="677"/>
        <v>1</v>
      </c>
      <c r="BX474" s="499">
        <f t="shared" si="688"/>
        <v>24.934378802397347</v>
      </c>
      <c r="BY474" s="499">
        <f t="shared" si="689"/>
        <v>999.50562500000001</v>
      </c>
      <c r="CA474">
        <v>64</v>
      </c>
      <c r="CB474">
        <v>16.376984</v>
      </c>
      <c r="CC474">
        <v>0</v>
      </c>
      <c r="CD474">
        <v>22.501728920000001</v>
      </c>
      <c r="CE474">
        <v>999.50562500000001</v>
      </c>
      <c r="CG474" s="499">
        <f t="shared" si="690"/>
        <v>1</v>
      </c>
      <c r="CH474" s="499">
        <f t="shared" si="691"/>
        <v>0</v>
      </c>
      <c r="CI474" s="499">
        <f t="shared" si="692"/>
        <v>1</v>
      </c>
      <c r="CJ474" s="499">
        <f t="shared" si="693"/>
        <v>0</v>
      </c>
      <c r="CP474" s="499"/>
      <c r="CQ474" s="65">
        <f t="shared" si="695"/>
        <v>4.2799325375661501E-2</v>
      </c>
      <c r="CR474" s="499">
        <f t="shared" si="696"/>
        <v>0.97877357731061398</v>
      </c>
      <c r="CS474" s="499">
        <f t="shared" si="697"/>
        <v>8.1676456064050815E-2</v>
      </c>
      <c r="CT474" s="38">
        <f t="shared" si="698"/>
        <v>22.868901991319909</v>
      </c>
      <c r="CU474" s="498">
        <f t="shared" si="699"/>
        <v>1.9083584927368364</v>
      </c>
    </row>
    <row r="475" spans="43:99">
      <c r="AQ475" s="499"/>
      <c r="AR475" s="228">
        <v>25.90598</v>
      </c>
      <c r="AS475" s="13">
        <v>200</v>
      </c>
      <c r="AT475" s="13">
        <v>16.361146999999999</v>
      </c>
      <c r="AU475" s="13">
        <f t="shared" si="710"/>
        <v>0</v>
      </c>
      <c r="AV475" s="13">
        <f t="shared" si="701"/>
        <v>26.905194758064518</v>
      </c>
      <c r="AW475" s="13">
        <f t="shared" si="702"/>
        <v>20.688596169354842</v>
      </c>
      <c r="AX475" s="13">
        <f t="shared" si="703"/>
        <v>26.610339027825088</v>
      </c>
      <c r="AY475" s="13">
        <v>999.36442399999999</v>
      </c>
      <c r="AZ475" s="13">
        <f t="shared" si="704"/>
        <v>6.216598588709676</v>
      </c>
      <c r="BA475" s="13">
        <f t="shared" si="705"/>
        <v>0.2948557302394299</v>
      </c>
      <c r="BB475" s="97">
        <f t="shared" si="706"/>
        <v>-0.99921475806451809</v>
      </c>
      <c r="BC475" s="499"/>
      <c r="BD475" s="499">
        <v>18.95</v>
      </c>
      <c r="BE475" s="499">
        <v>26.83069193548387</v>
      </c>
      <c r="BF475" s="499">
        <v>20.106228024193548</v>
      </c>
      <c r="BG475" s="499">
        <v>26.503308861240846</v>
      </c>
      <c r="BI475" s="499">
        <f t="shared" ref="BI475:BJ475" si="726">AS478</f>
        <v>38</v>
      </c>
      <c r="BJ475" s="499">
        <f t="shared" si="726"/>
        <v>16.3977</v>
      </c>
      <c r="BK475" s="5">
        <f t="shared" si="679"/>
        <v>1</v>
      </c>
      <c r="BL475" s="499">
        <f t="shared" si="680"/>
        <v>26.261299999999999</v>
      </c>
      <c r="BM475" s="499">
        <f t="shared" si="681"/>
        <v>999.82766500000002</v>
      </c>
      <c r="BO475" s="499">
        <f t="shared" si="682"/>
        <v>38</v>
      </c>
      <c r="BP475" s="499">
        <f t="shared" si="683"/>
        <v>16.3977</v>
      </c>
      <c r="BQ475" s="5">
        <f t="shared" si="676"/>
        <v>0</v>
      </c>
      <c r="BR475" s="499">
        <f t="shared" si="684"/>
        <v>20.048687903225808</v>
      </c>
      <c r="BS475" s="499">
        <f t="shared" si="685"/>
        <v>999.82766500000002</v>
      </c>
      <c r="BU475" s="499">
        <f t="shared" si="686"/>
        <v>38</v>
      </c>
      <c r="BV475" s="499">
        <f t="shared" si="687"/>
        <v>16.3977</v>
      </c>
      <c r="BW475" s="5">
        <f t="shared" si="677"/>
        <v>1</v>
      </c>
      <c r="BX475" s="499">
        <f t="shared" si="688"/>
        <v>25.020254026675087</v>
      </c>
      <c r="BY475" s="499">
        <f t="shared" si="689"/>
        <v>999.82766500000002</v>
      </c>
      <c r="CA475">
        <v>38</v>
      </c>
      <c r="CB475">
        <v>16.3977</v>
      </c>
      <c r="CC475">
        <v>0</v>
      </c>
      <c r="CD475">
        <v>22.034799629999998</v>
      </c>
      <c r="CE475">
        <v>999.82766500000002</v>
      </c>
      <c r="CG475" s="499">
        <f t="shared" si="690"/>
        <v>1</v>
      </c>
      <c r="CH475" s="499">
        <f t="shared" si="691"/>
        <v>0</v>
      </c>
      <c r="CI475" s="499">
        <f t="shared" si="692"/>
        <v>1</v>
      </c>
      <c r="CJ475" s="499">
        <f t="shared" si="693"/>
        <v>0</v>
      </c>
      <c r="CP475" s="499"/>
      <c r="CQ475" s="65">
        <f t="shared" si="695"/>
        <v>2.1605138564361016E-2</v>
      </c>
      <c r="CR475" s="499">
        <f t="shared" si="696"/>
        <v>0.97870395698081636</v>
      </c>
      <c r="CS475" s="499">
        <f t="shared" si="697"/>
        <v>0.23456644815679401</v>
      </c>
      <c r="CT475" s="38">
        <f t="shared" si="698"/>
        <v>45.299591764491055</v>
      </c>
      <c r="CU475" s="498">
        <f t="shared" si="699"/>
        <v>10.856974948715468</v>
      </c>
    </row>
    <row r="476" spans="43:99">
      <c r="AQ476" s="499"/>
      <c r="AR476" s="228">
        <v>25.90598</v>
      </c>
      <c r="AS476" s="13">
        <v>88</v>
      </c>
      <c r="AT476" s="13">
        <v>16.370573</v>
      </c>
      <c r="AU476" s="13">
        <f t="shared" si="710"/>
        <v>0</v>
      </c>
      <c r="AV476" s="13">
        <f t="shared" si="701"/>
        <v>26.781083669354835</v>
      </c>
      <c r="AW476" s="13">
        <f t="shared" si="702"/>
        <v>20.530116129032244</v>
      </c>
      <c r="AX476" s="13">
        <f t="shared" si="703"/>
        <v>26.434479439803116</v>
      </c>
      <c r="AY476" s="13">
        <v>1000.236705</v>
      </c>
      <c r="AZ476" s="13">
        <f t="shared" si="704"/>
        <v>6.2509675403225913</v>
      </c>
      <c r="BA476" s="13">
        <f t="shared" si="705"/>
        <v>0.3466042295517191</v>
      </c>
      <c r="BB476" s="97">
        <f t="shared" si="706"/>
        <v>-0.87510366935483574</v>
      </c>
      <c r="BC476" s="499"/>
      <c r="BD476" s="499">
        <v>18.75</v>
      </c>
      <c r="BE476" s="499">
        <v>26.845482459677431</v>
      </c>
      <c r="BF476" s="499">
        <v>20.122474596774193</v>
      </c>
      <c r="BG476" s="499">
        <v>26.521692381565945</v>
      </c>
      <c r="BI476" s="499">
        <f t="shared" ref="BI476:BJ476" si="727">AS479</f>
        <v>180</v>
      </c>
      <c r="BJ476" s="499">
        <f t="shared" si="727"/>
        <v>16.399332999999999</v>
      </c>
      <c r="BK476" s="5">
        <f t="shared" si="679"/>
        <v>1</v>
      </c>
      <c r="BL476" s="499">
        <f t="shared" si="680"/>
        <v>28.529593999999999</v>
      </c>
      <c r="BM476" s="499">
        <f t="shared" si="681"/>
        <v>919.67985899999996</v>
      </c>
      <c r="BO476" s="499">
        <f t="shared" si="682"/>
        <v>180</v>
      </c>
      <c r="BP476" s="499">
        <f t="shared" si="683"/>
        <v>16.399332999999999</v>
      </c>
      <c r="BQ476" s="5">
        <f t="shared" si="676"/>
        <v>0</v>
      </c>
      <c r="BR476" s="499">
        <f t="shared" si="684"/>
        <v>22.208979483870976</v>
      </c>
      <c r="BS476" s="499">
        <f t="shared" si="685"/>
        <v>919.67985899999996</v>
      </c>
      <c r="BU476" s="499">
        <f t="shared" si="686"/>
        <v>180</v>
      </c>
      <c r="BV476" s="499">
        <f t="shared" si="687"/>
        <v>16.399332999999999</v>
      </c>
      <c r="BW476" s="5">
        <f t="shared" si="677"/>
        <v>1</v>
      </c>
      <c r="BX476" s="499">
        <f t="shared" si="688"/>
        <v>27.875268784703422</v>
      </c>
      <c r="BY476" s="499">
        <f t="shared" si="689"/>
        <v>919.67985899999996</v>
      </c>
      <c r="CA476">
        <v>180</v>
      </c>
      <c r="CB476">
        <v>16.399332999999999</v>
      </c>
      <c r="CC476">
        <v>1</v>
      </c>
      <c r="CD476">
        <v>25.343237590000001</v>
      </c>
      <c r="CE476">
        <v>919.67985899999996</v>
      </c>
      <c r="CG476" s="499">
        <f t="shared" si="690"/>
        <v>1</v>
      </c>
      <c r="CH476" s="499">
        <f t="shared" si="691"/>
        <v>0</v>
      </c>
      <c r="CI476" s="499">
        <f t="shared" si="692"/>
        <v>1</v>
      </c>
      <c r="CJ476" s="499">
        <f t="shared" si="693"/>
        <v>1</v>
      </c>
      <c r="CP476" s="499"/>
      <c r="CQ476" s="65">
        <f t="shared" si="695"/>
        <v>2.1605138564361016E-2</v>
      </c>
      <c r="CR476" s="499">
        <f t="shared" si="696"/>
        <v>0.97867107805020492</v>
      </c>
      <c r="CS476" s="499">
        <f t="shared" si="697"/>
        <v>0.20549637766713047</v>
      </c>
      <c r="CT476" s="38">
        <f t="shared" si="698"/>
        <v>45.298069953810995</v>
      </c>
      <c r="CU476" s="498">
        <f t="shared" si="699"/>
        <v>9.5114584456361317</v>
      </c>
    </row>
    <row r="477" spans="43:99">
      <c r="AQ477" s="499"/>
      <c r="AR477" s="228">
        <v>26.261299999999999</v>
      </c>
      <c r="AS477" s="13">
        <v>64</v>
      </c>
      <c r="AT477" s="13">
        <v>16.376984</v>
      </c>
      <c r="AU477" s="13">
        <f t="shared" si="710"/>
        <v>0</v>
      </c>
      <c r="AV477" s="13">
        <f t="shared" si="701"/>
        <v>26.060341733870967</v>
      </c>
      <c r="AW477" s="13">
        <f t="shared" si="702"/>
        <v>19.751480645161291</v>
      </c>
      <c r="AX477" s="13">
        <f t="shared" si="703"/>
        <v>24.733420536268316</v>
      </c>
      <c r="AY477" s="13">
        <v>999.50562500000001</v>
      </c>
      <c r="AZ477" s="13">
        <f t="shared" si="704"/>
        <v>6.3088610887096763</v>
      </c>
      <c r="BA477" s="13">
        <f t="shared" si="705"/>
        <v>1.3269211976026511</v>
      </c>
      <c r="BB477" s="97">
        <f t="shared" si="706"/>
        <v>0.20095826612903167</v>
      </c>
      <c r="BC477" s="499"/>
      <c r="BD477" s="499">
        <v>18.55</v>
      </c>
      <c r="BE477" s="499">
        <v>26.866169556451602</v>
      </c>
      <c r="BF477" s="499">
        <v>20.118986088709676</v>
      </c>
      <c r="BG477" s="499">
        <v>26.541808016868128</v>
      </c>
      <c r="BI477" s="499">
        <f t="shared" ref="BI477:BJ477" si="728">AS480</f>
        <v>378</v>
      </c>
      <c r="BJ477" s="499">
        <f t="shared" si="728"/>
        <v>16.399768000000002</v>
      </c>
      <c r="BK477" s="5">
        <f t="shared" si="679"/>
        <v>1</v>
      </c>
      <c r="BL477" s="499">
        <f t="shared" si="680"/>
        <v>26.794280000000001</v>
      </c>
      <c r="BM477" s="499">
        <f t="shared" si="681"/>
        <v>1000.118677</v>
      </c>
      <c r="BO477" s="499">
        <f t="shared" si="682"/>
        <v>378</v>
      </c>
      <c r="BP477" s="499">
        <f t="shared" si="683"/>
        <v>16.399768000000002</v>
      </c>
      <c r="BQ477" s="5">
        <f t="shared" si="676"/>
        <v>0</v>
      </c>
      <c r="BR477" s="499">
        <f t="shared" si="684"/>
        <v>19.996593508064517</v>
      </c>
      <c r="BS477" s="499">
        <f t="shared" si="685"/>
        <v>1000.118677</v>
      </c>
      <c r="BU477" s="499">
        <f t="shared" si="686"/>
        <v>378</v>
      </c>
      <c r="BV477" s="499">
        <f t="shared" si="687"/>
        <v>16.399768000000002</v>
      </c>
      <c r="BW477" s="5">
        <f t="shared" si="677"/>
        <v>1</v>
      </c>
      <c r="BX477" s="499">
        <f t="shared" si="688"/>
        <v>26.586634951120615</v>
      </c>
      <c r="BY477" s="499">
        <f t="shared" si="689"/>
        <v>1000.118677</v>
      </c>
      <c r="CA477">
        <v>378</v>
      </c>
      <c r="CB477">
        <v>16.399768000000002</v>
      </c>
      <c r="CC477">
        <v>0</v>
      </c>
      <c r="CD477">
        <v>23.74727966</v>
      </c>
      <c r="CE477">
        <v>1000.118677</v>
      </c>
      <c r="CG477" s="499">
        <f t="shared" si="690"/>
        <v>1</v>
      </c>
      <c r="CH477" s="499">
        <f t="shared" si="691"/>
        <v>0</v>
      </c>
      <c r="CI477" s="499">
        <f t="shared" si="692"/>
        <v>1</v>
      </c>
      <c r="CJ477" s="499">
        <f t="shared" si="693"/>
        <v>0</v>
      </c>
      <c r="CP477" s="499"/>
      <c r="CQ477" s="65">
        <f t="shared" si="695"/>
        <v>2.4369406264251902E-4</v>
      </c>
      <c r="CR477" s="499">
        <f t="shared" si="696"/>
        <v>0.9652336212544812</v>
      </c>
      <c r="CS477" s="499">
        <f t="shared" si="697"/>
        <v>8.936544529037911E-4</v>
      </c>
      <c r="CT477" s="38">
        <f t="shared" si="698"/>
        <v>3960.8417652358103</v>
      </c>
      <c r="CU477" s="498">
        <f t="shared" si="699"/>
        <v>3.6671162325965874</v>
      </c>
    </row>
    <row r="478" spans="43:99">
      <c r="AQ478" s="499"/>
      <c r="AR478" s="228">
        <v>26.261299999999999</v>
      </c>
      <c r="AS478" s="13">
        <v>38</v>
      </c>
      <c r="AT478" s="13">
        <v>16.3977</v>
      </c>
      <c r="AU478" s="13">
        <f t="shared" si="710"/>
        <v>0</v>
      </c>
      <c r="AV478" s="13">
        <f t="shared" si="701"/>
        <v>26.00001028225806</v>
      </c>
      <c r="AW478" s="13">
        <f t="shared" si="702"/>
        <v>19.78739818548387</v>
      </c>
      <c r="AX478" s="13">
        <f t="shared" si="703"/>
        <v>24.758964308933148</v>
      </c>
      <c r="AY478" s="13">
        <v>999.82766500000002</v>
      </c>
      <c r="AZ478" s="13">
        <f t="shared" si="704"/>
        <v>6.2126120967741905</v>
      </c>
      <c r="BA478" s="13">
        <f t="shared" si="705"/>
        <v>1.241045973324912</v>
      </c>
      <c r="BB478" s="97">
        <f t="shared" si="706"/>
        <v>0.26128971774193843</v>
      </c>
      <c r="BC478" s="499"/>
      <c r="BD478" s="499">
        <v>18.350000000000001</v>
      </c>
      <c r="BE478" s="499">
        <v>26.882937096774185</v>
      </c>
      <c r="BF478" s="499">
        <v>20.090490927419363</v>
      </c>
      <c r="BG478" s="499">
        <v>26.554104347193224</v>
      </c>
      <c r="BI478" s="499">
        <f t="shared" ref="BI478:BJ478" si="729">AS481</f>
        <v>374</v>
      </c>
      <c r="BJ478" s="499">
        <f t="shared" si="729"/>
        <v>16.415299000000001</v>
      </c>
      <c r="BK478" s="5">
        <f t="shared" si="679"/>
        <v>1</v>
      </c>
      <c r="BL478" s="499">
        <f t="shared" si="680"/>
        <v>26.138141999999998</v>
      </c>
      <c r="BM478" s="499">
        <f t="shared" si="681"/>
        <v>725.90938900000003</v>
      </c>
      <c r="BO478" s="499">
        <f t="shared" si="682"/>
        <v>374</v>
      </c>
      <c r="BP478" s="499">
        <f t="shared" si="683"/>
        <v>16.415299000000001</v>
      </c>
      <c r="BQ478" s="5">
        <f t="shared" si="676"/>
        <v>0</v>
      </c>
      <c r="BR478" s="499">
        <f t="shared" si="684"/>
        <v>20.927595024193547</v>
      </c>
      <c r="BS478" s="499">
        <f t="shared" si="685"/>
        <v>725.90938900000003</v>
      </c>
      <c r="BU478" s="499">
        <f t="shared" si="686"/>
        <v>374</v>
      </c>
      <c r="BV478" s="499">
        <f t="shared" si="687"/>
        <v>16.415299000000001</v>
      </c>
      <c r="BW478" s="5">
        <f t="shared" si="677"/>
        <v>1</v>
      </c>
      <c r="BX478" s="499">
        <f t="shared" si="688"/>
        <v>25.74961988435868</v>
      </c>
      <c r="BY478" s="499">
        <f t="shared" si="689"/>
        <v>725.90938900000003</v>
      </c>
      <c r="CA478">
        <v>374</v>
      </c>
      <c r="CB478">
        <v>16.415299000000001</v>
      </c>
      <c r="CC478">
        <v>0</v>
      </c>
      <c r="CD478">
        <v>23.069699249999999</v>
      </c>
      <c r="CE478">
        <v>725.90938900000003</v>
      </c>
      <c r="CG478" s="499">
        <f t="shared" si="690"/>
        <v>1</v>
      </c>
      <c r="CH478" s="499">
        <f t="shared" si="691"/>
        <v>0</v>
      </c>
      <c r="CI478" s="499">
        <f t="shared" si="692"/>
        <v>1</v>
      </c>
      <c r="CJ478" s="499">
        <f t="shared" si="693"/>
        <v>0</v>
      </c>
      <c r="CP478" s="499"/>
      <c r="CQ478" s="65">
        <f t="shared" si="695"/>
        <v>7.6025392587247527E-3</v>
      </c>
      <c r="CR478" s="499">
        <f t="shared" si="696"/>
        <v>0.97868965133784025</v>
      </c>
      <c r="CS478" s="499">
        <f t="shared" si="697"/>
        <v>1.1439713094588688E-2</v>
      </c>
      <c r="CT478" s="38">
        <f t="shared" si="698"/>
        <v>128.73194310896665</v>
      </c>
      <c r="CU478" s="498">
        <f t="shared" si="699"/>
        <v>1.5047226597955881</v>
      </c>
    </row>
    <row r="479" spans="43:99">
      <c r="AQ479" s="499"/>
      <c r="AR479" s="228">
        <v>28.529593999999999</v>
      </c>
      <c r="AS479" s="13">
        <v>180</v>
      </c>
      <c r="AT479" s="13">
        <v>16.399332999999999</v>
      </c>
      <c r="AU479" s="13">
        <f t="shared" si="710"/>
        <v>0</v>
      </c>
      <c r="AV479" s="13">
        <f t="shared" si="701"/>
        <v>26.667888104838706</v>
      </c>
      <c r="AW479" s="13">
        <f t="shared" si="702"/>
        <v>20.347273588709683</v>
      </c>
      <c r="AX479" s="13">
        <f t="shared" si="703"/>
        <v>26.013562889542129</v>
      </c>
      <c r="AY479" s="13">
        <v>919.67985899999996</v>
      </c>
      <c r="AZ479" s="13">
        <f t="shared" si="704"/>
        <v>6.320614516129023</v>
      </c>
      <c r="BA479" s="13">
        <f t="shared" si="705"/>
        <v>0.65432521529657706</v>
      </c>
      <c r="BB479" s="97">
        <f t="shared" si="706"/>
        <v>1.8617058951612933</v>
      </c>
      <c r="BC479" s="499"/>
      <c r="BD479" s="499">
        <v>18.149999999999999</v>
      </c>
      <c r="BE479" s="499">
        <v>26.903143145161284</v>
      </c>
      <c r="BF479" s="499">
        <v>20.091884677419355</v>
      </c>
      <c r="BG479" s="499">
        <v>26.567522629647442</v>
      </c>
      <c r="BI479" s="499">
        <f t="shared" ref="BI479:BJ479" si="730">AS482</f>
        <v>80</v>
      </c>
      <c r="BJ479" s="499">
        <f t="shared" si="730"/>
        <v>16.430109999999999</v>
      </c>
      <c r="BK479" s="5">
        <f t="shared" si="679"/>
        <v>1</v>
      </c>
      <c r="BL479" s="499">
        <f t="shared" si="680"/>
        <v>29.110348999999999</v>
      </c>
      <c r="BM479" s="499">
        <f t="shared" si="681"/>
        <v>1120.2209439999999</v>
      </c>
      <c r="BO479" s="499">
        <f t="shared" si="682"/>
        <v>80</v>
      </c>
      <c r="BP479" s="499">
        <f t="shared" si="683"/>
        <v>16.430109999999999</v>
      </c>
      <c r="BQ479" s="5">
        <f t="shared" si="676"/>
        <v>0</v>
      </c>
      <c r="BR479" s="499">
        <f t="shared" si="684"/>
        <v>22.45729133870967</v>
      </c>
      <c r="BS479" s="499">
        <f t="shared" si="685"/>
        <v>1120.2209439999999</v>
      </c>
      <c r="BU479" s="499">
        <f t="shared" si="686"/>
        <v>80</v>
      </c>
      <c r="BV479" s="499">
        <f t="shared" si="687"/>
        <v>16.430109999999999</v>
      </c>
      <c r="BW479" s="5">
        <f t="shared" si="677"/>
        <v>1</v>
      </c>
      <c r="BX479" s="499">
        <f t="shared" si="688"/>
        <v>28.180226358912471</v>
      </c>
      <c r="BY479" s="499">
        <f t="shared" si="689"/>
        <v>1120.2209439999999</v>
      </c>
      <c r="CA479">
        <v>80</v>
      </c>
      <c r="CB479">
        <v>16.430109999999999</v>
      </c>
      <c r="CC479">
        <v>1</v>
      </c>
      <c r="CD479">
        <v>25.58829188</v>
      </c>
      <c r="CE479">
        <v>1120.2209439999999</v>
      </c>
      <c r="CG479" s="499">
        <f t="shared" si="690"/>
        <v>1</v>
      </c>
      <c r="CH479" s="499">
        <f t="shared" si="691"/>
        <v>0</v>
      </c>
      <c r="CI479" s="499">
        <f t="shared" si="692"/>
        <v>1</v>
      </c>
      <c r="CJ479" s="499">
        <f t="shared" si="693"/>
        <v>1</v>
      </c>
      <c r="CP479" s="499"/>
      <c r="CQ479" s="65">
        <f t="shared" si="695"/>
        <v>2.7427102023392137E-2</v>
      </c>
      <c r="CR479" s="499">
        <f t="shared" si="696"/>
        <v>0.97777784512658816</v>
      </c>
      <c r="CS479" s="499">
        <f t="shared" si="697"/>
        <v>5.7477150805188296E-2</v>
      </c>
      <c r="CT479" s="38">
        <f t="shared" si="698"/>
        <v>35.650060450887487</v>
      </c>
      <c r="CU479" s="498">
        <f t="shared" si="699"/>
        <v>2.0956333905115807</v>
      </c>
    </row>
    <row r="480" spans="43:99">
      <c r="AQ480" s="499"/>
      <c r="AR480" s="228">
        <v>26.794280000000001</v>
      </c>
      <c r="AS480" s="13">
        <v>378</v>
      </c>
      <c r="AT480" s="13">
        <v>16.399768000000002</v>
      </c>
      <c r="AU480" s="13">
        <f t="shared" si="710"/>
        <v>0</v>
      </c>
      <c r="AV480" s="13">
        <f t="shared" si="701"/>
        <v>26.771375201612905</v>
      </c>
      <c r="AW480" s="13">
        <f t="shared" si="702"/>
        <v>19.973688709677422</v>
      </c>
      <c r="AX480" s="13">
        <f t="shared" si="703"/>
        <v>26.56373015273352</v>
      </c>
      <c r="AY480" s="13">
        <v>1000.118677</v>
      </c>
      <c r="AZ480" s="13">
        <f t="shared" si="704"/>
        <v>6.7976864919354831</v>
      </c>
      <c r="BA480" s="13">
        <f t="shared" si="705"/>
        <v>0.20764504887938529</v>
      </c>
      <c r="BB480" s="97">
        <f t="shared" si="706"/>
        <v>2.2904798387095582E-2</v>
      </c>
      <c r="BC480" s="499"/>
      <c r="BD480" s="499">
        <v>17.95</v>
      </c>
      <c r="BE480" s="499">
        <v>26.920167540322577</v>
      </c>
      <c r="BF480" s="499">
        <v>20.122892741935484</v>
      </c>
      <c r="BG480" s="499">
        <v>26.580487242271069</v>
      </c>
      <c r="BI480" s="499">
        <f t="shared" ref="BI480:BJ480" si="731">AS483</f>
        <v>240</v>
      </c>
      <c r="BJ480" s="499">
        <f t="shared" si="731"/>
        <v>16.440778999999999</v>
      </c>
      <c r="BK480" s="5">
        <f t="shared" si="679"/>
        <v>1</v>
      </c>
      <c r="BL480" s="499">
        <f t="shared" si="680"/>
        <v>28.380026000000001</v>
      </c>
      <c r="BM480" s="499">
        <f t="shared" si="681"/>
        <v>722.94109800000001</v>
      </c>
      <c r="BO480" s="499">
        <f t="shared" si="682"/>
        <v>240</v>
      </c>
      <c r="BP480" s="499">
        <f t="shared" si="683"/>
        <v>16.440778999999999</v>
      </c>
      <c r="BQ480" s="5">
        <f t="shared" si="676"/>
        <v>0</v>
      </c>
      <c r="BR480" s="499">
        <f t="shared" si="684"/>
        <v>22.279427209677412</v>
      </c>
      <c r="BS480" s="499">
        <f t="shared" si="685"/>
        <v>722.94109800000001</v>
      </c>
      <c r="BU480" s="499">
        <f t="shared" si="686"/>
        <v>240</v>
      </c>
      <c r="BV480" s="499">
        <f t="shared" si="687"/>
        <v>16.440778999999999</v>
      </c>
      <c r="BW480" s="5">
        <f t="shared" si="677"/>
        <v>1</v>
      </c>
      <c r="BX480" s="499">
        <f t="shared" si="688"/>
        <v>28.120285684107728</v>
      </c>
      <c r="BY480" s="499">
        <f t="shared" si="689"/>
        <v>722.94109800000001</v>
      </c>
      <c r="CA480">
        <v>240</v>
      </c>
      <c r="CB480">
        <v>16.440778999999999</v>
      </c>
      <c r="CC480">
        <v>1</v>
      </c>
      <c r="CD480">
        <v>24.79458305</v>
      </c>
      <c r="CE480">
        <v>722.94109800000001</v>
      </c>
      <c r="CG480" s="499">
        <f t="shared" si="690"/>
        <v>1</v>
      </c>
      <c r="CH480" s="499">
        <f t="shared" si="691"/>
        <v>0</v>
      </c>
      <c r="CI480" s="499">
        <f t="shared" si="692"/>
        <v>1</v>
      </c>
      <c r="CJ480" s="499">
        <f t="shared" si="693"/>
        <v>1</v>
      </c>
      <c r="CP480" s="499"/>
      <c r="CQ480" s="65">
        <f t="shared" si="695"/>
        <v>7.6875693582149313E-5</v>
      </c>
      <c r="CR480" s="499">
        <f t="shared" si="696"/>
        <v>0.95673882510989117</v>
      </c>
      <c r="CS480" s="499">
        <f t="shared" si="697"/>
        <v>4.8775734396030806E-4</v>
      </c>
      <c r="CT480" s="38">
        <f t="shared" si="698"/>
        <v>12445.270807053217</v>
      </c>
      <c r="CU480" s="498">
        <f t="shared" si="699"/>
        <v>6.3447537346650522</v>
      </c>
    </row>
    <row r="481" spans="43:99">
      <c r="AQ481" s="499"/>
      <c r="AR481" s="228">
        <v>26.138141999999998</v>
      </c>
      <c r="AS481" s="13">
        <v>374</v>
      </c>
      <c r="AT481" s="13">
        <v>16.415299000000001</v>
      </c>
      <c r="AU481" s="13">
        <f t="shared" si="710"/>
        <v>0</v>
      </c>
      <c r="AV481" s="13">
        <f t="shared" si="701"/>
        <v>24.895776612903227</v>
      </c>
      <c r="AW481" s="13">
        <f t="shared" si="702"/>
        <v>19.685229637096775</v>
      </c>
      <c r="AX481" s="13">
        <f t="shared" si="703"/>
        <v>24.507254497261908</v>
      </c>
      <c r="AY481" s="13">
        <v>725.90938900000003</v>
      </c>
      <c r="AZ481" s="13">
        <f t="shared" si="704"/>
        <v>5.2105469758064515</v>
      </c>
      <c r="BA481" s="13">
        <f t="shared" si="705"/>
        <v>0.38852211564131878</v>
      </c>
      <c r="BB481" s="97">
        <f t="shared" si="706"/>
        <v>1.2423653870967719</v>
      </c>
      <c r="BC481" s="499"/>
      <c r="BD481" s="499">
        <v>17.75</v>
      </c>
      <c r="BE481" s="499">
        <v>26.924039717741937</v>
      </c>
      <c r="BF481" s="499">
        <v>20.091244758064509</v>
      </c>
      <c r="BG481" s="499">
        <v>26.58622644663004</v>
      </c>
      <c r="BI481" s="499">
        <f t="shared" ref="BI481:BJ481" si="732">AS484</f>
        <v>425</v>
      </c>
      <c r="BJ481" s="499">
        <f t="shared" si="732"/>
        <v>16.477353000000001</v>
      </c>
      <c r="BK481" s="5">
        <f t="shared" si="679"/>
        <v>1</v>
      </c>
      <c r="BL481" s="499">
        <f t="shared" si="680"/>
        <v>28.276401</v>
      </c>
      <c r="BM481" s="499">
        <f t="shared" si="681"/>
        <v>999.92338600000005</v>
      </c>
      <c r="BO481" s="499">
        <f t="shared" si="682"/>
        <v>425</v>
      </c>
      <c r="BP481" s="499">
        <f t="shared" si="683"/>
        <v>16.477353000000001</v>
      </c>
      <c r="BQ481" s="5">
        <f t="shared" si="676"/>
        <v>0</v>
      </c>
      <c r="BR481" s="499">
        <f t="shared" si="684"/>
        <v>21.940640717741939</v>
      </c>
      <c r="BS481" s="499">
        <f t="shared" si="685"/>
        <v>999.92338600000005</v>
      </c>
      <c r="BU481" s="499">
        <f t="shared" si="686"/>
        <v>425</v>
      </c>
      <c r="BV481" s="499">
        <f t="shared" si="687"/>
        <v>16.477353000000001</v>
      </c>
      <c r="BW481" s="5">
        <f t="shared" si="677"/>
        <v>1</v>
      </c>
      <c r="BX481" s="499">
        <f t="shared" si="688"/>
        <v>27.921628291101122</v>
      </c>
      <c r="BY481" s="499">
        <f t="shared" si="689"/>
        <v>999.92338600000005</v>
      </c>
      <c r="CA481">
        <v>425</v>
      </c>
      <c r="CB481">
        <v>16.477353000000001</v>
      </c>
      <c r="CC481">
        <v>1</v>
      </c>
      <c r="CD481">
        <v>24.929057830000001</v>
      </c>
      <c r="CE481">
        <v>999.92338600000005</v>
      </c>
      <c r="CG481" s="499">
        <f t="shared" si="690"/>
        <v>1</v>
      </c>
      <c r="CH481" s="499">
        <f t="shared" si="691"/>
        <v>0</v>
      </c>
      <c r="CI481" s="499">
        <f t="shared" si="692"/>
        <v>1</v>
      </c>
      <c r="CJ481" s="499">
        <f t="shared" si="693"/>
        <v>1</v>
      </c>
      <c r="CP481" s="499"/>
      <c r="CQ481" s="65">
        <f t="shared" si="695"/>
        <v>3.2799622406486513E-4</v>
      </c>
      <c r="CR481" s="499">
        <f t="shared" si="696"/>
        <v>0.96321909036788045</v>
      </c>
      <c r="CS481" s="499">
        <f t="shared" si="697"/>
        <v>5.4941294538909133E-4</v>
      </c>
      <c r="CT481" s="38">
        <f t="shared" si="698"/>
        <v>2936.6773752169552</v>
      </c>
      <c r="CU481" s="498">
        <f t="shared" si="699"/>
        <v>1.6750587509215913</v>
      </c>
    </row>
    <row r="482" spans="43:99">
      <c r="AQ482" s="499"/>
      <c r="AR482" s="228">
        <v>29.110348999999999</v>
      </c>
      <c r="AS482" s="13">
        <v>80</v>
      </c>
      <c r="AT482" s="13">
        <v>16.430109999999999</v>
      </c>
      <c r="AU482" s="13">
        <f t="shared" si="710"/>
        <v>0</v>
      </c>
      <c r="AV482" s="13">
        <f t="shared" si="701"/>
        <v>26.870594153225809</v>
      </c>
      <c r="AW482" s="13">
        <f t="shared" si="702"/>
        <v>20.21753649193548</v>
      </c>
      <c r="AX482" s="13">
        <f t="shared" si="703"/>
        <v>25.940471512138281</v>
      </c>
      <c r="AY482" s="13">
        <v>1120.2209439999999</v>
      </c>
      <c r="AZ482" s="13">
        <f t="shared" si="704"/>
        <v>6.6530576612903296</v>
      </c>
      <c r="BA482" s="13">
        <f t="shared" si="705"/>
        <v>0.93012264108752873</v>
      </c>
      <c r="BB482" s="97">
        <f t="shared" si="706"/>
        <v>2.2397548467741899</v>
      </c>
      <c r="BC482" s="499"/>
      <c r="BD482" s="499">
        <v>17.55</v>
      </c>
      <c r="BE482" s="499">
        <v>26.899445161290327</v>
      </c>
      <c r="BF482" s="499">
        <v>20.079749395161297</v>
      </c>
      <c r="BG482" s="499">
        <v>26.562737781391931</v>
      </c>
      <c r="BI482" s="499">
        <f t="shared" ref="BI482:BJ482" si="733">AS485</f>
        <v>22</v>
      </c>
      <c r="BJ482" s="499">
        <f t="shared" si="733"/>
        <v>16.549129000000001</v>
      </c>
      <c r="BK482" s="5">
        <f t="shared" si="679"/>
        <v>1</v>
      </c>
      <c r="BL482" s="499">
        <f t="shared" si="680"/>
        <v>29.392731999999999</v>
      </c>
      <c r="BM482" s="499">
        <f t="shared" si="681"/>
        <v>604.68997200000001</v>
      </c>
      <c r="BO482" s="499">
        <f t="shared" si="682"/>
        <v>22</v>
      </c>
      <c r="BP482" s="499">
        <f t="shared" si="683"/>
        <v>16.549129000000001</v>
      </c>
      <c r="BQ482" s="5">
        <f t="shared" si="676"/>
        <v>0</v>
      </c>
      <c r="BR482" s="499">
        <f t="shared" si="684"/>
        <v>22.746158612903233</v>
      </c>
      <c r="BS482" s="499">
        <f t="shared" si="685"/>
        <v>604.68997200000001</v>
      </c>
      <c r="BU482" s="499">
        <f t="shared" si="686"/>
        <v>22</v>
      </c>
      <c r="BV482" s="499">
        <f t="shared" si="687"/>
        <v>16.549129000000001</v>
      </c>
      <c r="BW482" s="5">
        <f t="shared" si="677"/>
        <v>1</v>
      </c>
      <c r="BX482" s="499">
        <f t="shared" si="688"/>
        <v>28.242761833052707</v>
      </c>
      <c r="BY482" s="499">
        <f t="shared" si="689"/>
        <v>604.68997200000001</v>
      </c>
      <c r="CA482">
        <v>22</v>
      </c>
      <c r="CB482">
        <v>16.549129000000001</v>
      </c>
      <c r="CC482">
        <v>1</v>
      </c>
      <c r="CD482">
        <v>25.003360950000001</v>
      </c>
      <c r="CE482">
        <v>604.68997200000001</v>
      </c>
      <c r="CG482" s="499">
        <f t="shared" si="690"/>
        <v>1</v>
      </c>
      <c r="CH482" s="499">
        <f t="shared" si="691"/>
        <v>0</v>
      </c>
      <c r="CI482" s="499">
        <f t="shared" si="692"/>
        <v>1</v>
      </c>
      <c r="CJ482" s="499">
        <f t="shared" si="693"/>
        <v>1</v>
      </c>
      <c r="CP482" s="499"/>
      <c r="CQ482" s="65">
        <f t="shared" si="695"/>
        <v>4.0295166311835246E-4</v>
      </c>
      <c r="CR482" s="499">
        <f t="shared" si="696"/>
        <v>0.9708184794760909</v>
      </c>
      <c r="CS482" s="499">
        <f t="shared" si="697"/>
        <v>8.1508177243465665E-4</v>
      </c>
      <c r="CT482" s="38">
        <f t="shared" si="698"/>
        <v>2409.267831191326</v>
      </c>
      <c r="CU482" s="498">
        <f t="shared" si="699"/>
        <v>2.0227780327965936</v>
      </c>
    </row>
    <row r="483" spans="43:99">
      <c r="AQ483" s="499"/>
      <c r="AR483" s="228">
        <v>28.380026000000001</v>
      </c>
      <c r="AS483" s="13">
        <v>240</v>
      </c>
      <c r="AT483" s="13">
        <v>16.440778999999999</v>
      </c>
      <c r="AU483" s="13">
        <f t="shared" si="710"/>
        <v>0</v>
      </c>
      <c r="AV483" s="13">
        <f t="shared" si="701"/>
        <v>26.511909274193552</v>
      </c>
      <c r="AW483" s="13">
        <f t="shared" si="702"/>
        <v>20.411310483870963</v>
      </c>
      <c r="AX483" s="13">
        <f t="shared" si="703"/>
        <v>26.252168958301279</v>
      </c>
      <c r="AY483" s="13">
        <v>722.94109800000001</v>
      </c>
      <c r="AZ483" s="13">
        <f t="shared" si="704"/>
        <v>6.1005987903225893</v>
      </c>
      <c r="BA483" s="13">
        <f t="shared" si="705"/>
        <v>0.25974031589227309</v>
      </c>
      <c r="BB483" s="97">
        <f t="shared" si="706"/>
        <v>1.8681167258064484</v>
      </c>
      <c r="BC483" s="499"/>
      <c r="BD483" s="499">
        <v>17.350000000000001</v>
      </c>
      <c r="BE483" s="499">
        <v>26.932224798387107</v>
      </c>
      <c r="BF483" s="499">
        <v>20.094072782258067</v>
      </c>
      <c r="BG483" s="499">
        <v>26.594917177834251</v>
      </c>
      <c r="BI483" s="499">
        <f t="shared" ref="BI483:BJ483" si="734">AS486</f>
        <v>51</v>
      </c>
      <c r="BJ483" s="499">
        <f t="shared" si="734"/>
        <v>16.577107000000002</v>
      </c>
      <c r="BK483" s="5">
        <f t="shared" si="679"/>
        <v>1</v>
      </c>
      <c r="BL483" s="499">
        <f t="shared" si="680"/>
        <v>29.333949</v>
      </c>
      <c r="BM483" s="499">
        <f t="shared" si="681"/>
        <v>1000.322087</v>
      </c>
      <c r="BO483" s="499">
        <f t="shared" si="682"/>
        <v>51</v>
      </c>
      <c r="BP483" s="499">
        <f t="shared" si="683"/>
        <v>16.577107000000002</v>
      </c>
      <c r="BQ483" s="5">
        <f t="shared" si="676"/>
        <v>0</v>
      </c>
      <c r="BR483" s="499">
        <f t="shared" si="684"/>
        <v>22.732830854838699</v>
      </c>
      <c r="BS483" s="499">
        <f t="shared" si="685"/>
        <v>1000.322087</v>
      </c>
      <c r="BU483" s="499">
        <f t="shared" si="686"/>
        <v>51</v>
      </c>
      <c r="BV483" s="499">
        <f t="shared" si="687"/>
        <v>16.577107000000002</v>
      </c>
      <c r="BW483" s="5">
        <f t="shared" si="677"/>
        <v>1</v>
      </c>
      <c r="BX483" s="499">
        <f t="shared" si="688"/>
        <v>28.038002091030517</v>
      </c>
      <c r="BY483" s="499">
        <f t="shared" si="689"/>
        <v>1000.322087</v>
      </c>
      <c r="CA483">
        <v>51</v>
      </c>
      <c r="CB483">
        <v>16.577107000000002</v>
      </c>
      <c r="CC483">
        <v>1</v>
      </c>
      <c r="CD483">
        <v>25.001963530000001</v>
      </c>
      <c r="CE483">
        <v>1000.322087</v>
      </c>
      <c r="CG483" s="499">
        <f t="shared" si="690"/>
        <v>1</v>
      </c>
      <c r="CH483" s="499">
        <f t="shared" si="691"/>
        <v>0</v>
      </c>
      <c r="CI483" s="499">
        <f t="shared" si="692"/>
        <v>1</v>
      </c>
      <c r="CJ483" s="499">
        <f t="shared" si="693"/>
        <v>1</v>
      </c>
      <c r="CP483" s="499"/>
      <c r="CQ483" s="65">
        <f t="shared" si="695"/>
        <v>4.3866919229553928E-5</v>
      </c>
      <c r="CR483" s="499">
        <f t="shared" si="696"/>
        <v>0.94026535727553084</v>
      </c>
      <c r="CS483" s="499">
        <f t="shared" si="697"/>
        <v>4.3079199643494457E-4</v>
      </c>
      <c r="CT483" s="38">
        <f t="shared" si="698"/>
        <v>21434.497197196772</v>
      </c>
      <c r="CU483" s="498">
        <f t="shared" si="699"/>
        <v>9.8204296996701856</v>
      </c>
    </row>
    <row r="484" spans="43:99">
      <c r="AQ484" s="499"/>
      <c r="AR484" s="228">
        <v>28.276401</v>
      </c>
      <c r="AS484" s="13">
        <v>425</v>
      </c>
      <c r="AT484" s="13">
        <v>16.477353000000001</v>
      </c>
      <c r="AU484" s="13">
        <f t="shared" si="710"/>
        <v>0</v>
      </c>
      <c r="AV484" s="13">
        <f t="shared" si="701"/>
        <v>26.875644153225807</v>
      </c>
      <c r="AW484" s="13">
        <f t="shared" si="702"/>
        <v>20.539883870967746</v>
      </c>
      <c r="AX484" s="13">
        <f t="shared" si="703"/>
        <v>26.520871444326929</v>
      </c>
      <c r="AY484" s="13">
        <v>999.92338600000005</v>
      </c>
      <c r="AZ484" s="13">
        <f t="shared" si="704"/>
        <v>6.335760282258061</v>
      </c>
      <c r="BA484" s="13">
        <f t="shared" si="705"/>
        <v>0.35477270889887791</v>
      </c>
      <c r="BB484" s="97">
        <f t="shared" si="706"/>
        <v>1.4007568467741933</v>
      </c>
      <c r="BC484" s="499"/>
      <c r="BD484" s="499">
        <v>17.149999999999999</v>
      </c>
      <c r="BE484" s="499">
        <v>26.962559475806454</v>
      </c>
      <c r="BF484" s="499">
        <v>20.128814919354841</v>
      </c>
      <c r="BG484" s="499">
        <v>26.628656158557693</v>
      </c>
      <c r="BI484" s="499">
        <f t="shared" ref="BI484:BJ484" si="735">AS487</f>
        <v>434</v>
      </c>
      <c r="BJ484" s="499">
        <f t="shared" si="735"/>
        <v>16.606290999999999</v>
      </c>
      <c r="BK484" s="5">
        <f t="shared" si="679"/>
        <v>1</v>
      </c>
      <c r="BL484" s="499">
        <f t="shared" si="680"/>
        <v>26.261299999999999</v>
      </c>
      <c r="BM484" s="499">
        <f t="shared" si="681"/>
        <v>1000.421721</v>
      </c>
      <c r="BO484" s="499">
        <f t="shared" si="682"/>
        <v>434</v>
      </c>
      <c r="BP484" s="499">
        <f t="shared" si="683"/>
        <v>16.606290999999999</v>
      </c>
      <c r="BQ484" s="5">
        <f t="shared" si="676"/>
        <v>0</v>
      </c>
      <c r="BR484" s="499">
        <f t="shared" si="684"/>
        <v>19.804309475806466</v>
      </c>
      <c r="BS484" s="499">
        <f t="shared" si="685"/>
        <v>1000.421721</v>
      </c>
      <c r="BU484" s="499">
        <f t="shared" si="686"/>
        <v>434</v>
      </c>
      <c r="BV484" s="499">
        <f t="shared" si="687"/>
        <v>16.606290999999999</v>
      </c>
      <c r="BW484" s="5">
        <f t="shared" si="677"/>
        <v>1</v>
      </c>
      <c r="BX484" s="499">
        <f t="shared" si="688"/>
        <v>25.24761285396653</v>
      </c>
      <c r="BY484" s="499">
        <f t="shared" si="689"/>
        <v>1000.421721</v>
      </c>
      <c r="CA484">
        <v>434</v>
      </c>
      <c r="CB484">
        <v>16.606290999999999</v>
      </c>
      <c r="CC484">
        <v>0</v>
      </c>
      <c r="CD484">
        <v>22.82717165</v>
      </c>
      <c r="CE484">
        <v>1000.421721</v>
      </c>
      <c r="CG484" s="499">
        <f t="shared" si="690"/>
        <v>1</v>
      </c>
      <c r="CH484" s="499">
        <f t="shared" si="691"/>
        <v>0</v>
      </c>
      <c r="CI484" s="499">
        <f t="shared" si="692"/>
        <v>1</v>
      </c>
      <c r="CJ484" s="499">
        <f t="shared" si="693"/>
        <v>0</v>
      </c>
      <c r="CP484" s="499"/>
      <c r="CQ484" s="65">
        <f t="shared" si="695"/>
        <v>4.9301282145833492E-5</v>
      </c>
      <c r="CR484" s="499">
        <f t="shared" si="696"/>
        <v>0.94123519090210694</v>
      </c>
      <c r="CS484" s="499">
        <f t="shared" si="697"/>
        <v>6.4693046511544072E-4</v>
      </c>
      <c r="CT484" s="38">
        <f t="shared" si="698"/>
        <v>19091.495189068868</v>
      </c>
      <c r="CU484" s="498">
        <f t="shared" si="699"/>
        <v>13.121980544072191</v>
      </c>
    </row>
    <row r="485" spans="43:99">
      <c r="AQ485" s="499"/>
      <c r="AR485" s="228">
        <v>29.392731999999999</v>
      </c>
      <c r="AS485" s="13">
        <v>22</v>
      </c>
      <c r="AT485" s="13">
        <v>16.549129000000001</v>
      </c>
      <c r="AU485" s="13">
        <f t="shared" si="710"/>
        <v>0</v>
      </c>
      <c r="AV485" s="13">
        <f t="shared" si="701"/>
        <v>26.375551008064512</v>
      </c>
      <c r="AW485" s="13">
        <f t="shared" si="702"/>
        <v>19.728977620967747</v>
      </c>
      <c r="AX485" s="13">
        <f t="shared" si="703"/>
        <v>25.225580841117221</v>
      </c>
      <c r="AY485" s="13">
        <v>604.68997200000001</v>
      </c>
      <c r="AZ485" s="13">
        <f t="shared" si="704"/>
        <v>6.6465733870967654</v>
      </c>
      <c r="BA485" s="13">
        <f t="shared" si="705"/>
        <v>1.1499701669472913</v>
      </c>
      <c r="BB485" s="97">
        <f t="shared" si="706"/>
        <v>3.0171809919354864</v>
      </c>
      <c r="BC485" s="499"/>
      <c r="BD485" s="499">
        <v>16.95</v>
      </c>
      <c r="BE485" s="499">
        <v>26.987124193548389</v>
      </c>
      <c r="BF485" s="499">
        <v>20.163751612903223</v>
      </c>
      <c r="BG485" s="499">
        <v>26.659935708727108</v>
      </c>
      <c r="BI485" s="499">
        <f t="shared" ref="BI485:BJ485" si="736">AS488</f>
        <v>177</v>
      </c>
      <c r="BJ485" s="499">
        <f t="shared" si="736"/>
        <v>16.728104999999999</v>
      </c>
      <c r="BK485" s="5">
        <f t="shared" si="679"/>
        <v>1</v>
      </c>
      <c r="BL485" s="499">
        <f t="shared" si="680"/>
        <v>26.52779</v>
      </c>
      <c r="BM485" s="499">
        <f t="shared" si="681"/>
        <v>1192.4855190000001</v>
      </c>
      <c r="BO485" s="499">
        <f t="shared" si="682"/>
        <v>177</v>
      </c>
      <c r="BP485" s="499">
        <f t="shared" si="683"/>
        <v>16.728104999999999</v>
      </c>
      <c r="BQ485" s="5">
        <f t="shared" si="676"/>
        <v>0</v>
      </c>
      <c r="BR485" s="499">
        <f t="shared" si="684"/>
        <v>19.891767620967741</v>
      </c>
      <c r="BS485" s="499">
        <f t="shared" si="685"/>
        <v>1192.4855190000001</v>
      </c>
      <c r="BU485" s="499">
        <f t="shared" si="686"/>
        <v>177</v>
      </c>
      <c r="BV485" s="499">
        <f t="shared" si="687"/>
        <v>16.728104999999999</v>
      </c>
      <c r="BW485" s="5">
        <f t="shared" si="677"/>
        <v>1</v>
      </c>
      <c r="BX485" s="499">
        <f t="shared" si="688"/>
        <v>25.923483273173673</v>
      </c>
      <c r="BY485" s="499">
        <f t="shared" si="689"/>
        <v>1192.4855190000001</v>
      </c>
      <c r="CA485">
        <v>177</v>
      </c>
      <c r="CB485">
        <v>16.728104999999999</v>
      </c>
      <c r="CC485">
        <v>0</v>
      </c>
      <c r="CD485">
        <v>22.911832740000001</v>
      </c>
      <c r="CE485">
        <v>1192.4855190000001</v>
      </c>
      <c r="CG485" s="499">
        <f t="shared" si="690"/>
        <v>1</v>
      </c>
      <c r="CH485" s="499">
        <f t="shared" si="691"/>
        <v>0</v>
      </c>
      <c r="CI485" s="499">
        <f t="shared" si="692"/>
        <v>1</v>
      </c>
      <c r="CJ485" s="499">
        <f t="shared" si="693"/>
        <v>0</v>
      </c>
      <c r="CP485" s="499"/>
      <c r="CQ485" s="65">
        <f t="shared" si="695"/>
        <v>2.1605138564361016E-2</v>
      </c>
      <c r="CR485" s="499">
        <f t="shared" si="696"/>
        <v>0.97874373686875449</v>
      </c>
      <c r="CS485" s="499">
        <f t="shared" si="697"/>
        <v>0.14160864106852405</v>
      </c>
      <c r="CT485" s="38">
        <f t="shared" si="698"/>
        <v>45.301432987949056</v>
      </c>
      <c r="CU485" s="498">
        <f t="shared" si="699"/>
        <v>6.5543963370878853</v>
      </c>
    </row>
    <row r="486" spans="43:99">
      <c r="AQ486" s="499"/>
      <c r="AR486" s="228">
        <v>29.333949</v>
      </c>
      <c r="AS486" s="13">
        <v>51</v>
      </c>
      <c r="AT486" s="13">
        <v>16.577107000000002</v>
      </c>
      <c r="AU486" s="13">
        <f t="shared" si="710"/>
        <v>0</v>
      </c>
      <c r="AV486" s="13">
        <f t="shared" si="701"/>
        <v>26.327117137096781</v>
      </c>
      <c r="AW486" s="13">
        <f t="shared" si="702"/>
        <v>19.72599899193548</v>
      </c>
      <c r="AX486" s="13">
        <f t="shared" si="703"/>
        <v>25.031170228127298</v>
      </c>
      <c r="AY486" s="13">
        <v>1000.322087</v>
      </c>
      <c r="AZ486" s="13">
        <f t="shared" si="704"/>
        <v>6.6011181451613012</v>
      </c>
      <c r="BA486" s="13">
        <f t="shared" si="705"/>
        <v>1.2959469089694835</v>
      </c>
      <c r="BB486" s="97">
        <f t="shared" si="706"/>
        <v>3.0068318629032191</v>
      </c>
      <c r="BC486" s="499"/>
      <c r="BD486" s="499">
        <v>16.75</v>
      </c>
      <c r="BE486" s="499">
        <v>27.00395221774194</v>
      </c>
      <c r="BF486" s="499">
        <v>20.224954435483856</v>
      </c>
      <c r="BG486" s="499">
        <v>26.687532624088824</v>
      </c>
      <c r="BI486" s="499">
        <f t="shared" ref="BI486:BJ486" si="737">AS489</f>
        <v>335</v>
      </c>
      <c r="BJ486" s="499">
        <f t="shared" si="737"/>
        <v>16.847607</v>
      </c>
      <c r="BK486" s="5">
        <f t="shared" si="679"/>
        <v>1</v>
      </c>
      <c r="BL486" s="499">
        <f t="shared" si="680"/>
        <v>29.666878000000001</v>
      </c>
      <c r="BM486" s="499">
        <f t="shared" si="681"/>
        <v>907.17723699999999</v>
      </c>
      <c r="BO486" s="499">
        <f t="shared" si="682"/>
        <v>335</v>
      </c>
      <c r="BP486" s="499">
        <f t="shared" si="683"/>
        <v>16.847607</v>
      </c>
      <c r="BQ486" s="5">
        <f t="shared" si="676"/>
        <v>0</v>
      </c>
      <c r="BR486" s="499">
        <f t="shared" si="684"/>
        <v>22.853531225806442</v>
      </c>
      <c r="BS486" s="499">
        <f t="shared" si="685"/>
        <v>907.17723699999999</v>
      </c>
      <c r="BU486" s="499">
        <f t="shared" si="686"/>
        <v>335</v>
      </c>
      <c r="BV486" s="499">
        <f t="shared" si="687"/>
        <v>16.847607</v>
      </c>
      <c r="BW486" s="5">
        <f t="shared" si="677"/>
        <v>1</v>
      </c>
      <c r="BX486" s="499">
        <f t="shared" si="688"/>
        <v>29.413962203078402</v>
      </c>
      <c r="BY486" s="499">
        <f t="shared" si="689"/>
        <v>907.17723699999999</v>
      </c>
      <c r="CA486">
        <v>335</v>
      </c>
      <c r="CB486">
        <v>16.847607</v>
      </c>
      <c r="CC486">
        <v>1</v>
      </c>
      <c r="CD486">
        <v>26.780706110000001</v>
      </c>
      <c r="CE486">
        <v>907.17723699999999</v>
      </c>
      <c r="CG486" s="499">
        <f t="shared" si="690"/>
        <v>1</v>
      </c>
      <c r="CH486" s="499">
        <f t="shared" si="691"/>
        <v>0</v>
      </c>
      <c r="CI486" s="499">
        <f t="shared" si="692"/>
        <v>1</v>
      </c>
      <c r="CJ486" s="499">
        <f t="shared" si="693"/>
        <v>1</v>
      </c>
      <c r="CP486" s="499"/>
      <c r="CQ486" s="65">
        <f t="shared" si="695"/>
        <v>1.2839941169738548E-2</v>
      </c>
      <c r="CR486" s="499">
        <f t="shared" si="696"/>
        <v>0.97872167543190003</v>
      </c>
      <c r="CS486" s="499">
        <f t="shared" si="697"/>
        <v>4.139834404762565E-2</v>
      </c>
      <c r="CT486" s="38">
        <f t="shared" si="698"/>
        <v>76.224778797162443</v>
      </c>
      <c r="CU486" s="498">
        <f t="shared" si="699"/>
        <v>3.2241848697246498</v>
      </c>
    </row>
    <row r="487" spans="43:99">
      <c r="AQ487" s="499"/>
      <c r="AR487" s="228">
        <v>26.261299999999999</v>
      </c>
      <c r="AS487" s="13">
        <v>434</v>
      </c>
      <c r="AT487" s="13">
        <v>16.606290999999999</v>
      </c>
      <c r="AU487" s="13">
        <f t="shared" si="710"/>
        <v>0</v>
      </c>
      <c r="AV487" s="13">
        <f t="shared" si="701"/>
        <v>26.525042741935483</v>
      </c>
      <c r="AW487" s="13">
        <f t="shared" si="702"/>
        <v>20.06805221774195</v>
      </c>
      <c r="AX487" s="13">
        <f t="shared" si="703"/>
        <v>25.511355595902014</v>
      </c>
      <c r="AY487" s="13">
        <v>1000.421721</v>
      </c>
      <c r="AZ487" s="13">
        <f t="shared" si="704"/>
        <v>6.4569905241935324</v>
      </c>
      <c r="BA487" s="13">
        <f t="shared" si="705"/>
        <v>1.0136871460334689</v>
      </c>
      <c r="BB487" s="97">
        <f t="shared" si="706"/>
        <v>-0.2637427419354843</v>
      </c>
      <c r="BC487" s="499"/>
      <c r="BD487" s="499">
        <v>16.55</v>
      </c>
      <c r="BE487" s="499">
        <v>26.994313911290316</v>
      </c>
      <c r="BF487" s="499">
        <v>20.243123790322574</v>
      </c>
      <c r="BG487" s="499">
        <v>26.709445530293038</v>
      </c>
      <c r="BI487" s="499">
        <f t="shared" ref="BI487:BJ487" si="738">AS490</f>
        <v>464</v>
      </c>
      <c r="BJ487" s="499">
        <f t="shared" si="738"/>
        <v>16.934895999999998</v>
      </c>
      <c r="BK487" s="5">
        <f t="shared" si="679"/>
        <v>1</v>
      </c>
      <c r="BL487" s="499">
        <f t="shared" si="680"/>
        <v>26.52779</v>
      </c>
      <c r="BM487" s="499">
        <f t="shared" si="681"/>
        <v>1000.333602</v>
      </c>
      <c r="BO487" s="499">
        <f t="shared" si="682"/>
        <v>464</v>
      </c>
      <c r="BP487" s="499">
        <f t="shared" si="683"/>
        <v>16.934895999999998</v>
      </c>
      <c r="BQ487" s="5">
        <f t="shared" si="676"/>
        <v>0</v>
      </c>
      <c r="BR487" s="499">
        <f t="shared" si="684"/>
        <v>19.594455120967737</v>
      </c>
      <c r="BS487" s="499">
        <f t="shared" si="685"/>
        <v>1000.333602</v>
      </c>
      <c r="BU487" s="499">
        <f t="shared" si="686"/>
        <v>464</v>
      </c>
      <c r="BV487" s="499">
        <f t="shared" si="687"/>
        <v>16.934895999999998</v>
      </c>
      <c r="BW487" s="5">
        <f t="shared" si="677"/>
        <v>1</v>
      </c>
      <c r="BX487" s="499">
        <f t="shared" si="688"/>
        <v>26.124179145094821</v>
      </c>
      <c r="BY487" s="499">
        <f t="shared" si="689"/>
        <v>1000.333602</v>
      </c>
      <c r="CA487">
        <v>464</v>
      </c>
      <c r="CB487">
        <v>16.934895999999998</v>
      </c>
      <c r="CC487">
        <v>0</v>
      </c>
      <c r="CD487">
        <v>22.476403850000001</v>
      </c>
      <c r="CE487">
        <v>1000.333602</v>
      </c>
      <c r="CG487" s="499">
        <f t="shared" si="690"/>
        <v>1</v>
      </c>
      <c r="CH487" s="499">
        <f t="shared" si="691"/>
        <v>0</v>
      </c>
      <c r="CI487" s="499">
        <f t="shared" si="692"/>
        <v>1</v>
      </c>
      <c r="CJ487" s="499">
        <f t="shared" si="693"/>
        <v>0</v>
      </c>
      <c r="CP487" s="499"/>
      <c r="CQ487" s="65">
        <f t="shared" si="695"/>
        <v>2.5444059806123252E-5</v>
      </c>
      <c r="CR487" s="499">
        <f t="shared" si="696"/>
        <v>0.93153123417000994</v>
      </c>
      <c r="CS487" s="499">
        <f t="shared" si="697"/>
        <v>4.2055086146564752E-5</v>
      </c>
      <c r="CT487" s="38">
        <f t="shared" si="698"/>
        <v>36610.951289535638</v>
      </c>
      <c r="CU487" s="498">
        <f t="shared" si="699"/>
        <v>1.6528449652694168</v>
      </c>
    </row>
    <row r="488" spans="43:99">
      <c r="AQ488" s="499"/>
      <c r="AR488" s="228">
        <v>26.52779</v>
      </c>
      <c r="AS488" s="13">
        <v>177</v>
      </c>
      <c r="AT488" s="13">
        <v>16.728104999999999</v>
      </c>
      <c r="AU488" s="13">
        <f t="shared" si="710"/>
        <v>0</v>
      </c>
      <c r="AV488" s="13">
        <f t="shared" si="701"/>
        <v>26.377921774193549</v>
      </c>
      <c r="AW488" s="13">
        <f t="shared" si="702"/>
        <v>19.74189939516129</v>
      </c>
      <c r="AX488" s="13">
        <f t="shared" si="703"/>
        <v>25.773615047367223</v>
      </c>
      <c r="AY488" s="13">
        <v>1192.4855190000001</v>
      </c>
      <c r="AZ488" s="13">
        <f t="shared" si="704"/>
        <v>6.6360223790322586</v>
      </c>
      <c r="BA488" s="13">
        <f t="shared" si="705"/>
        <v>0.60430672682632647</v>
      </c>
      <c r="BB488" s="97">
        <f t="shared" si="706"/>
        <v>0.14986822580645054</v>
      </c>
      <c r="BC488" s="499"/>
      <c r="BD488" s="499">
        <v>16.350000000000001</v>
      </c>
      <c r="BE488" s="499">
        <v>26.939703830645165</v>
      </c>
      <c r="BF488" s="499">
        <v>20.265008467741943</v>
      </c>
      <c r="BG488" s="499">
        <v>26.67378239367217</v>
      </c>
      <c r="BI488" s="499">
        <f t="shared" ref="BI488:BJ488" si="739">AS491</f>
        <v>340</v>
      </c>
      <c r="BJ488" s="499">
        <f t="shared" si="739"/>
        <v>16.959654</v>
      </c>
      <c r="BK488" s="5">
        <f t="shared" si="679"/>
        <v>1</v>
      </c>
      <c r="BL488" s="499">
        <f t="shared" si="680"/>
        <v>26.261299999999999</v>
      </c>
      <c r="BM488" s="499">
        <f t="shared" si="681"/>
        <v>1000.555668</v>
      </c>
      <c r="BO488" s="499">
        <f t="shared" si="682"/>
        <v>340</v>
      </c>
      <c r="BP488" s="499">
        <f t="shared" si="683"/>
        <v>16.959654</v>
      </c>
      <c r="BQ488" s="5">
        <f t="shared" si="676"/>
        <v>0</v>
      </c>
      <c r="BR488" s="499">
        <f t="shared" si="684"/>
        <v>19.98093064516129</v>
      </c>
      <c r="BS488" s="499">
        <f t="shared" si="685"/>
        <v>1000.555668</v>
      </c>
      <c r="BU488" s="499">
        <f t="shared" si="686"/>
        <v>340</v>
      </c>
      <c r="BV488" s="499">
        <f t="shared" si="687"/>
        <v>16.959654</v>
      </c>
      <c r="BW488" s="5">
        <f t="shared" si="677"/>
        <v>1</v>
      </c>
      <c r="BX488" s="499">
        <f t="shared" si="688"/>
        <v>25.024558482432951</v>
      </c>
      <c r="BY488" s="499">
        <f t="shared" si="689"/>
        <v>1000.555668</v>
      </c>
      <c r="CA488">
        <v>340</v>
      </c>
      <c r="CB488">
        <v>16.959654</v>
      </c>
      <c r="CC488">
        <v>0</v>
      </c>
      <c r="CD488">
        <v>22.800014269999998</v>
      </c>
      <c r="CE488">
        <v>1000.555668</v>
      </c>
      <c r="CG488" s="499">
        <f t="shared" si="690"/>
        <v>1</v>
      </c>
      <c r="CH488" s="499">
        <f t="shared" si="691"/>
        <v>0</v>
      </c>
      <c r="CI488" s="499">
        <f t="shared" si="692"/>
        <v>1</v>
      </c>
      <c r="CJ488" s="499">
        <f t="shared" si="693"/>
        <v>0</v>
      </c>
      <c r="CP488" s="499"/>
      <c r="CQ488" s="65">
        <f t="shared" si="695"/>
        <v>1.2839941169738548E-2</v>
      </c>
      <c r="CR488" s="499">
        <f t="shared" si="696"/>
        <v>0.9787833737507845</v>
      </c>
      <c r="CS488" s="499">
        <f t="shared" si="697"/>
        <v>2.8176445229816389E-2</v>
      </c>
      <c r="CT488" s="38">
        <f t="shared" si="698"/>
        <v>76.229583984200985</v>
      </c>
      <c r="CU488" s="498">
        <f t="shared" si="699"/>
        <v>2.194437253047798</v>
      </c>
    </row>
    <row r="489" spans="43:99">
      <c r="AQ489" s="499"/>
      <c r="AR489" s="228">
        <v>29.666878000000001</v>
      </c>
      <c r="AS489" s="13">
        <v>335</v>
      </c>
      <c r="AT489" s="13">
        <v>16.847607</v>
      </c>
      <c r="AU489" s="13">
        <f t="shared" si="710"/>
        <v>0</v>
      </c>
      <c r="AV489" s="13">
        <f t="shared" si="701"/>
        <v>26.651279435483872</v>
      </c>
      <c r="AW489" s="13">
        <f t="shared" si="702"/>
        <v>19.837932661290314</v>
      </c>
      <c r="AX489" s="13">
        <f t="shared" si="703"/>
        <v>26.398363638562273</v>
      </c>
      <c r="AY489" s="13">
        <v>907.17723699999999</v>
      </c>
      <c r="AZ489" s="13">
        <f t="shared" si="704"/>
        <v>6.8133467741935583</v>
      </c>
      <c r="BA489" s="13">
        <f t="shared" si="705"/>
        <v>0.25291579692159871</v>
      </c>
      <c r="BB489" s="97">
        <f t="shared" si="706"/>
        <v>3.0155985645161287</v>
      </c>
      <c r="BC489" s="499"/>
      <c r="BD489" s="499">
        <v>16.149999999999999</v>
      </c>
      <c r="BE489" s="499">
        <v>26.924991129032254</v>
      </c>
      <c r="BF489" s="499">
        <v>20.294874798387099</v>
      </c>
      <c r="BG489" s="499">
        <v>26.674870031565931</v>
      </c>
    </row>
    <row r="490" spans="43:99">
      <c r="AQ490" s="499"/>
      <c r="AR490" s="228">
        <v>26.52779</v>
      </c>
      <c r="AS490" s="13">
        <v>464</v>
      </c>
      <c r="AT490" s="13">
        <v>16.934895999999998</v>
      </c>
      <c r="AU490" s="13">
        <f t="shared" si="710"/>
        <v>0</v>
      </c>
      <c r="AV490" s="13">
        <f t="shared" si="701"/>
        <v>26.71898850806452</v>
      </c>
      <c r="AW490" s="13">
        <f t="shared" si="702"/>
        <v>19.785653629032257</v>
      </c>
      <c r="AX490" s="13">
        <f t="shared" si="703"/>
        <v>26.315377653159342</v>
      </c>
      <c r="AY490" s="13">
        <v>1000.333602</v>
      </c>
      <c r="AZ490" s="13">
        <f t="shared" si="704"/>
        <v>6.9333348790322624</v>
      </c>
      <c r="BA490" s="13">
        <f t="shared" si="705"/>
        <v>0.40361085490517823</v>
      </c>
      <c r="BB490" s="97">
        <f t="shared" si="706"/>
        <v>-0.19119850806452021</v>
      </c>
      <c r="BC490" s="499"/>
      <c r="BD490" s="499">
        <v>15.95</v>
      </c>
      <c r="BE490" s="499">
        <v>26.727590322580649</v>
      </c>
      <c r="BF490" s="499">
        <v>20.279268145161289</v>
      </c>
      <c r="BG490" s="499">
        <v>26.491621871318682</v>
      </c>
    </row>
    <row r="491" spans="43:99" ht="15" thickBot="1">
      <c r="AQ491" s="499"/>
      <c r="AR491" s="229">
        <v>26.261299999999999</v>
      </c>
      <c r="AS491" s="42">
        <v>340</v>
      </c>
      <c r="AT491" s="42">
        <v>16.959654</v>
      </c>
      <c r="AU491" s="42">
        <f t="shared" si="710"/>
        <v>0</v>
      </c>
      <c r="AV491" s="42">
        <f t="shared" si="701"/>
        <v>26.206397379032254</v>
      </c>
      <c r="AW491" s="42">
        <f t="shared" si="702"/>
        <v>19.926028024193545</v>
      </c>
      <c r="AX491" s="42">
        <f t="shared" si="703"/>
        <v>24.969655861465206</v>
      </c>
      <c r="AY491" s="42">
        <v>1000.555668</v>
      </c>
      <c r="AZ491" s="42">
        <f t="shared" si="704"/>
        <v>6.2803693548387081</v>
      </c>
      <c r="BA491" s="42">
        <f t="shared" si="705"/>
        <v>1.2367415175670473</v>
      </c>
      <c r="BB491" s="102">
        <f t="shared" si="706"/>
        <v>5.4902620967745008E-2</v>
      </c>
      <c r="BC491" s="499"/>
      <c r="BD491" s="499">
        <v>15.75</v>
      </c>
      <c r="BE491" s="499">
        <v>26.74029576612903</v>
      </c>
      <c r="BF491" s="499">
        <v>20.276919959677418</v>
      </c>
      <c r="BG491" s="499">
        <v>26.466178985247257</v>
      </c>
    </row>
    <row r="492" spans="43:99">
      <c r="BC492" s="499"/>
      <c r="BD492" s="499">
        <v>15.55</v>
      </c>
      <c r="BE492" s="499">
        <v>26.761159072580632</v>
      </c>
      <c r="BF492" s="499">
        <v>20.352488709677417</v>
      </c>
      <c r="BG492" s="499">
        <v>26.513365856446878</v>
      </c>
    </row>
    <row r="493" spans="43:99">
      <c r="BC493" s="499"/>
      <c r="BD493" s="499">
        <v>15.35</v>
      </c>
      <c r="BE493" s="499">
        <v>26.775997782258056</v>
      </c>
      <c r="BF493" s="499">
        <v>20.423838306451618</v>
      </c>
      <c r="BG493" s="499">
        <v>26.550474760091582</v>
      </c>
    </row>
    <row r="494" spans="43:99">
      <c r="BC494" s="499"/>
      <c r="BD494" s="499">
        <v>15.15</v>
      </c>
      <c r="BE494" s="499">
        <v>26.788656451612908</v>
      </c>
      <c r="BF494" s="499">
        <v>20.461306250000007</v>
      </c>
      <c r="BG494" s="499">
        <v>26.582884121309526</v>
      </c>
    </row>
    <row r="495" spans="43:99">
      <c r="BC495" s="499"/>
      <c r="BD495" s="499">
        <v>14.95</v>
      </c>
      <c r="BE495" s="499">
        <v>26.797434072580636</v>
      </c>
      <c r="BF495" s="499">
        <v>20.441168548387093</v>
      </c>
      <c r="BG495" s="499">
        <v>26.608941876442302</v>
      </c>
    </row>
    <row r="496" spans="43:99">
      <c r="BC496" s="499"/>
      <c r="BD496" s="499">
        <v>14.75</v>
      </c>
      <c r="BE496" s="499">
        <v>26.805299596774194</v>
      </c>
      <c r="BF496" s="499">
        <v>20.509431250000009</v>
      </c>
      <c r="BG496" s="499">
        <v>26.622402103594318</v>
      </c>
    </row>
    <row r="497" spans="42:59">
      <c r="BC497" s="499"/>
      <c r="BD497" s="499">
        <v>14.55</v>
      </c>
      <c r="BE497" s="499">
        <v>26.797493951612903</v>
      </c>
      <c r="BF497" s="499">
        <v>20.481283064516127</v>
      </c>
      <c r="BG497" s="499">
        <v>26.610696106053112</v>
      </c>
    </row>
    <row r="498" spans="42:59">
      <c r="AP498"/>
      <c r="AR498"/>
      <c r="AS498"/>
      <c r="BC498" s="499"/>
      <c r="BD498" s="499">
        <v>14.35</v>
      </c>
      <c r="BE498" s="499">
        <v>26.823198991935477</v>
      </c>
      <c r="BF498" s="499">
        <v>20.491268346774199</v>
      </c>
      <c r="BG498" s="499">
        <v>26.639793252577839</v>
      </c>
    </row>
    <row r="499" spans="42:59">
      <c r="AP499"/>
      <c r="AR499"/>
      <c r="AS499"/>
      <c r="BC499" s="499"/>
      <c r="BD499" s="499">
        <v>14.15</v>
      </c>
      <c r="BE499" s="499">
        <v>26.827507459677424</v>
      </c>
      <c r="BF499" s="499">
        <v>20.44753346774193</v>
      </c>
      <c r="BG499" s="499">
        <v>26.632654292426732</v>
      </c>
    </row>
    <row r="500" spans="42:59">
      <c r="AP500"/>
      <c r="AR500"/>
      <c r="AS500"/>
      <c r="BC500" s="499"/>
      <c r="BD500" s="499">
        <v>13.95</v>
      </c>
      <c r="BE500" s="499">
        <v>26.878777822580638</v>
      </c>
      <c r="BF500" s="499">
        <v>20.461358870967743</v>
      </c>
      <c r="BG500" s="499">
        <v>26.681427203223443</v>
      </c>
    </row>
    <row r="501" spans="42:59">
      <c r="AP501"/>
      <c r="AR501"/>
      <c r="AS501"/>
      <c r="BC501" s="499"/>
      <c r="BD501" s="499">
        <v>13.75</v>
      </c>
      <c r="BE501" s="499">
        <v>26.905710282258067</v>
      </c>
      <c r="BF501" s="499">
        <v>20.439855645161291</v>
      </c>
      <c r="BG501" s="499">
        <v>26.713050535425825</v>
      </c>
    </row>
    <row r="502" spans="42:59">
      <c r="AP502"/>
      <c r="AR502"/>
      <c r="AS502"/>
      <c r="BC502" s="499"/>
      <c r="BD502" s="499">
        <v>13.55</v>
      </c>
      <c r="BE502" s="499">
        <v>26.865263306451617</v>
      </c>
      <c r="BF502" s="499">
        <v>20.433212903225805</v>
      </c>
      <c r="BG502" s="499">
        <v>26.692437732087914</v>
      </c>
    </row>
    <row r="503" spans="42:59">
      <c r="AP503"/>
      <c r="AR503"/>
      <c r="AS503"/>
      <c r="BC503" s="499"/>
      <c r="BD503" s="499">
        <v>13.35</v>
      </c>
      <c r="BE503" s="499">
        <v>26.699702419354839</v>
      </c>
      <c r="BF503" s="499">
        <v>20.402465322580639</v>
      </c>
      <c r="BG503" s="499">
        <v>26.579006110109898</v>
      </c>
    </row>
    <row r="504" spans="42:59">
      <c r="AP504"/>
      <c r="AR504"/>
      <c r="AS504"/>
      <c r="BC504" s="499"/>
      <c r="BD504" s="499">
        <v>13.15</v>
      </c>
      <c r="BE504" s="499">
        <v>26.643011290322576</v>
      </c>
      <c r="BF504" s="499">
        <v>20.35622318548387</v>
      </c>
      <c r="BG504" s="499">
        <v>26.537479397161182</v>
      </c>
    </row>
    <row r="505" spans="42:59">
      <c r="AP505"/>
      <c r="AR505"/>
      <c r="AS505"/>
      <c r="BC505" s="499"/>
      <c r="BD505" s="499">
        <v>12.95</v>
      </c>
      <c r="BE505" s="499">
        <v>26.54510181451613</v>
      </c>
      <c r="BF505" s="499">
        <v>20.320010080645151</v>
      </c>
      <c r="BG505" s="499">
        <v>26.473416181891022</v>
      </c>
    </row>
    <row r="506" spans="42:59">
      <c r="AP506"/>
      <c r="AR506"/>
      <c r="AS506"/>
      <c r="BC506" s="499"/>
      <c r="BD506" s="499">
        <v>12.75</v>
      </c>
      <c r="BE506" s="499">
        <v>26.538371169354839</v>
      </c>
      <c r="BF506" s="499">
        <v>20.289773588709675</v>
      </c>
      <c r="BG506" s="499">
        <v>26.498778605421244</v>
      </c>
    </row>
    <row r="507" spans="42:59">
      <c r="AP507"/>
      <c r="AR507"/>
      <c r="AS507"/>
      <c r="BC507" s="499"/>
      <c r="BD507" s="499">
        <v>12.55</v>
      </c>
      <c r="BE507" s="499">
        <v>26.633877016129027</v>
      </c>
      <c r="BF507" s="499">
        <v>20.262250806451611</v>
      </c>
      <c r="BG507" s="499">
        <v>26.588446180141943</v>
      </c>
    </row>
    <row r="508" spans="42:59">
      <c r="AP508"/>
      <c r="AR508"/>
      <c r="AS508"/>
      <c r="BC508" s="499"/>
      <c r="BD508" s="499">
        <v>12.35</v>
      </c>
      <c r="BE508" s="499">
        <v>26.738397177419351</v>
      </c>
      <c r="BF508" s="499">
        <v>20.270686088709674</v>
      </c>
      <c r="BG508" s="499">
        <v>26.677338326249998</v>
      </c>
    </row>
    <row r="509" spans="42:59">
      <c r="AP509"/>
      <c r="AR509"/>
      <c r="AS509"/>
      <c r="BC509" s="499"/>
      <c r="BD509" s="499">
        <v>12.15</v>
      </c>
      <c r="BE509" s="499">
        <v>26.839154435483866</v>
      </c>
      <c r="BF509" s="499">
        <v>20.244427419354846</v>
      </c>
      <c r="BG509" s="499">
        <v>26.762730694500917</v>
      </c>
    </row>
    <row r="510" spans="42:59">
      <c r="AP510"/>
      <c r="AR510"/>
      <c r="AS510"/>
      <c r="BC510" s="499"/>
      <c r="BD510" s="499">
        <v>11.95</v>
      </c>
      <c r="BE510" s="499">
        <v>26.942573991935479</v>
      </c>
      <c r="BF510" s="499">
        <v>20.212218346774193</v>
      </c>
      <c r="BG510" s="499">
        <v>26.849824336039372</v>
      </c>
    </row>
    <row r="511" spans="42:59">
      <c r="AP511"/>
      <c r="AR511"/>
      <c r="AS511"/>
      <c r="BC511" s="499"/>
      <c r="BD511" s="499">
        <v>11.75</v>
      </c>
      <c r="BE511" s="499">
        <v>27.021915120967751</v>
      </c>
      <c r="BF511" s="499">
        <v>20.191501411290325</v>
      </c>
      <c r="BG511" s="499">
        <v>26.914897833676743</v>
      </c>
    </row>
    <row r="512" spans="42:59">
      <c r="AP512"/>
      <c r="AR512"/>
      <c r="AS512"/>
      <c r="BC512" s="499"/>
      <c r="BD512" s="499">
        <v>11.55</v>
      </c>
      <c r="BE512" s="499">
        <v>27.076113508064513</v>
      </c>
      <c r="BF512" s="499">
        <v>20.198076008064518</v>
      </c>
      <c r="BG512" s="499">
        <v>26.959823757728941</v>
      </c>
    </row>
    <row r="513" spans="42:59">
      <c r="AP513"/>
      <c r="AR513"/>
      <c r="AS513"/>
      <c r="BC513" s="499"/>
      <c r="BD513" s="499">
        <v>11.35</v>
      </c>
      <c r="BE513" s="499">
        <v>27.150159475806444</v>
      </c>
      <c r="BF513" s="499">
        <v>20.194942943548394</v>
      </c>
      <c r="BG513" s="499">
        <v>27.020396973099821</v>
      </c>
    </row>
    <row r="514" spans="42:59">
      <c r="AP514"/>
      <c r="AR514"/>
      <c r="AS514"/>
      <c r="BC514" s="499"/>
      <c r="BD514" s="499">
        <v>11.15</v>
      </c>
      <c r="BE514" s="499">
        <v>27.205684072580652</v>
      </c>
      <c r="BF514" s="499">
        <v>20.174013911290324</v>
      </c>
      <c r="BG514" s="499">
        <v>27.056465620824167</v>
      </c>
    </row>
    <row r="515" spans="42:59">
      <c r="AP515"/>
      <c r="AR515"/>
      <c r="AS515"/>
      <c r="BC515" s="499"/>
      <c r="BD515" s="499">
        <v>10.95</v>
      </c>
      <c r="BE515" s="499">
        <v>27.241526411290319</v>
      </c>
      <c r="BF515" s="499">
        <v>20.155241129032255</v>
      </c>
      <c r="BG515" s="499">
        <v>27.031705044308616</v>
      </c>
    </row>
    <row r="516" spans="42:59">
      <c r="AP516"/>
      <c r="AR516"/>
      <c r="AS516"/>
      <c r="BC516" s="499"/>
      <c r="BD516" s="499">
        <v>10.75</v>
      </c>
      <c r="BE516" s="499">
        <v>27.288394354838712</v>
      </c>
      <c r="BF516" s="499">
        <v>20.175579435483872</v>
      </c>
      <c r="BG516" s="499">
        <v>27.086769933923996</v>
      </c>
    </row>
    <row r="517" spans="42:59">
      <c r="AP517"/>
      <c r="AR517"/>
      <c r="AS517"/>
      <c r="BC517" s="499"/>
      <c r="BD517" s="499">
        <v>10.55</v>
      </c>
      <c r="BE517" s="499">
        <v>27.356804032258069</v>
      </c>
      <c r="BF517" s="499">
        <v>20.23154233870968</v>
      </c>
      <c r="BG517" s="499">
        <v>27.151153537234432</v>
      </c>
    </row>
    <row r="518" spans="42:59">
      <c r="AP518"/>
      <c r="AR518"/>
      <c r="AS518"/>
      <c r="BC518" s="499"/>
      <c r="BD518" s="499">
        <v>10.35</v>
      </c>
      <c r="BE518" s="499">
        <v>27.413713911290323</v>
      </c>
      <c r="BF518" s="499">
        <v>20.286108467741936</v>
      </c>
      <c r="BG518" s="499">
        <v>27.200633248173073</v>
      </c>
    </row>
    <row r="519" spans="42:59">
      <c r="AP519"/>
      <c r="AR519"/>
      <c r="AS519"/>
      <c r="BC519" s="499"/>
      <c r="BD519" s="499">
        <v>10.15</v>
      </c>
      <c r="BE519" s="499">
        <v>27.492270766129039</v>
      </c>
      <c r="BF519" s="499">
        <v>20.379344758064516</v>
      </c>
      <c r="BG519" s="499">
        <v>27.273335974597071</v>
      </c>
    </row>
    <row r="520" spans="42:59">
      <c r="AP520"/>
      <c r="AR520"/>
      <c r="AS520"/>
      <c r="BC520" s="499"/>
      <c r="BD520" s="499">
        <v>9.9499999999999993</v>
      </c>
      <c r="BE520" s="499">
        <v>27.600829637096773</v>
      </c>
      <c r="BF520" s="499">
        <v>20.492970967741929</v>
      </c>
      <c r="BG520" s="499">
        <v>27.377026420270141</v>
      </c>
    </row>
    <row r="521" spans="42:59">
      <c r="AP521"/>
      <c r="AR521"/>
      <c r="AS521"/>
      <c r="BC521" s="499"/>
      <c r="BD521" s="499">
        <v>9.75</v>
      </c>
      <c r="BE521" s="499">
        <v>27.693318346774198</v>
      </c>
      <c r="BF521" s="499">
        <v>20.591176411290313</v>
      </c>
      <c r="BG521" s="499">
        <v>27.463285828374541</v>
      </c>
    </row>
    <row r="522" spans="42:59">
      <c r="AP522"/>
      <c r="AR522"/>
      <c r="AS522"/>
      <c r="BC522" s="499"/>
      <c r="BD522" s="499">
        <v>9.5500000000000007</v>
      </c>
      <c r="BE522" s="499">
        <v>27.779887298387106</v>
      </c>
      <c r="BF522" s="499">
        <v>20.662847379032247</v>
      </c>
      <c r="BG522" s="499">
        <v>27.540726203846141</v>
      </c>
    </row>
    <row r="523" spans="42:59">
      <c r="AP523"/>
      <c r="AR523"/>
      <c r="AS523"/>
      <c r="BC523" s="499"/>
      <c r="BD523" s="499">
        <v>9.35</v>
      </c>
      <c r="BE523" s="499">
        <v>27.880920766129027</v>
      </c>
      <c r="BF523" s="499">
        <v>20.718233467741936</v>
      </c>
      <c r="BG523" s="499">
        <v>27.63275739427198</v>
      </c>
    </row>
    <row r="524" spans="42:59">
      <c r="AP524"/>
      <c r="AR524"/>
      <c r="AS524"/>
      <c r="BC524" s="499"/>
      <c r="BD524" s="499">
        <v>9.15</v>
      </c>
      <c r="BE524" s="499">
        <v>27.497282661290321</v>
      </c>
      <c r="BF524" s="499">
        <v>20.852339112903227</v>
      </c>
      <c r="BG524" s="499">
        <v>27.408233412509148</v>
      </c>
    </row>
    <row r="525" spans="42:59">
      <c r="AP525"/>
      <c r="AR525"/>
      <c r="AS525"/>
      <c r="BC525" s="499"/>
      <c r="BD525" s="499">
        <v>8.9499999999999993</v>
      </c>
      <c r="BE525" s="499">
        <v>27.598211491935491</v>
      </c>
      <c r="BF525" s="499">
        <v>20.85307862903225</v>
      </c>
      <c r="BG525" s="499">
        <v>27.497600931858972</v>
      </c>
    </row>
    <row r="526" spans="42:59">
      <c r="AP526"/>
      <c r="AR526"/>
      <c r="AS526"/>
      <c r="BC526" s="499"/>
      <c r="BD526" s="499">
        <v>8.75</v>
      </c>
      <c r="BE526" s="499">
        <v>27.679566330645169</v>
      </c>
      <c r="BF526" s="499">
        <v>20.961884677419349</v>
      </c>
      <c r="BG526" s="499">
        <v>27.573971306314107</v>
      </c>
    </row>
    <row r="527" spans="42:59">
      <c r="AP527"/>
      <c r="AR527"/>
      <c r="AS527"/>
      <c r="BC527" s="499"/>
      <c r="BD527" s="499">
        <v>8.5500000000000007</v>
      </c>
      <c r="BE527" s="499">
        <v>27.735170766129023</v>
      </c>
      <c r="BF527" s="499">
        <v>21.068280645161291</v>
      </c>
      <c r="BG527" s="499">
        <v>27.626741619917574</v>
      </c>
    </row>
    <row r="528" spans="42:59">
      <c r="AP528"/>
      <c r="AR528"/>
      <c r="AS528"/>
      <c r="BC528" s="499"/>
      <c r="BD528" s="499">
        <v>8.35</v>
      </c>
      <c r="BE528" s="499">
        <v>27.751438508064521</v>
      </c>
      <c r="BF528" s="499">
        <v>21.097704233870971</v>
      </c>
      <c r="BG528" s="499">
        <v>27.63875635419414</v>
      </c>
    </row>
    <row r="529" spans="42:59">
      <c r="AP529"/>
      <c r="AR529"/>
      <c r="AS529"/>
      <c r="BC529" s="499"/>
      <c r="BD529" s="499">
        <v>8.15</v>
      </c>
      <c r="BE529" s="499">
        <v>27.661160080645153</v>
      </c>
      <c r="BF529" s="499">
        <v>21.079961693548388</v>
      </c>
      <c r="BG529" s="499">
        <v>27.577913650993594</v>
      </c>
    </row>
    <row r="530" spans="42:59">
      <c r="AP530"/>
      <c r="AR530"/>
      <c r="AS530"/>
      <c r="BC530" s="499"/>
      <c r="BD530" s="499">
        <v>7.95</v>
      </c>
      <c r="BE530" s="499">
        <v>27.751457862903226</v>
      </c>
      <c r="BF530" s="499">
        <v>21.134617943548392</v>
      </c>
      <c r="BG530" s="499">
        <v>27.669795065036634</v>
      </c>
    </row>
    <row r="531" spans="42:59">
      <c r="AP531"/>
      <c r="AR531"/>
      <c r="AS531"/>
      <c r="BC531" s="499"/>
      <c r="BD531" s="499">
        <v>7.75</v>
      </c>
      <c r="BE531" s="499">
        <v>27.827992943548377</v>
      </c>
      <c r="BF531" s="499">
        <v>21.195999999999998</v>
      </c>
      <c r="BG531" s="499">
        <v>27.746837240027471</v>
      </c>
    </row>
    <row r="532" spans="42:59">
      <c r="AP532"/>
      <c r="AR532"/>
      <c r="AS532"/>
      <c r="BC532" s="499"/>
      <c r="BD532" s="499">
        <v>7.55</v>
      </c>
      <c r="BE532" s="499">
        <v>27.882071975806454</v>
      </c>
      <c r="BF532" s="499">
        <v>21.318393750000006</v>
      </c>
      <c r="BG532" s="499">
        <v>27.801571826570513</v>
      </c>
    </row>
    <row r="533" spans="42:59">
      <c r="AP533"/>
      <c r="AR533"/>
      <c r="AS533"/>
      <c r="BC533" s="499"/>
      <c r="BD533" s="499">
        <v>7.35</v>
      </c>
      <c r="BE533" s="499">
        <v>27.882069153225803</v>
      </c>
      <c r="BF533" s="499">
        <v>21.377736088709675</v>
      </c>
      <c r="BG533" s="499">
        <v>27.808544881277466</v>
      </c>
    </row>
    <row r="534" spans="42:59">
      <c r="AP534"/>
      <c r="AR534"/>
      <c r="AS534"/>
      <c r="BC534" s="499"/>
      <c r="BD534" s="499">
        <v>7.15</v>
      </c>
      <c r="BE534" s="499">
        <v>27.742197580645165</v>
      </c>
      <c r="BF534" s="499">
        <v>21.327839112903227</v>
      </c>
      <c r="BG534" s="499">
        <v>27.676699765421255</v>
      </c>
    </row>
    <row r="535" spans="42:59">
      <c r="AP535"/>
      <c r="AR535"/>
      <c r="AS535"/>
      <c r="BC535" s="499"/>
      <c r="BD535" s="499">
        <v>6.95</v>
      </c>
      <c r="BE535" s="499">
        <v>27.743156653225814</v>
      </c>
      <c r="BF535" s="499">
        <v>21.28310907258064</v>
      </c>
      <c r="BG535" s="499">
        <v>27.675725853402014</v>
      </c>
    </row>
    <row r="536" spans="42:59">
      <c r="AP536"/>
      <c r="AR536"/>
      <c r="AS536"/>
      <c r="BC536" s="499"/>
      <c r="BD536" s="499">
        <v>6.75</v>
      </c>
      <c r="BE536" s="499">
        <v>27.823176612903232</v>
      </c>
      <c r="BF536" s="499">
        <v>21.259182661290332</v>
      </c>
      <c r="BG536" s="499">
        <v>27.745176495004589</v>
      </c>
    </row>
    <row r="537" spans="42:59">
      <c r="AP537"/>
      <c r="AR537"/>
      <c r="AS537"/>
      <c r="BC537" s="499"/>
      <c r="BD537" s="499">
        <v>6.55</v>
      </c>
      <c r="BE537" s="499">
        <v>27.875208467741931</v>
      </c>
      <c r="BF537" s="499">
        <v>21.318159677419359</v>
      </c>
      <c r="BG537" s="499">
        <v>27.78990658575092</v>
      </c>
    </row>
    <row r="538" spans="42:59">
      <c r="AP538"/>
      <c r="AR538"/>
      <c r="AS538"/>
      <c r="BC538" s="499"/>
      <c r="BD538" s="499">
        <v>6.35</v>
      </c>
      <c r="BE538" s="499">
        <v>27.887632258064524</v>
      </c>
      <c r="BF538" s="499">
        <v>21.308967943548385</v>
      </c>
      <c r="BG538" s="499">
        <v>27.793905222225277</v>
      </c>
    </row>
    <row r="539" spans="42:59">
      <c r="AP539"/>
      <c r="AR539"/>
      <c r="AS539"/>
      <c r="BC539" s="499"/>
      <c r="BD539" s="499">
        <v>6.15</v>
      </c>
      <c r="BE539" s="499">
        <v>27.987693346774201</v>
      </c>
      <c r="BF539" s="499">
        <v>21.373419354838699</v>
      </c>
      <c r="BG539" s="499">
        <v>27.878942111446889</v>
      </c>
    </row>
    <row r="540" spans="42:59">
      <c r="AP540"/>
      <c r="AR540"/>
      <c r="AS540"/>
      <c r="BC540" s="499"/>
      <c r="BD540" s="499">
        <v>5.95</v>
      </c>
      <c r="BE540" s="499">
        <v>28.074919153225803</v>
      </c>
      <c r="BF540" s="499">
        <v>21.441346370967732</v>
      </c>
      <c r="BG540" s="499">
        <v>27.951334227788465</v>
      </c>
    </row>
    <row r="541" spans="42:59">
      <c r="AP541"/>
      <c r="AR541"/>
      <c r="AS541"/>
      <c r="BC541" s="499"/>
      <c r="BD541" s="499">
        <v>5.75</v>
      </c>
      <c r="BE541" s="499">
        <v>28.139639314516138</v>
      </c>
      <c r="BF541" s="499">
        <v>21.507827016129031</v>
      </c>
      <c r="BG541" s="499">
        <v>28.00366393929945</v>
      </c>
    </row>
    <row r="542" spans="42:59">
      <c r="AP542"/>
      <c r="AR542"/>
      <c r="AS542"/>
      <c r="BC542" s="499"/>
      <c r="BD542" s="499">
        <v>5.55</v>
      </c>
      <c r="BE542" s="499">
        <v>28.186671572580636</v>
      </c>
      <c r="BF542" s="499">
        <v>21.546762701612902</v>
      </c>
      <c r="BG542" s="499">
        <v>28.038627677783879</v>
      </c>
    </row>
    <row r="543" spans="42:59">
      <c r="AP543"/>
      <c r="AR543"/>
      <c r="AS543"/>
      <c r="BC543" s="499"/>
      <c r="BD543" s="499">
        <v>5.35</v>
      </c>
      <c r="BE543" s="499">
        <v>28.228995766129035</v>
      </c>
      <c r="BF543" s="499">
        <v>21.581885685483872</v>
      </c>
      <c r="BG543" s="499">
        <v>28.070904214125459</v>
      </c>
    </row>
    <row r="544" spans="42:59">
      <c r="AP544"/>
      <c r="AR544"/>
      <c r="AS544"/>
      <c r="BC544" s="499"/>
      <c r="BD544" s="499">
        <v>5.15</v>
      </c>
      <c r="BE544" s="499">
        <v>28.282681048387104</v>
      </c>
      <c r="BF544" s="499">
        <v>21.630415927419346</v>
      </c>
      <c r="BG544" s="499">
        <v>28.111393641094317</v>
      </c>
    </row>
    <row r="545" spans="42:59">
      <c r="AP545"/>
      <c r="AR545"/>
      <c r="AS545"/>
      <c r="BC545" s="499"/>
      <c r="BD545" s="499">
        <v>4.95</v>
      </c>
      <c r="BE545" s="499">
        <v>28.328792540322578</v>
      </c>
      <c r="BF545" s="499">
        <v>21.626067943548378</v>
      </c>
      <c r="BG545" s="499">
        <v>28.14684906464743</v>
      </c>
    </row>
    <row r="546" spans="42:59">
      <c r="AP546"/>
      <c r="AR546"/>
      <c r="AS546"/>
      <c r="BC546" s="499"/>
      <c r="BD546" s="499">
        <v>4.75</v>
      </c>
      <c r="BE546" s="499">
        <v>28.364948588709673</v>
      </c>
      <c r="BF546" s="499">
        <v>21.602189516129037</v>
      </c>
      <c r="BG546" s="499">
        <v>28.174792686291202</v>
      </c>
    </row>
    <row r="547" spans="42:59">
      <c r="AP547"/>
      <c r="AR547"/>
      <c r="AS547"/>
      <c r="BC547" s="499"/>
      <c r="BD547" s="499">
        <v>4.55</v>
      </c>
      <c r="BE547" s="499">
        <v>28.404775000000004</v>
      </c>
      <c r="BF547" s="499">
        <v>21.575847379032258</v>
      </c>
      <c r="BG547" s="499">
        <v>28.207396738530214</v>
      </c>
    </row>
    <row r="548" spans="42:59">
      <c r="AP548"/>
      <c r="AR548"/>
      <c r="AS548"/>
      <c r="BC548" s="499"/>
      <c r="BD548" s="499">
        <v>4.3499999999999996</v>
      </c>
      <c r="BE548" s="499">
        <v>28.443400201612906</v>
      </c>
      <c r="BF548" s="499">
        <v>21.601725000000002</v>
      </c>
      <c r="BG548" s="499">
        <v>28.238586093891936</v>
      </c>
    </row>
    <row r="549" spans="42:59">
      <c r="AP549"/>
      <c r="AR549"/>
      <c r="AS549"/>
      <c r="BC549" s="499"/>
      <c r="BD549" s="499">
        <v>4.1500000000000004</v>
      </c>
      <c r="BE549" s="499">
        <v>28.483057459677418</v>
      </c>
      <c r="BF549" s="499">
        <v>21.589078629032254</v>
      </c>
      <c r="BG549" s="499">
        <v>28.269970185966127</v>
      </c>
    </row>
    <row r="550" spans="42:59">
      <c r="AP550"/>
      <c r="AR550"/>
      <c r="AS550"/>
      <c r="BC550" s="499"/>
      <c r="BD550" s="499">
        <v>3.95</v>
      </c>
      <c r="BE550" s="499">
        <v>28.516477822580654</v>
      </c>
      <c r="BF550" s="499">
        <v>21.61069274193548</v>
      </c>
      <c r="BG550" s="499">
        <v>28.291562338598908</v>
      </c>
    </row>
    <row r="551" spans="42:59">
      <c r="AP551"/>
      <c r="AR551"/>
      <c r="AS551"/>
      <c r="BC551" s="499"/>
      <c r="BD551" s="499">
        <v>3.75</v>
      </c>
      <c r="BE551" s="499">
        <v>28.529247177419361</v>
      </c>
      <c r="BF551" s="499">
        <v>21.598345564516126</v>
      </c>
      <c r="BG551" s="499">
        <v>28.278214420888286</v>
      </c>
    </row>
    <row r="552" spans="42:59">
      <c r="AP552"/>
      <c r="AR552"/>
      <c r="AS552"/>
      <c r="BC552" s="499"/>
      <c r="BD552" s="499">
        <v>3.55</v>
      </c>
      <c r="BE552" s="499">
        <v>28.573700604838706</v>
      </c>
      <c r="BF552" s="499">
        <v>21.582261693548393</v>
      </c>
      <c r="BG552" s="499">
        <v>28.320715594152929</v>
      </c>
    </row>
    <row r="553" spans="42:59">
      <c r="AP553"/>
      <c r="AR553"/>
      <c r="AS553"/>
      <c r="BC553" s="499"/>
      <c r="BD553" s="499">
        <v>3.35</v>
      </c>
      <c r="BE553" s="499">
        <v>28.622187298387086</v>
      </c>
      <c r="BF553" s="499">
        <v>21.611054637096778</v>
      </c>
      <c r="BG553" s="499">
        <v>28.368406487097072</v>
      </c>
    </row>
    <row r="554" spans="42:59">
      <c r="AP554"/>
      <c r="AR554"/>
      <c r="AS554"/>
      <c r="BC554" s="499"/>
      <c r="BD554" s="499">
        <v>3.15</v>
      </c>
      <c r="BE554" s="499">
        <v>28.665960282258052</v>
      </c>
      <c r="BF554" s="499">
        <v>21.640500201612902</v>
      </c>
      <c r="BG554" s="499">
        <v>28.411736776359902</v>
      </c>
    </row>
    <row r="555" spans="42:59">
      <c r="AP555"/>
      <c r="AR555"/>
      <c r="AS555"/>
      <c r="BC555" s="499"/>
      <c r="BD555" s="499">
        <v>2.95</v>
      </c>
      <c r="BE555" s="499">
        <v>28.70778487903225</v>
      </c>
      <c r="BF555" s="499">
        <v>21.643192741935472</v>
      </c>
      <c r="BG555" s="499">
        <v>28.454870227106227</v>
      </c>
    </row>
    <row r="556" spans="42:59">
      <c r="AP556"/>
      <c r="AR556"/>
      <c r="AS556"/>
      <c r="BC556" s="499"/>
      <c r="BD556" s="499">
        <v>2.75</v>
      </c>
      <c r="BE556" s="499">
        <v>28.745828830645159</v>
      </c>
      <c r="BF556" s="499">
        <v>21.611642540322581</v>
      </c>
      <c r="BG556" s="499">
        <v>28.493877927925819</v>
      </c>
    </row>
    <row r="557" spans="42:59">
      <c r="AP557"/>
      <c r="AR557"/>
      <c r="AS557"/>
      <c r="BC557" s="499"/>
      <c r="BD557" s="499">
        <v>2.5499999999999998</v>
      </c>
      <c r="BE557" s="499">
        <v>28.785509677419352</v>
      </c>
      <c r="BF557" s="499">
        <v>21.607186895161288</v>
      </c>
      <c r="BG557" s="499">
        <v>28.536230055869957</v>
      </c>
    </row>
    <row r="558" spans="42:59">
      <c r="AP558"/>
      <c r="AR558"/>
      <c r="AS558"/>
      <c r="BC558" s="499"/>
      <c r="BD558" s="499">
        <v>2.35</v>
      </c>
      <c r="BE558" s="499">
        <v>28.721269758064516</v>
      </c>
      <c r="BF558" s="499">
        <v>21.629438709677419</v>
      </c>
      <c r="BG558" s="499">
        <v>28.476785417880045</v>
      </c>
    </row>
    <row r="559" spans="42:59">
      <c r="AP559"/>
      <c r="AR559"/>
      <c r="AS559"/>
      <c r="BC559" s="499"/>
      <c r="BD559" s="499">
        <v>2.15</v>
      </c>
      <c r="BE559" s="499">
        <v>28.653915120967742</v>
      </c>
      <c r="BF559" s="499">
        <v>21.649516330645159</v>
      </c>
      <c r="BG559" s="499">
        <v>28.41483775974817</v>
      </c>
    </row>
    <row r="560" spans="42:59">
      <c r="AP560"/>
      <c r="AR560"/>
      <c r="AS560"/>
      <c r="BC560" s="499"/>
      <c r="BD560" s="499">
        <v>1.95</v>
      </c>
      <c r="BE560" s="499">
        <v>28.582743346774194</v>
      </c>
      <c r="BF560" s="499">
        <v>21.606342137096782</v>
      </c>
      <c r="BG560" s="499">
        <v>28.347397128168499</v>
      </c>
    </row>
    <row r="561" spans="42:59">
      <c r="AP561"/>
      <c r="AR561"/>
      <c r="AS561"/>
      <c r="BC561" s="499"/>
      <c r="BD561" s="499">
        <v>1.75</v>
      </c>
      <c r="BE561" s="499">
        <v>28.51481229838711</v>
      </c>
      <c r="BF561" s="499">
        <v>21.56636633064516</v>
      </c>
      <c r="BG561" s="499">
        <v>28.283597232390104</v>
      </c>
    </row>
    <row r="562" spans="42:59">
      <c r="AP562"/>
      <c r="AR562"/>
      <c r="AS562"/>
      <c r="BC562" s="499"/>
      <c r="BD562" s="499">
        <v>1.55</v>
      </c>
      <c r="BE562" s="499">
        <v>28.442593750000004</v>
      </c>
      <c r="BF562" s="499">
        <v>21.531406854838714</v>
      </c>
      <c r="BG562" s="499">
        <v>28.211256107641951</v>
      </c>
    </row>
    <row r="563" spans="42:59">
      <c r="AP563"/>
      <c r="AR563"/>
      <c r="AS563"/>
      <c r="BC563" s="499"/>
      <c r="BD563" s="499">
        <v>1.35</v>
      </c>
      <c r="BE563" s="499">
        <v>28.356328830645161</v>
      </c>
      <c r="BF563" s="499">
        <v>21.630773588709687</v>
      </c>
      <c r="BG563" s="499">
        <v>28.126139486941387</v>
      </c>
    </row>
    <row r="564" spans="42:59">
      <c r="AP564"/>
      <c r="AR564"/>
      <c r="AS564"/>
      <c r="BC564" s="499"/>
      <c r="BD564" s="499">
        <v>1.1499999999999999</v>
      </c>
      <c r="BE564" s="499">
        <v>28.25219657258064</v>
      </c>
      <c r="BF564" s="499">
        <v>21.688219354838708</v>
      </c>
      <c r="BG564" s="499">
        <v>28.024828511886454</v>
      </c>
    </row>
    <row r="565" spans="42:59">
      <c r="AP565"/>
      <c r="AR565"/>
      <c r="AS565"/>
      <c r="BC565" s="499"/>
      <c r="BD565" s="499">
        <v>0.95</v>
      </c>
      <c r="BE565" s="499">
        <v>28.135083266129033</v>
      </c>
      <c r="BF565" s="499">
        <v>21.75257943548387</v>
      </c>
      <c r="BG565" s="499">
        <v>27.918460413571427</v>
      </c>
    </row>
    <row r="566" spans="42:59">
      <c r="AP566"/>
      <c r="AR566"/>
      <c r="AS566"/>
      <c r="BC566" s="499"/>
      <c r="BD566" s="499">
        <v>0.75</v>
      </c>
      <c r="BE566" s="499">
        <v>28.008348185483868</v>
      </c>
      <c r="BF566" s="499">
        <v>21.785836491935484</v>
      </c>
      <c r="BG566" s="499">
        <v>27.798971940677657</v>
      </c>
    </row>
    <row r="567" spans="42:59">
      <c r="AP567"/>
      <c r="AR567"/>
      <c r="AS567"/>
      <c r="BC567" s="499"/>
      <c r="BD567" s="499">
        <v>0.55000000000000004</v>
      </c>
      <c r="BE567" s="499">
        <v>27.879751411290314</v>
      </c>
      <c r="BF567" s="499">
        <v>21.81899616935484</v>
      </c>
      <c r="BG567" s="499">
        <v>27.676299234679483</v>
      </c>
    </row>
    <row r="568" spans="42:59">
      <c r="AP568"/>
      <c r="AR568"/>
      <c r="AS568"/>
      <c r="BC568" s="499"/>
      <c r="BD568" s="499">
        <v>0.35</v>
      </c>
      <c r="BE568" s="499">
        <v>27.757013911290326</v>
      </c>
      <c r="BF568" s="499">
        <v>21.801536491935483</v>
      </c>
      <c r="BG568" s="499">
        <v>27.557432393173077</v>
      </c>
    </row>
    <row r="569" spans="42:59">
      <c r="AP569"/>
      <c r="AR569"/>
      <c r="AS569"/>
      <c r="BC569" s="499"/>
      <c r="BD569" s="499">
        <v>0.15</v>
      </c>
      <c r="BE569" s="499">
        <v>27.648047580645159</v>
      </c>
      <c r="BF569" s="499">
        <v>21.753039516129032</v>
      </c>
      <c r="BG569" s="499">
        <v>27.451093765805862</v>
      </c>
    </row>
    <row r="570" spans="42:59">
      <c r="AP570"/>
      <c r="AR570"/>
      <c r="AS570"/>
      <c r="BC570" s="499"/>
      <c r="BD570" s="499">
        <v>0</v>
      </c>
      <c r="BE570" s="499">
        <v>27.591063709677414</v>
      </c>
      <c r="BF570" s="499">
        <v>21.716927419354842</v>
      </c>
      <c r="BG570" s="499">
        <v>27.395548568278389</v>
      </c>
    </row>
  </sheetData>
  <sortState ref="AP500:AS570">
    <sortCondition ref="AR500:AR570"/>
  </sortState>
  <conditionalFormatting sqref="AR393:AR491">
    <cfRule type="cellIs" dxfId="4" priority="5" operator="greaterThan">
      <formula>24.3999</formula>
    </cfRule>
  </conditionalFormatting>
  <conditionalFormatting sqref="AW473:AW491">
    <cfRule type="cellIs" dxfId="3" priority="4" operator="greaterThan">
      <formula>24.3999</formula>
    </cfRule>
  </conditionalFormatting>
  <conditionalFormatting sqref="AW14:AX458 AW459:AW472">
    <cfRule type="cellIs" dxfId="2" priority="3" operator="greaterThan">
      <formula>24.3999</formula>
    </cfRule>
  </conditionalFormatting>
  <conditionalFormatting sqref="AX459:AX491">
    <cfRule type="cellIs" dxfId="1" priority="2" operator="greaterThan">
      <formula>24.3999</formula>
    </cfRule>
  </conditionalFormatting>
  <conditionalFormatting sqref="CG5:CJ488">
    <cfRule type="cellIs" dxfId="0" priority="1" operator="equal">
      <formula>1</formula>
    </cfRule>
  </conditionalFormatting>
  <printOptions gridLines="1"/>
  <pageMargins left="0.25" right="0.25" top="0.75" bottom="0.75" header="0.3" footer="0.3"/>
  <pageSetup paperSize="9" scale="70"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sheetPr>
  <dimension ref="A1:AA27"/>
  <sheetViews>
    <sheetView workbookViewId="0">
      <selection activeCell="M8" sqref="M8"/>
    </sheetView>
  </sheetViews>
  <sheetFormatPr defaultRowHeight="14.4"/>
  <cols>
    <col min="3" max="3" width="20.33203125" bestFit="1" customWidth="1"/>
    <col min="9" max="10" width="10.109375" bestFit="1" customWidth="1"/>
    <col min="11" max="11" width="7.5546875" bestFit="1" customWidth="1"/>
    <col min="12" max="12" width="10.109375" bestFit="1" customWidth="1"/>
    <col min="13" max="13" width="11.44140625" customWidth="1"/>
  </cols>
  <sheetData>
    <row r="1" spans="1:27" ht="18.600000000000001" thickBot="1">
      <c r="A1" s="56" t="s">
        <v>381</v>
      </c>
      <c r="B1" s="74"/>
      <c r="C1" s="74"/>
      <c r="D1" s="74"/>
      <c r="E1" s="74"/>
      <c r="F1" s="74"/>
      <c r="G1" s="74"/>
      <c r="H1" s="74"/>
      <c r="I1" s="74"/>
      <c r="J1" s="74"/>
      <c r="K1" s="74"/>
      <c r="L1" s="74"/>
      <c r="M1" s="74"/>
    </row>
    <row r="2" spans="1:27">
      <c r="A2" s="162"/>
      <c r="B2" s="629" t="s">
        <v>376</v>
      </c>
      <c r="C2" s="629"/>
      <c r="D2" s="629"/>
      <c r="E2" s="146" t="s">
        <v>404</v>
      </c>
      <c r="F2" s="630" t="s">
        <v>377</v>
      </c>
      <c r="G2" s="629"/>
      <c r="H2" s="631"/>
      <c r="I2" s="629" t="s">
        <v>378</v>
      </c>
      <c r="J2" s="629"/>
      <c r="K2" s="629"/>
      <c r="L2" s="160"/>
      <c r="M2" s="142"/>
    </row>
    <row r="3" spans="1:27">
      <c r="A3" s="163" t="s">
        <v>347</v>
      </c>
      <c r="B3" s="48" t="s">
        <v>379</v>
      </c>
      <c r="C3" s="48" t="s">
        <v>304</v>
      </c>
      <c r="D3" s="48" t="s">
        <v>305</v>
      </c>
      <c r="E3" s="147" t="s">
        <v>379</v>
      </c>
      <c r="F3" s="152">
        <v>1</v>
      </c>
      <c r="G3" s="48">
        <v>2</v>
      </c>
      <c r="H3" s="153">
        <v>3</v>
      </c>
      <c r="I3" s="143">
        <v>1</v>
      </c>
      <c r="J3" s="48">
        <v>2</v>
      </c>
      <c r="K3" s="48">
        <v>3</v>
      </c>
      <c r="L3" s="153" t="s">
        <v>380</v>
      </c>
      <c r="M3" s="52"/>
    </row>
    <row r="4" spans="1:27">
      <c r="A4" s="164">
        <v>2008</v>
      </c>
      <c r="B4" s="77">
        <v>769</v>
      </c>
      <c r="C4" s="77">
        <v>24</v>
      </c>
      <c r="D4" s="77">
        <v>1675</v>
      </c>
      <c r="E4" s="148">
        <f>B4*(1-f!$K$22)</f>
        <v>454.3252</v>
      </c>
      <c r="F4" s="154">
        <f>S.AdOcn!W27</f>
        <v>0.78170676454938193</v>
      </c>
      <c r="G4" s="79">
        <f>S.AdOcn!X27</f>
        <v>0.20861962307756599</v>
      </c>
      <c r="H4" s="155">
        <f>S.AdOcn!Y27</f>
        <v>9.6736123730522105E-3</v>
      </c>
      <c r="I4" s="77">
        <f>F4*$E4*(f!$F$5*(S.AdOcn!C$25)^f!$G$5)</f>
        <v>1452887.5001086916</v>
      </c>
      <c r="J4" s="77">
        <f>G4*$E4*(f!$F$5*(S.AdOcn!D$25)^f!$G$5)</f>
        <v>665487.85081308382</v>
      </c>
      <c r="K4" s="77">
        <f>H4*$E4*(f!$F$5*(S.AdOcn!E$25)^f!$G$5)</f>
        <v>44697.128295107592</v>
      </c>
      <c r="L4" s="115">
        <f t="shared" ref="L4:L9" si="0">SUM(I4:K4)</f>
        <v>2163072.479216883</v>
      </c>
      <c r="M4" s="144"/>
    </row>
    <row r="5" spans="1:27">
      <c r="A5" s="165">
        <v>2009</v>
      </c>
      <c r="B5" s="78">
        <v>2114</v>
      </c>
      <c r="C5" s="78">
        <v>1326</v>
      </c>
      <c r="D5" s="78">
        <v>2901</v>
      </c>
      <c r="E5" s="149">
        <f>B5*(1-f!$K$22)</f>
        <v>1248.9512</v>
      </c>
      <c r="F5" s="156">
        <f>S.AdOcn!W28</f>
        <v>0.83225814463822123</v>
      </c>
      <c r="G5" s="80">
        <f>S.AdOcn!X28</f>
        <v>0.1677418553617788</v>
      </c>
      <c r="H5" s="94">
        <f>S.AdOcn!Y28</f>
        <v>0</v>
      </c>
      <c r="I5" s="78">
        <f>F5*$E5*(f!$F$5*(S.AdOcn!C$25)^f!$G$5)</f>
        <v>4252308.9869002653</v>
      </c>
      <c r="J5" s="78">
        <f>G5*$E5*(f!$F$5*(S.AdOcn!D$25)^f!$G$5)</f>
        <v>1470974.2168210854</v>
      </c>
      <c r="K5" s="78">
        <f>H5*$E5*(f!$F$5*(S.AdOcn!E$25)^f!$G$5)</f>
        <v>0</v>
      </c>
      <c r="L5" s="116">
        <f t="shared" si="0"/>
        <v>5723283.203721351</v>
      </c>
      <c r="M5" s="144"/>
      <c r="N5" s="297"/>
    </row>
    <row r="6" spans="1:27">
      <c r="A6" s="165">
        <v>2010</v>
      </c>
      <c r="B6" s="78">
        <v>1820</v>
      </c>
      <c r="C6" s="78">
        <v>1040</v>
      </c>
      <c r="D6" s="78">
        <v>2598</v>
      </c>
      <c r="E6" s="150">
        <f>B6*(1-f!$K$22)</f>
        <v>1075.2560000000001</v>
      </c>
      <c r="F6" s="156">
        <f>S.AdOcn!W29</f>
        <v>0.49660434307308199</v>
      </c>
      <c r="G6" s="80">
        <f>S.AdOcn!X29</f>
        <v>0.50339565692691801</v>
      </c>
      <c r="H6" s="94">
        <f>S.AdOcn!Y29</f>
        <v>0</v>
      </c>
      <c r="I6" s="78">
        <f>F6*$E6*(f!$F$5*(S.AdOcn!C$25)^f!$G$5)</f>
        <v>2184457.8977305656</v>
      </c>
      <c r="J6" s="78">
        <f>G6*$E6*(f!$F$5*(S.AdOcn!D$25)^f!$G$5)</f>
        <v>3800489.0666607092</v>
      </c>
      <c r="K6" s="78">
        <f>H6*$E6*(f!$F$5*(S.AdOcn!E$25)^f!$G$5)</f>
        <v>0</v>
      </c>
      <c r="L6" s="116">
        <f t="shared" si="0"/>
        <v>5984946.9643912744</v>
      </c>
      <c r="M6" s="144"/>
      <c r="N6" s="297"/>
    </row>
    <row r="7" spans="1:27">
      <c r="A7" s="165">
        <v>2011</v>
      </c>
      <c r="B7" s="78">
        <v>3692</v>
      </c>
      <c r="C7" s="78">
        <v>2055</v>
      </c>
      <c r="D7" s="78">
        <v>5327</v>
      </c>
      <c r="E7" s="150">
        <f>B7*(1-f!$K$22)</f>
        <v>2181.2336</v>
      </c>
      <c r="F7" s="156">
        <f>S.AdOcn!W30</f>
        <v>0.70643559081458607</v>
      </c>
      <c r="G7" s="80">
        <f>S.AdOcn!X30</f>
        <v>0.29356440918541393</v>
      </c>
      <c r="H7" s="94">
        <f>S.AdOcn!Y30</f>
        <v>0</v>
      </c>
      <c r="I7" s="78">
        <f>F7*$E7*(f!$F$5*(S.AdOcn!C$25)^f!$G$5)</f>
        <v>6303707.3232805245</v>
      </c>
      <c r="J7" s="78">
        <f>G7*$E7*(f!$F$5*(S.AdOcn!D$25)^f!$G$5)</f>
        <v>4495973.3624094604</v>
      </c>
      <c r="K7" s="78">
        <f>H7*$E7*(f!$F$5*(S.AdOcn!E$25)^f!$G$5)</f>
        <v>0</v>
      </c>
      <c r="L7" s="116">
        <f t="shared" si="0"/>
        <v>10799680.685689986</v>
      </c>
      <c r="M7" s="144"/>
      <c r="N7" s="297"/>
    </row>
    <row r="8" spans="1:27">
      <c r="A8" s="165">
        <v>2012</v>
      </c>
      <c r="B8" s="78">
        <v>3494</v>
      </c>
      <c r="C8" s="78">
        <v>2420</v>
      </c>
      <c r="D8" s="78">
        <v>4570</v>
      </c>
      <c r="E8" s="150">
        <f>B8*(1-f!$K$22)</f>
        <v>2064.2552000000001</v>
      </c>
      <c r="F8" s="156">
        <f>S.AdOcn!W31</f>
        <v>0.6929863017577067</v>
      </c>
      <c r="G8" s="80">
        <f>S.AdOcn!X31</f>
        <v>0.30701369824229341</v>
      </c>
      <c r="H8" s="94">
        <f>S.AdOcn!Y31</f>
        <v>0</v>
      </c>
      <c r="I8" s="78">
        <f>F8*$E8*(f!$F$5*(S.AdOcn!C$25)^f!$G$5)</f>
        <v>5852067.5164603805</v>
      </c>
      <c r="J8" s="78">
        <f>G8*$E8*(f!$F$5*(S.AdOcn!D$25)^f!$G$5)</f>
        <v>4449787.6765978886</v>
      </c>
      <c r="K8" s="78">
        <f>H8*$E8*(f!$F$5*(S.AdOcn!E$25)^f!$G$5)</f>
        <v>0</v>
      </c>
      <c r="L8" s="116">
        <f t="shared" si="0"/>
        <v>10301855.193058269</v>
      </c>
      <c r="M8" s="144"/>
      <c r="N8" s="297"/>
    </row>
    <row r="9" spans="1:27" ht="15" thickBot="1">
      <c r="A9" s="166">
        <v>2013</v>
      </c>
      <c r="B9" s="100">
        <v>3444</v>
      </c>
      <c r="C9" s="100">
        <v>2470</v>
      </c>
      <c r="D9" s="100">
        <v>4416</v>
      </c>
      <c r="E9" s="151">
        <f>B9*(1-f!$K$22)</f>
        <v>2034.7151999999999</v>
      </c>
      <c r="F9" s="157">
        <f>S.AdOcn!W32</f>
        <v>0.28981940005992579</v>
      </c>
      <c r="G9" s="158">
        <f>S.AdOcn!X32</f>
        <v>0.7034425916329945</v>
      </c>
      <c r="H9" s="159">
        <f>S.AdOcn!Y32</f>
        <v>6.7380083070797273E-3</v>
      </c>
      <c r="I9" s="100">
        <f>F9*$E9*(f!$F$5*(S.AdOcn!C$25)^f!$G$5)</f>
        <v>2412416.9612626219</v>
      </c>
      <c r="J9" s="100">
        <f>G9*$E9*(f!$F$5*(S.AdOcn!D$25)^f!$G$5)</f>
        <v>10049638.460589916</v>
      </c>
      <c r="K9" s="100">
        <f>H9*$E9*(f!$F$5*(S.AdOcn!E$25)^f!$G$5)</f>
        <v>139430.98181815798</v>
      </c>
      <c r="L9" s="161">
        <f t="shared" si="0"/>
        <v>12601486.403670695</v>
      </c>
      <c r="M9" s="78"/>
    </row>
    <row r="10" spans="1:27">
      <c r="E10" s="28">
        <v>1</v>
      </c>
      <c r="F10" s="141">
        <f>AVERAGE(F4:F9)</f>
        <v>0.63330175748215056</v>
      </c>
      <c r="G10" s="141">
        <f>AVERAGE(G4:G9)</f>
        <v>0.3639629724044941</v>
      </c>
      <c r="H10" s="141">
        <f>AVERAGE(H4:H9)</f>
        <v>2.7352701133553231E-3</v>
      </c>
      <c r="I10" s="245">
        <f>F10*$E10*(f!$F$5*(S.AdOcn!C$25)^f!$G$5)</f>
        <v>2590.7886391956613</v>
      </c>
      <c r="J10" s="245">
        <f>G10*$E10*(f!$F$5*(S.AdOcn!D$25)^f!$G$5)</f>
        <v>2555.4968601309515</v>
      </c>
      <c r="K10" s="245">
        <f>H10*$E10*(f!$F$5*(S.AdOcn!E$25)^f!$G$5)</f>
        <v>27.817899529778408</v>
      </c>
      <c r="L10" s="568">
        <f t="shared" ref="L10" si="1">SUM(I10:K10)</f>
        <v>5174.1033988563913</v>
      </c>
    </row>
    <row r="12" spans="1:27" ht="15" thickBot="1"/>
    <row r="13" spans="1:27">
      <c r="A13" s="19" t="s">
        <v>662</v>
      </c>
      <c r="B13" s="362"/>
      <c r="C13" s="20"/>
      <c r="D13" s="20"/>
      <c r="E13" s="20"/>
      <c r="F13" s="197"/>
      <c r="G13" s="20"/>
      <c r="H13" s="20"/>
      <c r="I13" s="20"/>
      <c r="J13" s="20"/>
      <c r="K13" s="20"/>
      <c r="L13" s="20"/>
      <c r="M13" s="20"/>
      <c r="N13" s="20"/>
      <c r="O13" s="20"/>
      <c r="P13" s="21"/>
    </row>
    <row r="14" spans="1:27" s="297" customFormat="1">
      <c r="A14" s="93" t="s">
        <v>670</v>
      </c>
      <c r="B14" s="59"/>
      <c r="C14" s="13"/>
      <c r="D14" s="13"/>
      <c r="E14" s="13"/>
      <c r="F14" s="58"/>
      <c r="G14" s="13"/>
      <c r="H14" s="13"/>
      <c r="I14" s="13"/>
      <c r="J14" s="13"/>
      <c r="K14" s="13"/>
      <c r="L14" s="13"/>
      <c r="M14" s="13"/>
      <c r="N14" s="13"/>
      <c r="O14" s="13"/>
      <c r="P14" s="97"/>
      <c r="R14"/>
      <c r="S14"/>
      <c r="T14"/>
      <c r="U14"/>
      <c r="V14"/>
      <c r="W14"/>
      <c r="X14"/>
      <c r="Y14"/>
      <c r="Z14"/>
      <c r="AA14"/>
    </row>
    <row r="15" spans="1:27">
      <c r="A15" s="43" t="s">
        <v>651</v>
      </c>
      <c r="B15" s="59" t="s">
        <v>652</v>
      </c>
      <c r="C15" s="58" t="s">
        <v>653</v>
      </c>
      <c r="D15" s="363" t="s">
        <v>666</v>
      </c>
      <c r="E15" s="13"/>
      <c r="F15" s="58"/>
      <c r="G15" s="13"/>
      <c r="H15" s="13"/>
      <c r="I15" s="13"/>
      <c r="J15" s="13"/>
      <c r="K15" s="13"/>
      <c r="L15" s="13"/>
      <c r="M15" s="13"/>
      <c r="N15" s="13"/>
      <c r="O15" s="13"/>
      <c r="P15" s="97"/>
    </row>
    <row r="16" spans="1:27">
      <c r="A16" s="43" t="s">
        <v>655</v>
      </c>
      <c r="B16" s="58">
        <v>0.23760000000000001</v>
      </c>
      <c r="C16" s="58">
        <v>0.31259999999999999</v>
      </c>
      <c r="D16" s="364">
        <v>28</v>
      </c>
      <c r="E16" s="58" t="s">
        <v>656</v>
      </c>
      <c r="F16" s="457">
        <f>1-1/(1+EXP($B$16+$B$17*D16+$B$18*(D16^2)))</f>
        <v>0.22576164566450652</v>
      </c>
      <c r="G16" s="13" t="s">
        <v>667</v>
      </c>
      <c r="H16" s="13"/>
      <c r="I16" s="13"/>
      <c r="J16" s="13"/>
      <c r="K16" s="13"/>
      <c r="L16" s="13"/>
      <c r="M16" s="13"/>
      <c r="N16" s="13"/>
      <c r="O16" s="13"/>
      <c r="P16" s="97"/>
    </row>
    <row r="17" spans="1:16" ht="18">
      <c r="A17" s="43" t="s">
        <v>657</v>
      </c>
      <c r="B17" s="58">
        <v>-7.7000000000000002E-3</v>
      </c>
      <c r="C17" s="58">
        <v>3.0800000000000001E-2</v>
      </c>
      <c r="D17" s="364">
        <v>35</v>
      </c>
      <c r="E17" s="58" t="s">
        <v>658</v>
      </c>
      <c r="F17" s="458">
        <f>1-1/(1+EXP($B$16+$B$17*D17+$B$18*(D17^2)))</f>
        <v>0.12005599667120803</v>
      </c>
      <c r="G17" s="13" t="s">
        <v>669</v>
      </c>
      <c r="H17" s="13"/>
      <c r="I17" s="13"/>
      <c r="J17" s="13"/>
      <c r="K17" s="13"/>
      <c r="L17" s="13"/>
      <c r="M17" s="13"/>
      <c r="N17" s="13"/>
      <c r="O17" s="13"/>
      <c r="P17" s="97"/>
    </row>
    <row r="18" spans="1:16">
      <c r="A18" s="43" t="s">
        <v>659</v>
      </c>
      <c r="B18" s="58">
        <v>-1.6000000000000001E-3</v>
      </c>
      <c r="C18" s="58">
        <v>5.9999999999999995E-4</v>
      </c>
      <c r="D18" s="364">
        <v>43</v>
      </c>
      <c r="E18" s="58" t="s">
        <v>660</v>
      </c>
      <c r="F18" s="457">
        <f>1-1/(1+EXP($B$16+$B$17*D18+$B$18*(D18^2)))</f>
        <v>4.5135515904612289E-2</v>
      </c>
      <c r="G18" s="13" t="s">
        <v>668</v>
      </c>
      <c r="H18" s="13"/>
      <c r="I18" s="13"/>
      <c r="J18" s="13"/>
      <c r="K18" s="13"/>
      <c r="L18" s="13"/>
      <c r="M18" s="13"/>
      <c r="N18" s="13"/>
      <c r="O18" s="13"/>
      <c r="P18" s="97"/>
    </row>
    <row r="19" spans="1:16">
      <c r="A19" s="93"/>
      <c r="B19" s="58"/>
      <c r="C19" s="59"/>
      <c r="D19" s="58" t="s">
        <v>661</v>
      </c>
      <c r="E19" s="13"/>
      <c r="F19" s="58"/>
      <c r="G19" s="13"/>
      <c r="H19" s="13"/>
      <c r="I19" s="13"/>
      <c r="J19" s="13"/>
      <c r="K19" s="13"/>
      <c r="L19" s="13"/>
      <c r="M19" s="13"/>
      <c r="N19" s="13"/>
      <c r="O19" s="13"/>
      <c r="P19" s="97"/>
    </row>
    <row r="20" spans="1:16">
      <c r="A20" s="93"/>
      <c r="B20" s="13"/>
      <c r="C20" s="13"/>
      <c r="D20" s="13"/>
      <c r="E20" s="13"/>
      <c r="F20" s="13"/>
      <c r="G20" s="13"/>
      <c r="H20" s="13"/>
      <c r="I20" s="13"/>
      <c r="J20" s="13"/>
      <c r="K20" s="13"/>
      <c r="L20" s="13"/>
      <c r="M20" s="13"/>
      <c r="N20" s="13"/>
      <c r="O20" s="13"/>
      <c r="P20" s="97"/>
    </row>
    <row r="21" spans="1:16">
      <c r="A21" s="93" t="s">
        <v>663</v>
      </c>
      <c r="B21" s="13"/>
      <c r="C21" s="13"/>
      <c r="D21" s="13"/>
      <c r="E21" s="13"/>
      <c r="F21" s="13"/>
      <c r="G21" s="13"/>
      <c r="H21" s="13"/>
      <c r="I21" s="13"/>
      <c r="J21" s="13"/>
      <c r="K21" s="13"/>
      <c r="L21" s="13"/>
      <c r="M21" s="13"/>
      <c r="N21" s="13"/>
      <c r="O21" s="13"/>
      <c r="P21" s="97"/>
    </row>
    <row r="22" spans="1:16">
      <c r="A22" s="93" t="s">
        <v>664</v>
      </c>
      <c r="B22" s="80">
        <v>0.35299999999999998</v>
      </c>
      <c r="H22" s="13"/>
      <c r="I22" s="13"/>
      <c r="J22" s="13"/>
      <c r="K22" s="13"/>
      <c r="L22" s="13"/>
      <c r="M22" s="13"/>
      <c r="N22" s="13"/>
      <c r="O22" s="13"/>
      <c r="P22" s="97"/>
    </row>
    <row r="23" spans="1:16">
      <c r="A23" s="93" t="s">
        <v>665</v>
      </c>
      <c r="B23" s="80">
        <v>0.17799999999999999</v>
      </c>
      <c r="C23" s="13"/>
      <c r="D23" s="13"/>
      <c r="E23" s="13"/>
      <c r="F23" s="13"/>
      <c r="G23" s="13"/>
      <c r="H23" s="13"/>
      <c r="I23" s="13"/>
      <c r="J23" s="13"/>
      <c r="K23" s="13"/>
      <c r="L23" s="13"/>
      <c r="M23" s="13"/>
      <c r="N23" s="13"/>
      <c r="O23" s="13"/>
      <c r="P23" s="97"/>
    </row>
    <row r="24" spans="1:16">
      <c r="A24" s="93" t="s">
        <v>202</v>
      </c>
      <c r="B24" s="58" t="s">
        <v>968</v>
      </c>
      <c r="C24" s="13"/>
      <c r="D24" s="13"/>
      <c r="E24" s="13"/>
      <c r="F24" s="13"/>
      <c r="G24" s="13"/>
      <c r="H24" s="13"/>
      <c r="I24" s="13"/>
      <c r="J24" s="13"/>
      <c r="K24" s="13"/>
      <c r="L24" s="13"/>
      <c r="M24" s="13"/>
      <c r="N24" s="13"/>
      <c r="O24" s="13"/>
      <c r="P24" s="97"/>
    </row>
    <row r="25" spans="1:16">
      <c r="A25" s="93" t="s">
        <v>304</v>
      </c>
      <c r="B25" s="80">
        <v>0.27800000000000002</v>
      </c>
      <c r="C25" s="430"/>
      <c r="D25" s="13"/>
      <c r="E25" s="13"/>
      <c r="F25" s="13"/>
      <c r="G25" s="13"/>
      <c r="H25" s="13"/>
      <c r="I25" s="13"/>
      <c r="J25" s="13"/>
      <c r="K25" s="13"/>
      <c r="L25" s="13"/>
      <c r="M25" s="13"/>
      <c r="N25" s="13"/>
      <c r="O25" s="13"/>
      <c r="P25" s="97"/>
    </row>
    <row r="26" spans="1:16" ht="15" thickBot="1">
      <c r="A26" s="227" t="s">
        <v>305</v>
      </c>
      <c r="B26" s="158">
        <v>0.42799999999999999</v>
      </c>
      <c r="C26" s="42"/>
      <c r="D26" s="42"/>
      <c r="E26" s="42"/>
      <c r="F26" s="42"/>
      <c r="G26" s="42"/>
      <c r="H26" s="42"/>
      <c r="I26" s="42"/>
      <c r="J26" s="42"/>
      <c r="K26" s="42"/>
      <c r="L26" s="42"/>
      <c r="M26" s="42"/>
      <c r="N26" s="42"/>
      <c r="O26" s="42"/>
      <c r="P26" s="102"/>
    </row>
    <row r="27" spans="1:16">
      <c r="C27" s="346"/>
    </row>
  </sheetData>
  <mergeCells count="3">
    <mergeCell ref="B2:D2"/>
    <mergeCell ref="F2:H2"/>
    <mergeCell ref="I2:K2"/>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sheetPr>
  <dimension ref="B2:G13"/>
  <sheetViews>
    <sheetView workbookViewId="0">
      <selection activeCell="C13" sqref="C13"/>
    </sheetView>
  </sheetViews>
  <sheetFormatPr defaultRowHeight="14.4"/>
  <sheetData>
    <row r="2" spans="2:7">
      <c r="B2" t="s">
        <v>671</v>
      </c>
    </row>
    <row r="3" spans="2:7">
      <c r="B3" t="s">
        <v>672</v>
      </c>
    </row>
    <row r="5" spans="2:7" ht="15" thickBot="1">
      <c r="B5" s="297"/>
    </row>
    <row r="6" spans="2:7">
      <c r="B6" s="217" t="s">
        <v>347</v>
      </c>
      <c r="C6" s="28" t="s">
        <v>673</v>
      </c>
      <c r="D6" s="299" t="s">
        <v>674</v>
      </c>
      <c r="E6" s="299"/>
      <c r="F6" s="299"/>
    </row>
    <row r="7" spans="2:7">
      <c r="B7" s="218">
        <v>2008</v>
      </c>
      <c r="C7" s="65">
        <f>S.egg!$F$17</f>
        <v>0.12005599667120803</v>
      </c>
      <c r="D7" s="299">
        <f>e!C7</f>
        <v>0.11786804422498388</v>
      </c>
      <c r="E7" s="299"/>
      <c r="F7" s="299">
        <f>D7*C7</f>
        <v>1.4150765525116467E-2</v>
      </c>
      <c r="G7" s="263"/>
    </row>
    <row r="8" spans="2:7">
      <c r="B8" s="218">
        <v>2009</v>
      </c>
      <c r="C8" s="65">
        <f>S.egg!$F$17</f>
        <v>0.12005599667120803</v>
      </c>
      <c r="D8" s="299">
        <f>e!C8</f>
        <v>1.1070409963785615E-2</v>
      </c>
      <c r="E8" s="299"/>
      <c r="F8" s="299">
        <f>D8*C8</f>
        <v>1.329069101761154E-3</v>
      </c>
      <c r="G8" s="263"/>
    </row>
    <row r="9" spans="2:7">
      <c r="B9" s="218">
        <v>2010</v>
      </c>
      <c r="C9" s="65">
        <f>S.egg!$F$17</f>
        <v>0.12005599667120803</v>
      </c>
      <c r="D9" s="299" t="s">
        <v>719</v>
      </c>
      <c r="E9" s="299"/>
      <c r="F9" s="299"/>
      <c r="G9" s="263"/>
    </row>
    <row r="10" spans="2:7" ht="15" thickBot="1">
      <c r="B10" s="219">
        <v>2011</v>
      </c>
      <c r="C10" s="65">
        <f>S.egg!$F$17</f>
        <v>0.12005599667120803</v>
      </c>
      <c r="D10" s="299">
        <f>e!C10</f>
        <v>3.7202275372506387E-2</v>
      </c>
      <c r="E10" s="299"/>
      <c r="F10" s="299">
        <f>D10*C10</f>
        <v>4.4663562482829917E-3</v>
      </c>
      <c r="G10" s="263"/>
    </row>
    <row r="12" spans="2:7">
      <c r="C12" t="s">
        <v>673</v>
      </c>
      <c r="D12" t="s">
        <v>674</v>
      </c>
    </row>
    <row r="13" spans="2:7" ht="18">
      <c r="B13" t="s">
        <v>677</v>
      </c>
      <c r="C13" s="65">
        <f>S.egg!$F$17</f>
        <v>0.12005599667120803</v>
      </c>
      <c r="D13" s="395">
        <f>AVERAGE(D7:D10)</f>
        <v>5.538024318709197E-2</v>
      </c>
      <c r="E13">
        <f>D13*C13</f>
        <v>6.6487302917202047E-3</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sheetPr>
  <dimension ref="A1:AS74"/>
  <sheetViews>
    <sheetView zoomScaleNormal="100" workbookViewId="0">
      <selection activeCell="O19" sqref="O19"/>
    </sheetView>
  </sheetViews>
  <sheetFormatPr defaultRowHeight="14.4"/>
  <cols>
    <col min="1" max="5" width="10.88671875" customWidth="1"/>
    <col min="13" max="13" width="16.6640625" bestFit="1" customWidth="1"/>
  </cols>
  <sheetData>
    <row r="1" spans="1:28">
      <c r="A1" s="235" t="s">
        <v>576</v>
      </c>
      <c r="B1" s="20"/>
      <c r="C1" s="20"/>
      <c r="D1" s="20"/>
      <c r="E1" s="20"/>
      <c r="F1" s="20"/>
      <c r="G1" s="20"/>
      <c r="H1" s="197"/>
      <c r="I1" s="197"/>
      <c r="J1" s="197"/>
      <c r="K1" s="21"/>
    </row>
    <row r="2" spans="1:28">
      <c r="A2" s="365" t="s">
        <v>442</v>
      </c>
      <c r="B2" s="174" t="s">
        <v>432</v>
      </c>
      <c r="C2" s="174" t="s">
        <v>433</v>
      </c>
      <c r="D2" s="174" t="s">
        <v>434</v>
      </c>
      <c r="E2" s="68" t="s">
        <v>435</v>
      </c>
      <c r="F2" s="174" t="s">
        <v>69</v>
      </c>
      <c r="G2" s="175" t="s">
        <v>68</v>
      </c>
      <c r="H2" s="13"/>
      <c r="I2" s="58"/>
      <c r="J2" s="58"/>
      <c r="K2" s="97"/>
      <c r="Y2" s="195" t="s">
        <v>442</v>
      </c>
      <c r="Z2" s="68" t="s">
        <v>435</v>
      </c>
      <c r="AA2" s="174" t="s">
        <v>69</v>
      </c>
      <c r="AB2" s="175" t="s">
        <v>68</v>
      </c>
    </row>
    <row r="3" spans="1:28">
      <c r="A3" s="43">
        <v>2007</v>
      </c>
      <c r="B3" s="177" t="str">
        <f>(A3-1)&amp;E3</f>
        <v>2006spring</v>
      </c>
      <c r="C3" s="178" t="str">
        <f>A3-2&amp;E3</f>
        <v>2005spring</v>
      </c>
      <c r="D3" s="179" t="str">
        <f>A3-3&amp;E3</f>
        <v>2004spring</v>
      </c>
      <c r="E3" s="180" t="s">
        <v>418</v>
      </c>
      <c r="F3" s="59">
        <v>0.72272983273337188</v>
      </c>
      <c r="G3" s="181">
        <v>0.98299999999999998</v>
      </c>
      <c r="H3" s="13"/>
      <c r="I3" s="366" t="s">
        <v>431</v>
      </c>
      <c r="J3" s="47"/>
      <c r="K3" s="97"/>
      <c r="Y3" s="176">
        <v>2007</v>
      </c>
      <c r="Z3" s="180" t="s">
        <v>418</v>
      </c>
      <c r="AA3" s="59">
        <v>0.72272983273337188</v>
      </c>
      <c r="AB3" s="181">
        <v>0.98299999999999998</v>
      </c>
    </row>
    <row r="4" spans="1:28">
      <c r="A4" s="43">
        <v>2007</v>
      </c>
      <c r="B4" s="178" t="str">
        <f>A4&amp;E4</f>
        <v>2007fall</v>
      </c>
      <c r="C4" s="177" t="str">
        <f>A4-1&amp;E4</f>
        <v>2006fall</v>
      </c>
      <c r="D4" s="178" t="str">
        <f>A4-2&amp;E4</f>
        <v>2005fall</v>
      </c>
      <c r="E4" s="182" t="s">
        <v>416</v>
      </c>
      <c r="F4" s="59">
        <v>0.86166572076014047</v>
      </c>
      <c r="G4" s="181">
        <v>0.34899999999999998</v>
      </c>
      <c r="H4" s="13"/>
      <c r="I4" s="179" t="s">
        <v>416</v>
      </c>
      <c r="J4" s="179" t="s">
        <v>436</v>
      </c>
      <c r="K4" s="97"/>
      <c r="M4" s="15">
        <f>G4*G5^0.5</f>
        <v>0.23281203791900448</v>
      </c>
      <c r="Y4" s="176">
        <v>2007</v>
      </c>
      <c r="Z4" s="182" t="s">
        <v>416</v>
      </c>
      <c r="AA4" s="59">
        <v>0.86166572076014047</v>
      </c>
      <c r="AB4" s="181">
        <v>0.34899999999999998</v>
      </c>
    </row>
    <row r="5" spans="1:28">
      <c r="A5" s="43">
        <v>2008</v>
      </c>
      <c r="B5" s="178" t="str">
        <f>A5-1&amp;E5</f>
        <v>2007winter</v>
      </c>
      <c r="C5" s="177" t="str">
        <f>A5-2&amp;E5</f>
        <v>2006winter</v>
      </c>
      <c r="D5" s="178" t="str">
        <f>A5-3&amp;E5</f>
        <v>2005winter</v>
      </c>
      <c r="E5" s="183" t="s">
        <v>417</v>
      </c>
      <c r="F5" s="59">
        <v>0.44033853156397562</v>
      </c>
      <c r="G5" s="181">
        <v>0.44500000000000001</v>
      </c>
      <c r="H5" s="13"/>
      <c r="I5" s="179" t="s">
        <v>417</v>
      </c>
      <c r="J5" s="179" t="s">
        <v>437</v>
      </c>
      <c r="K5" s="97"/>
      <c r="L5" s="38"/>
      <c r="M5" s="38"/>
      <c r="Y5" s="176">
        <v>2008</v>
      </c>
      <c r="Z5" s="183" t="s">
        <v>417</v>
      </c>
      <c r="AA5" s="59">
        <v>0.44033853156397562</v>
      </c>
      <c r="AB5" s="181">
        <v>0.44500000000000001</v>
      </c>
    </row>
    <row r="6" spans="1:28">
      <c r="A6" s="43">
        <v>2008</v>
      </c>
      <c r="B6" s="178" t="str">
        <f>(A6-1)&amp;E6</f>
        <v>2007spring</v>
      </c>
      <c r="C6" s="179" t="str">
        <f>A6-2&amp;E6</f>
        <v>2006spring</v>
      </c>
      <c r="D6" s="178" t="str">
        <f>A6-3&amp;E6</f>
        <v>2005spring</v>
      </c>
      <c r="E6" s="180" t="s">
        <v>418</v>
      </c>
      <c r="F6" s="59">
        <v>0.96438291436105139</v>
      </c>
      <c r="G6" s="181">
        <v>0.98299999999999998</v>
      </c>
      <c r="H6" s="13"/>
      <c r="I6" s="179" t="s">
        <v>418</v>
      </c>
      <c r="J6" s="179" t="s">
        <v>438</v>
      </c>
      <c r="K6" s="97"/>
      <c r="L6" s="499"/>
      <c r="M6" s="499"/>
      <c r="Y6" s="176">
        <v>2008</v>
      </c>
      <c r="Z6" s="180" t="s">
        <v>418</v>
      </c>
      <c r="AA6" s="59">
        <v>0.96438291436105139</v>
      </c>
      <c r="AB6" s="181">
        <v>0.98299999999999998</v>
      </c>
    </row>
    <row r="7" spans="1:28">
      <c r="A7" s="43">
        <v>2008</v>
      </c>
      <c r="B7" s="179" t="str">
        <f>A7&amp;E7</f>
        <v>2008fall</v>
      </c>
      <c r="C7" s="178" t="str">
        <f>A7-1&amp;E7</f>
        <v>2007fall</v>
      </c>
      <c r="D7" s="179" t="str">
        <f>A7-2&amp;E7</f>
        <v>2006fall</v>
      </c>
      <c r="E7" s="182" t="s">
        <v>416</v>
      </c>
      <c r="F7" s="59">
        <v>0.88535429250547937</v>
      </c>
      <c r="G7" s="181">
        <v>0.73299999999999998</v>
      </c>
      <c r="H7" s="13"/>
      <c r="I7" s="58"/>
      <c r="J7" s="58"/>
      <c r="K7" s="97"/>
      <c r="L7" s="15">
        <f t="shared" ref="L7" si="0">PRODUCT(F6:F8)</f>
        <v>0.40025893624261977</v>
      </c>
      <c r="M7" s="15">
        <f>G7*G8^0.5</f>
        <v>0.50068322948318755</v>
      </c>
      <c r="Y7" s="176">
        <v>2008</v>
      </c>
      <c r="Z7" s="182" t="s">
        <v>416</v>
      </c>
      <c r="AA7" s="59">
        <v>0.88535429250547937</v>
      </c>
      <c r="AB7" s="181">
        <v>0.73299999999999998</v>
      </c>
    </row>
    <row r="8" spans="1:28">
      <c r="A8" s="43">
        <v>2009</v>
      </c>
      <c r="B8" s="179" t="str">
        <f>A8-1&amp;E8</f>
        <v>2008winter</v>
      </c>
      <c r="C8" s="178" t="str">
        <f>A8-2&amp;E8</f>
        <v>2007winter</v>
      </c>
      <c r="D8" s="179" t="str">
        <f>A8-3&amp;E8</f>
        <v>2006winter</v>
      </c>
      <c r="E8" s="183" t="s">
        <v>417</v>
      </c>
      <c r="F8" s="59">
        <v>0.46878578280562938</v>
      </c>
      <c r="G8" s="181">
        <v>0.46657142857142853</v>
      </c>
      <c r="H8" s="13"/>
      <c r="I8" s="58"/>
      <c r="J8" s="58"/>
      <c r="K8" s="97"/>
      <c r="L8" s="38"/>
      <c r="M8" s="38"/>
      <c r="Y8" s="176">
        <v>2009</v>
      </c>
      <c r="Z8" s="183" t="s">
        <v>417</v>
      </c>
      <c r="AA8" s="59">
        <v>0.46878578280562938</v>
      </c>
      <c r="AB8" s="301">
        <v>0.46657142857142853</v>
      </c>
    </row>
    <row r="9" spans="1:28">
      <c r="A9" s="43">
        <v>2009</v>
      </c>
      <c r="B9" s="179" t="str">
        <f>(A9-1)&amp;E9</f>
        <v>2008spring</v>
      </c>
      <c r="C9" s="178" t="str">
        <f>A9-2&amp;E9</f>
        <v>2007spring</v>
      </c>
      <c r="D9" s="179" t="str">
        <f>A9-3&amp;E9</f>
        <v>2006spring</v>
      </c>
      <c r="E9" s="180" t="s">
        <v>418</v>
      </c>
      <c r="F9" s="59">
        <v>0.6683380790351936</v>
      </c>
      <c r="G9" s="181">
        <v>0.98299999999999998</v>
      </c>
      <c r="H9" s="13"/>
      <c r="I9" s="58"/>
      <c r="J9" s="58"/>
      <c r="K9" s="97"/>
      <c r="L9" s="499"/>
      <c r="M9" s="499"/>
      <c r="Y9" s="176">
        <v>2009</v>
      </c>
      <c r="Z9" s="180" t="s">
        <v>418</v>
      </c>
      <c r="AA9" s="59">
        <v>0.6683380790351936</v>
      </c>
      <c r="AB9" s="181">
        <v>0.98299999999999998</v>
      </c>
    </row>
    <row r="10" spans="1:28">
      <c r="A10" s="43">
        <v>2009</v>
      </c>
      <c r="B10" s="178" t="str">
        <f>A10&amp;E10</f>
        <v>2009fall</v>
      </c>
      <c r="C10" s="179" t="str">
        <f>A10-1&amp;E10</f>
        <v>2008fall</v>
      </c>
      <c r="D10" s="178" t="str">
        <f>A10-2&amp;E10</f>
        <v>2007fall</v>
      </c>
      <c r="E10" s="182" t="s">
        <v>416</v>
      </c>
      <c r="F10" s="59">
        <v>0.84632957837683753</v>
      </c>
      <c r="G10" s="181">
        <v>0.81699999999999995</v>
      </c>
      <c r="H10" s="13"/>
      <c r="I10" s="58"/>
      <c r="J10" s="58"/>
      <c r="K10" s="97"/>
      <c r="L10" s="15">
        <f t="shared" ref="L10" si="1">PRODUCT(F9:F11)</f>
        <v>0.24669414727358488</v>
      </c>
      <c r="M10" s="15">
        <f>G10*G11^0.5</f>
        <v>0.64641172173777905</v>
      </c>
      <c r="Y10" s="176">
        <v>2009</v>
      </c>
      <c r="Z10" s="182" t="s">
        <v>416</v>
      </c>
      <c r="AA10" s="59">
        <v>0.84632957837683753</v>
      </c>
      <c r="AB10" s="181">
        <v>0.81699999999999995</v>
      </c>
    </row>
    <row r="11" spans="1:28">
      <c r="A11" s="43">
        <v>2010</v>
      </c>
      <c r="B11" s="178" t="str">
        <f>A11-1&amp;E11</f>
        <v>2009winter</v>
      </c>
      <c r="C11" s="179" t="str">
        <f>A11-2&amp;E11</f>
        <v>2008winter</v>
      </c>
      <c r="D11" s="178" t="str">
        <f>A11-3&amp;E11</f>
        <v>2007winter</v>
      </c>
      <c r="E11" s="183" t="s">
        <v>417</v>
      </c>
      <c r="F11" s="59">
        <v>0.43613718964943582</v>
      </c>
      <c r="G11" s="181">
        <v>0.626</v>
      </c>
      <c r="H11" s="13"/>
      <c r="I11" s="58"/>
      <c r="J11" s="58"/>
      <c r="K11" s="97"/>
      <c r="L11" s="38"/>
      <c r="M11" s="38"/>
      <c r="Y11" s="176">
        <v>2010</v>
      </c>
      <c r="Z11" s="183" t="s">
        <v>417</v>
      </c>
      <c r="AA11" s="59">
        <v>0.43613718964943582</v>
      </c>
      <c r="AB11" s="181">
        <v>0.626</v>
      </c>
    </row>
    <row r="12" spans="1:28">
      <c r="A12" s="43">
        <v>2010</v>
      </c>
      <c r="B12" s="178" t="str">
        <f>(A12-1)&amp;E12</f>
        <v>2009spring</v>
      </c>
      <c r="C12" s="179" t="str">
        <f>A12-2&amp;E12</f>
        <v>2008spring</v>
      </c>
      <c r="D12" s="178" t="str">
        <f>A12-3&amp;E12</f>
        <v>2007spring</v>
      </c>
      <c r="E12" s="180" t="s">
        <v>418</v>
      </c>
      <c r="F12" s="59">
        <v>0.97812196392157791</v>
      </c>
      <c r="G12" s="181">
        <v>0.98299999999999998</v>
      </c>
      <c r="H12" s="13"/>
      <c r="I12" s="58"/>
      <c r="J12" s="58"/>
      <c r="K12" s="97"/>
      <c r="L12" s="499"/>
      <c r="M12" s="499"/>
      <c r="Y12" s="176">
        <v>2010</v>
      </c>
      <c r="Z12" s="180" t="s">
        <v>418</v>
      </c>
      <c r="AA12" s="59">
        <v>0.97812196392157791</v>
      </c>
      <c r="AB12" s="181">
        <v>0.98299999999999998</v>
      </c>
    </row>
    <row r="13" spans="1:28">
      <c r="A13" s="43">
        <v>2010</v>
      </c>
      <c r="B13" s="179" t="str">
        <f>A13&amp;E13</f>
        <v>2010fall</v>
      </c>
      <c r="C13" s="178" t="str">
        <f>A13-1&amp;E13</f>
        <v>2009fall</v>
      </c>
      <c r="D13" s="179" t="str">
        <f>A13-2&amp;E13</f>
        <v>2008fall</v>
      </c>
      <c r="E13" s="182" t="s">
        <v>416</v>
      </c>
      <c r="F13" s="59">
        <v>0.7111335070851762</v>
      </c>
      <c r="G13" s="181">
        <v>0.62379999999999991</v>
      </c>
      <c r="H13" s="13"/>
      <c r="I13" s="58"/>
      <c r="J13" s="58"/>
      <c r="K13" s="97"/>
      <c r="L13" s="15">
        <f t="shared" ref="L13" si="2">PRODUCT(F12:F14)</f>
        <v>0.45131646125731284</v>
      </c>
      <c r="M13" s="15">
        <f>G13*G14^0.5</f>
        <v>0.38956297514009203</v>
      </c>
      <c r="Y13" s="176">
        <v>2010</v>
      </c>
      <c r="Z13" s="182" t="s">
        <v>416</v>
      </c>
      <c r="AA13" s="59">
        <v>0.7111335070851762</v>
      </c>
      <c r="AB13" s="301">
        <v>0.62379999999999991</v>
      </c>
    </row>
    <row r="14" spans="1:28">
      <c r="A14" s="43">
        <v>2011</v>
      </c>
      <c r="B14" s="179" t="str">
        <f>A14-1&amp;E14</f>
        <v>2010winter</v>
      </c>
      <c r="C14" s="178" t="str">
        <f>A14-2&amp;E14</f>
        <v>2009winter</v>
      </c>
      <c r="D14" s="179" t="str">
        <f>A14-3&amp;E14</f>
        <v>2008winter</v>
      </c>
      <c r="E14" s="183" t="s">
        <v>417</v>
      </c>
      <c r="F14" s="59">
        <v>0.64883911144616646</v>
      </c>
      <c r="G14" s="181">
        <v>0.39</v>
      </c>
      <c r="H14" s="13"/>
      <c r="I14" s="58"/>
      <c r="J14" s="58"/>
      <c r="K14" s="97"/>
      <c r="L14" s="38"/>
      <c r="M14" s="38"/>
      <c r="Y14" s="176">
        <v>2011</v>
      </c>
      <c r="Z14" s="183" t="s">
        <v>417</v>
      </c>
      <c r="AA14" s="59">
        <v>0.64883911144616646</v>
      </c>
      <c r="AB14" s="181">
        <v>0.39</v>
      </c>
    </row>
    <row r="15" spans="1:28">
      <c r="A15" s="43">
        <v>2011</v>
      </c>
      <c r="B15" s="179" t="str">
        <f>(A15-1)&amp;E15</f>
        <v>2010spring</v>
      </c>
      <c r="C15" s="178" t="str">
        <f>A15-2&amp;E15</f>
        <v>2009spring</v>
      </c>
      <c r="D15" s="179" t="str">
        <f>A15-3&amp;E15</f>
        <v>2008spring</v>
      </c>
      <c r="E15" s="180" t="s">
        <v>418</v>
      </c>
      <c r="F15" s="59">
        <v>0.93926711679762176</v>
      </c>
      <c r="G15" s="181">
        <v>0.98299999999999998</v>
      </c>
      <c r="H15" s="13"/>
      <c r="I15" s="58"/>
      <c r="J15" s="58"/>
      <c r="K15" s="97"/>
      <c r="L15" s="499"/>
      <c r="M15" s="499"/>
      <c r="Y15" s="176">
        <v>2011</v>
      </c>
      <c r="Z15" s="180" t="s">
        <v>418</v>
      </c>
      <c r="AA15" s="59">
        <v>0.93926711679762176</v>
      </c>
      <c r="AB15" s="181">
        <v>0.98299999999999998</v>
      </c>
    </row>
    <row r="16" spans="1:28">
      <c r="A16" s="43">
        <v>2011</v>
      </c>
      <c r="B16" s="178" t="str">
        <f>A16&amp;E16</f>
        <v>2011fall</v>
      </c>
      <c r="C16" s="179" t="str">
        <f>A16-1&amp;E16</f>
        <v>2010fall</v>
      </c>
      <c r="D16" s="178" t="str">
        <f>A16-2&amp;E16</f>
        <v>2009fall</v>
      </c>
      <c r="E16" s="182" t="s">
        <v>416</v>
      </c>
      <c r="F16" s="59">
        <v>0.79936092799251046</v>
      </c>
      <c r="G16" s="181">
        <v>0.63100000000000001</v>
      </c>
      <c r="H16" s="13"/>
      <c r="I16" s="58"/>
      <c r="J16" s="58"/>
      <c r="K16" s="97"/>
      <c r="L16" s="15">
        <f t="shared" ref="L16" si="3">PRODUCT(F15:F17)</f>
        <v>0.40502715000476686</v>
      </c>
      <c r="M16" s="15">
        <f>G16*G17^0.5</f>
        <v>0.4147355205429118</v>
      </c>
      <c r="Y16" s="176">
        <v>2011</v>
      </c>
      <c r="Z16" s="182" t="s">
        <v>416</v>
      </c>
      <c r="AA16" s="59">
        <v>0.79936092799251046</v>
      </c>
      <c r="AB16" s="181">
        <v>0.63100000000000001</v>
      </c>
    </row>
    <row r="17" spans="1:39">
      <c r="A17" s="43">
        <v>2012</v>
      </c>
      <c r="B17" s="178" t="str">
        <f>A17-1&amp;E17</f>
        <v>2011winter</v>
      </c>
      <c r="C17" s="179" t="str">
        <f>A17-2&amp;E17</f>
        <v>2010winter</v>
      </c>
      <c r="D17" s="178" t="str">
        <f>A17-3&amp;E17</f>
        <v>2009winter</v>
      </c>
      <c r="E17" s="183" t="s">
        <v>417</v>
      </c>
      <c r="F17" s="59">
        <v>0.5394511227433425</v>
      </c>
      <c r="G17" s="489">
        <v>0.432</v>
      </c>
      <c r="H17" s="13"/>
      <c r="I17" s="58"/>
      <c r="J17" s="58"/>
      <c r="K17" s="97"/>
      <c r="L17" s="38"/>
      <c r="M17" s="38"/>
      <c r="Y17" s="176">
        <v>2012</v>
      </c>
      <c r="Z17" s="183" t="s">
        <v>417</v>
      </c>
      <c r="AA17" s="59">
        <v>0.5394511227433425</v>
      </c>
      <c r="AB17" s="181">
        <v>0.432</v>
      </c>
    </row>
    <row r="18" spans="1:39">
      <c r="A18" s="43">
        <v>2012</v>
      </c>
      <c r="B18" s="178" t="str">
        <f>(A18-1)&amp;E18</f>
        <v>2011spring</v>
      </c>
      <c r="C18" s="179" t="str">
        <f>A18-2&amp;E18</f>
        <v>2010spring</v>
      </c>
      <c r="D18" s="178" t="str">
        <f>A18-3&amp;E18</f>
        <v>2009spring</v>
      </c>
      <c r="E18" s="180" t="s">
        <v>418</v>
      </c>
      <c r="F18" s="59">
        <v>0.92668318385829462</v>
      </c>
      <c r="G18" s="181">
        <v>0.98299999999999998</v>
      </c>
      <c r="H18" s="13"/>
      <c r="I18" s="58"/>
      <c r="J18" s="58"/>
      <c r="K18" s="97"/>
      <c r="L18" s="499"/>
      <c r="M18" s="499"/>
      <c r="Y18" s="176">
        <v>2012</v>
      </c>
      <c r="Z18" s="180" t="s">
        <v>418</v>
      </c>
      <c r="AA18" s="59">
        <v>0.92668318385829462</v>
      </c>
      <c r="AB18" s="181">
        <v>0.98299999999999998</v>
      </c>
    </row>
    <row r="19" spans="1:39">
      <c r="A19" s="43">
        <v>2012</v>
      </c>
      <c r="B19" s="179" t="str">
        <f>A19&amp;E19</f>
        <v>2012fall</v>
      </c>
      <c r="C19" s="178" t="str">
        <f>A19-1&amp;E19</f>
        <v>2011fall</v>
      </c>
      <c r="D19" s="179" t="str">
        <f>A19-2&amp;E19</f>
        <v>2010fall</v>
      </c>
      <c r="E19" s="182" t="s">
        <v>416</v>
      </c>
      <c r="F19" s="303">
        <v>0.74927858214127352</v>
      </c>
      <c r="G19" s="181">
        <v>0.58899999999999997</v>
      </c>
      <c r="H19" s="13"/>
      <c r="I19" s="58"/>
      <c r="J19" s="58"/>
      <c r="K19" s="97"/>
      <c r="L19" s="15">
        <f>PRODUCT(F3:F5)</f>
        <v>0.27422149083109604</v>
      </c>
      <c r="M19" s="15">
        <f t="shared" ref="M19" si="4">G19*G20^0.5</f>
        <v>0.38034991389508682</v>
      </c>
      <c r="Y19" s="176">
        <v>2012</v>
      </c>
      <c r="Z19" s="182" t="s">
        <v>416</v>
      </c>
      <c r="AA19" s="59">
        <v>0.74927858214127352</v>
      </c>
      <c r="AB19" s="181">
        <v>0.58899999999999997</v>
      </c>
    </row>
    <row r="20" spans="1:39">
      <c r="A20" s="43">
        <v>2013</v>
      </c>
      <c r="B20" s="179" t="str">
        <f>A20-1&amp;E20</f>
        <v>2012winter</v>
      </c>
      <c r="C20" s="178" t="str">
        <f>A20-2&amp;E20</f>
        <v>2011winter</v>
      </c>
      <c r="D20" s="179" t="str">
        <f>A20-3&amp;E20</f>
        <v>2010winter</v>
      </c>
      <c r="E20" s="183" t="s">
        <v>417</v>
      </c>
      <c r="F20" s="59">
        <v>0.52611097089419601</v>
      </c>
      <c r="G20" s="181">
        <v>0.41699999999999998</v>
      </c>
      <c r="H20" s="13"/>
      <c r="I20" s="58"/>
      <c r="J20" s="58"/>
      <c r="K20" s="97"/>
      <c r="L20" s="38"/>
      <c r="M20" s="499"/>
      <c r="Y20" s="176">
        <v>2013</v>
      </c>
      <c r="Z20" s="183" t="s">
        <v>417</v>
      </c>
      <c r="AA20" s="59">
        <v>0.52611097089419601</v>
      </c>
      <c r="AB20" s="181">
        <v>0.41699999999999998</v>
      </c>
    </row>
    <row r="21" spans="1:39">
      <c r="A21" s="43">
        <v>2013</v>
      </c>
      <c r="B21" s="179" t="str">
        <f>(A21-1)&amp;E21</f>
        <v>2012spring</v>
      </c>
      <c r="C21" s="178" t="str">
        <f>A21-2&amp;E21</f>
        <v>2011spring</v>
      </c>
      <c r="D21" s="179" t="str">
        <f>A21-3&amp;E21</f>
        <v>2010spring</v>
      </c>
      <c r="E21" s="180" t="s">
        <v>418</v>
      </c>
      <c r="F21" s="59">
        <v>0.67416511030792603</v>
      </c>
      <c r="G21" s="181">
        <v>0.98299999999999998</v>
      </c>
      <c r="H21" s="13"/>
      <c r="I21" s="58"/>
      <c r="J21" s="58"/>
      <c r="K21" s="97"/>
      <c r="L21">
        <f>STDEV(L5:L19)/AVERAGE(L5:L19)</f>
        <v>0.25191655327139417</v>
      </c>
      <c r="M21" s="499">
        <f>STDEV(M7:M19)/AVERAGE(M7:M19)</f>
        <v>0.23867840416240915</v>
      </c>
      <c r="Y21" s="176">
        <v>2013</v>
      </c>
      <c r="Z21" s="180" t="s">
        <v>418</v>
      </c>
      <c r="AA21" s="59">
        <v>0.67416511030792603</v>
      </c>
      <c r="AB21" s="181">
        <v>0.98299999999999998</v>
      </c>
    </row>
    <row r="22" spans="1:39">
      <c r="A22" s="367">
        <v>2013</v>
      </c>
      <c r="B22" s="185" t="str">
        <f>A22&amp;E22</f>
        <v>2013fall</v>
      </c>
      <c r="C22" s="185" t="str">
        <f>A22-1&amp;E22</f>
        <v>2012fall</v>
      </c>
      <c r="D22" s="186" t="str">
        <f>A22-2&amp;E22</f>
        <v>2011fall</v>
      </c>
      <c r="E22" s="187" t="s">
        <v>416</v>
      </c>
      <c r="F22" s="60">
        <v>0.63326504494545621</v>
      </c>
      <c r="G22" s="188">
        <v>0.62379999999999991</v>
      </c>
      <c r="H22" s="13"/>
      <c r="I22" s="58"/>
      <c r="J22" s="58"/>
      <c r="K22" s="97"/>
      <c r="Y22" s="184">
        <v>2013</v>
      </c>
      <c r="Z22" s="187" t="s">
        <v>416</v>
      </c>
      <c r="AA22" s="60">
        <v>0.63326504494545621</v>
      </c>
      <c r="AB22" s="300">
        <v>0.62379999999999991</v>
      </c>
    </row>
    <row r="23" spans="1:39">
      <c r="A23" s="93"/>
      <c r="B23" s="13"/>
      <c r="C23" s="13"/>
      <c r="D23" s="13"/>
      <c r="E23" s="13"/>
      <c r="F23" s="13"/>
      <c r="G23" s="13"/>
      <c r="H23" s="13"/>
      <c r="I23" s="13"/>
      <c r="J23" s="13"/>
      <c r="K23" s="97"/>
      <c r="AL23" s="297"/>
      <c r="AM23" s="297"/>
    </row>
    <row r="24" spans="1:39" ht="15" thickBot="1">
      <c r="A24" s="227" t="s">
        <v>835</v>
      </c>
      <c r="B24" s="42"/>
      <c r="C24" s="42"/>
      <c r="D24" s="42"/>
      <c r="E24" s="42"/>
      <c r="F24" s="42"/>
      <c r="G24" s="42"/>
      <c r="H24" s="42"/>
      <c r="I24" s="42"/>
      <c r="J24" s="42"/>
      <c r="K24" s="102"/>
      <c r="S24" t="s">
        <v>834</v>
      </c>
      <c r="AE24" s="297"/>
      <c r="AF24" s="297"/>
      <c r="AG24" s="297"/>
      <c r="AH24" s="297"/>
      <c r="AI24" s="297"/>
      <c r="AJ24" s="297"/>
      <c r="AK24" s="297"/>
      <c r="AL24" s="297"/>
      <c r="AM24" s="297"/>
    </row>
    <row r="25" spans="1:39">
      <c r="A25" s="368" t="s">
        <v>558</v>
      </c>
      <c r="B25" s="369" t="s">
        <v>238</v>
      </c>
      <c r="C25" s="369" t="s">
        <v>559</v>
      </c>
      <c r="D25" s="369" t="s">
        <v>560</v>
      </c>
      <c r="E25" s="369" t="s">
        <v>574</v>
      </c>
      <c r="F25" s="369" t="s">
        <v>237</v>
      </c>
      <c r="G25" s="369"/>
      <c r="H25" s="369" t="s">
        <v>561</v>
      </c>
      <c r="I25" s="369" t="s">
        <v>199</v>
      </c>
      <c r="J25" s="369" t="s">
        <v>562</v>
      </c>
      <c r="K25" s="369" t="s">
        <v>563</v>
      </c>
      <c r="L25" s="369" t="s">
        <v>564</v>
      </c>
      <c r="M25" s="369" t="s">
        <v>565</v>
      </c>
      <c r="N25" s="369" t="s">
        <v>566</v>
      </c>
      <c r="O25" s="369" t="s">
        <v>567</v>
      </c>
      <c r="P25" s="369"/>
      <c r="Q25" s="369"/>
      <c r="S25" t="s">
        <v>833</v>
      </c>
      <c r="AE25" s="297"/>
      <c r="AF25" s="297"/>
      <c r="AG25" s="297"/>
      <c r="AH25" s="297"/>
      <c r="AI25" s="297"/>
      <c r="AJ25" s="297"/>
      <c r="AK25" s="297"/>
      <c r="AL25" s="297"/>
      <c r="AM25" s="297"/>
    </row>
    <row r="26" spans="1:39">
      <c r="A26" s="370">
        <v>25</v>
      </c>
      <c r="B26" s="370" t="s">
        <v>568</v>
      </c>
      <c r="C26" s="370" t="s">
        <v>573</v>
      </c>
      <c r="D26" s="370" t="s">
        <v>571</v>
      </c>
      <c r="E26" s="370">
        <v>1</v>
      </c>
      <c r="F26" s="370">
        <v>2007</v>
      </c>
      <c r="G26" s="370" t="s">
        <v>303</v>
      </c>
      <c r="H26" s="370">
        <v>25</v>
      </c>
      <c r="I26" s="370" t="s">
        <v>303</v>
      </c>
      <c r="J26" s="370">
        <v>0.997</v>
      </c>
      <c r="K26" s="370">
        <v>2E-3</v>
      </c>
      <c r="L26" s="370">
        <v>0.98799999999999999</v>
      </c>
      <c r="M26" s="370">
        <v>0.999</v>
      </c>
      <c r="N26" s="369">
        <v>9.4289999999999999E-3</v>
      </c>
      <c r="O26" s="369">
        <v>2.1259999999999999E-3</v>
      </c>
      <c r="P26" s="370" t="s">
        <v>571</v>
      </c>
      <c r="Q26" s="369" t="b">
        <f>P26=D26</f>
        <v>1</v>
      </c>
      <c r="S26" s="500" t="s">
        <v>237</v>
      </c>
      <c r="T26" s="502" t="s">
        <v>560</v>
      </c>
      <c r="U26" s="502" t="s">
        <v>809</v>
      </c>
      <c r="V26" s="501" t="s">
        <v>810</v>
      </c>
      <c r="W26" s="501" t="s">
        <v>811</v>
      </c>
      <c r="AF26" s="25"/>
      <c r="AG26" s="59"/>
      <c r="AH26" s="297"/>
      <c r="AI26" s="297"/>
      <c r="AJ26" s="297"/>
      <c r="AK26" s="297"/>
      <c r="AL26" s="297"/>
      <c r="AM26" s="297"/>
    </row>
    <row r="27" spans="1:39">
      <c r="A27" s="371">
        <v>26</v>
      </c>
      <c r="B27" s="371" t="s">
        <v>568</v>
      </c>
      <c r="C27" s="371" t="s">
        <v>573</v>
      </c>
      <c r="D27" s="371" t="s">
        <v>572</v>
      </c>
      <c r="E27" s="371">
        <v>2</v>
      </c>
      <c r="F27" s="371">
        <v>2007</v>
      </c>
      <c r="G27" s="371" t="s">
        <v>303</v>
      </c>
      <c r="H27" s="371">
        <v>26</v>
      </c>
      <c r="I27" s="371" t="s">
        <v>303</v>
      </c>
      <c r="J27" s="371">
        <v>0.78400000000000003</v>
      </c>
      <c r="K27" s="371">
        <v>8.6999999999999994E-2</v>
      </c>
      <c r="L27" s="371">
        <v>0.56999999999999995</v>
      </c>
      <c r="M27" s="371">
        <v>0.90800000000000003</v>
      </c>
      <c r="N27" s="369">
        <v>0.213592</v>
      </c>
      <c r="O27" s="369">
        <v>0.124504</v>
      </c>
      <c r="P27" s="371" t="s">
        <v>572</v>
      </c>
      <c r="Q27" s="369" t="b">
        <f t="shared" ref="Q27:Q49" si="5">P27=D27</f>
        <v>1</v>
      </c>
      <c r="S27" s="503">
        <v>2007</v>
      </c>
      <c r="T27" s="503" t="s">
        <v>812</v>
      </c>
      <c r="U27" s="503" t="s">
        <v>813</v>
      </c>
      <c r="V27" s="503">
        <v>0.23061215124324008</v>
      </c>
      <c r="W27" s="508">
        <v>0.72272983273337188</v>
      </c>
      <c r="AJ27" s="297"/>
      <c r="AK27" s="297"/>
      <c r="AL27" s="297"/>
      <c r="AM27" s="297"/>
    </row>
    <row r="28" spans="1:39">
      <c r="A28" s="372">
        <v>24</v>
      </c>
      <c r="B28" s="372" t="s">
        <v>568</v>
      </c>
      <c r="C28" s="372" t="s">
        <v>573</v>
      </c>
      <c r="D28" s="372" t="s">
        <v>570</v>
      </c>
      <c r="E28" s="372">
        <v>3</v>
      </c>
      <c r="F28" s="372">
        <v>2007</v>
      </c>
      <c r="G28" s="372" t="s">
        <v>303</v>
      </c>
      <c r="H28" s="372">
        <v>24</v>
      </c>
      <c r="I28" s="372" t="s">
        <v>303</v>
      </c>
      <c r="J28" s="372">
        <v>0.21299999999999999</v>
      </c>
      <c r="K28" s="372">
        <v>5.0999999999999997E-2</v>
      </c>
      <c r="L28" s="372">
        <v>0.13</v>
      </c>
      <c r="M28" s="372">
        <v>0.32900000000000001</v>
      </c>
      <c r="N28" s="369">
        <v>8.2797999999999997E-2</v>
      </c>
      <c r="O28" s="369">
        <v>0.115568</v>
      </c>
      <c r="P28" s="372" t="s">
        <v>570</v>
      </c>
      <c r="Q28" s="369" t="b">
        <f t="shared" si="5"/>
        <v>1</v>
      </c>
      <c r="S28" s="503">
        <v>2007</v>
      </c>
      <c r="T28" s="503" t="s">
        <v>572</v>
      </c>
      <c r="U28" s="503" t="s">
        <v>814</v>
      </c>
      <c r="V28" s="503">
        <v>0.86516562245010953</v>
      </c>
      <c r="W28" s="508">
        <v>0.86166572076014047</v>
      </c>
      <c r="AJ28" s="499"/>
      <c r="AK28" s="297"/>
      <c r="AL28" s="297"/>
      <c r="AM28" s="297"/>
    </row>
    <row r="29" spans="1:39">
      <c r="A29" s="370">
        <v>28</v>
      </c>
      <c r="B29" s="370" t="s">
        <v>568</v>
      </c>
      <c r="C29" s="370" t="s">
        <v>573</v>
      </c>
      <c r="D29" s="370" t="s">
        <v>571</v>
      </c>
      <c r="E29" s="370">
        <v>1</v>
      </c>
      <c r="F29" s="370">
        <v>2008</v>
      </c>
      <c r="G29" s="370" t="s">
        <v>303</v>
      </c>
      <c r="H29" s="370">
        <v>28</v>
      </c>
      <c r="I29" s="370" t="s">
        <v>303</v>
      </c>
      <c r="J29" s="370">
        <v>0.997</v>
      </c>
      <c r="K29" s="370">
        <v>2E-3</v>
      </c>
      <c r="L29" s="370">
        <v>0.98799999999999999</v>
      </c>
      <c r="M29" s="370">
        <v>0.999</v>
      </c>
      <c r="N29" s="369">
        <v>9.4289999999999999E-3</v>
      </c>
      <c r="O29" s="369">
        <v>2.1259999999999999E-3</v>
      </c>
      <c r="P29" s="370" t="s">
        <v>571</v>
      </c>
      <c r="Q29" s="369" t="b">
        <f t="shared" si="5"/>
        <v>1</v>
      </c>
      <c r="S29" s="503">
        <v>2008</v>
      </c>
      <c r="T29" s="504" t="s">
        <v>570</v>
      </c>
      <c r="U29" s="503" t="s">
        <v>815</v>
      </c>
      <c r="V29" s="503">
        <v>0.3148741376009267</v>
      </c>
      <c r="W29" s="508">
        <v>0.44033853156397562</v>
      </c>
      <c r="AJ29" s="499"/>
      <c r="AK29" s="297"/>
      <c r="AL29" s="297"/>
      <c r="AM29" s="297"/>
    </row>
    <row r="30" spans="1:39">
      <c r="A30" s="371">
        <v>29</v>
      </c>
      <c r="B30" s="371" t="s">
        <v>568</v>
      </c>
      <c r="C30" s="371" t="s">
        <v>573</v>
      </c>
      <c r="D30" s="371" t="s">
        <v>572</v>
      </c>
      <c r="E30" s="371">
        <v>2</v>
      </c>
      <c r="F30" s="371">
        <v>2008</v>
      </c>
      <c r="G30" s="371" t="s">
        <v>303</v>
      </c>
      <c r="H30" s="371">
        <v>29</v>
      </c>
      <c r="I30" s="371" t="s">
        <v>303</v>
      </c>
      <c r="J30" s="371">
        <v>0.92400000000000004</v>
      </c>
      <c r="K30" s="371">
        <v>0.11899999999999999</v>
      </c>
      <c r="L30" s="371">
        <v>0.307</v>
      </c>
      <c r="M30" s="371">
        <v>0.997</v>
      </c>
      <c r="N30" s="369">
        <v>0.61623899999999998</v>
      </c>
      <c r="O30" s="369">
        <v>7.3294999999999999E-2</v>
      </c>
      <c r="P30" s="371" t="s">
        <v>572</v>
      </c>
      <c r="Q30" s="369" t="b">
        <f t="shared" si="5"/>
        <v>1</v>
      </c>
      <c r="S30" s="503">
        <v>2008</v>
      </c>
      <c r="T30" s="504" t="s">
        <v>812</v>
      </c>
      <c r="U30" s="503" t="s">
        <v>816</v>
      </c>
      <c r="V30" s="503">
        <v>0.66644423658352692</v>
      </c>
      <c r="W30" s="508">
        <v>0.96438291436105139</v>
      </c>
      <c r="AJ30" s="499"/>
      <c r="AK30" s="297"/>
      <c r="AL30" s="297"/>
      <c r="AM30" s="297"/>
    </row>
    <row r="31" spans="1:39">
      <c r="A31" s="372">
        <v>27</v>
      </c>
      <c r="B31" s="372" t="s">
        <v>568</v>
      </c>
      <c r="C31" s="372" t="s">
        <v>573</v>
      </c>
      <c r="D31" s="372" t="s">
        <v>570</v>
      </c>
      <c r="E31" s="372">
        <v>3</v>
      </c>
      <c r="F31" s="372">
        <v>2008</v>
      </c>
      <c r="G31" s="372" t="s">
        <v>303</v>
      </c>
      <c r="H31" s="372">
        <v>27</v>
      </c>
      <c r="I31" s="372" t="s">
        <v>303</v>
      </c>
      <c r="J31" s="372">
        <v>0.19</v>
      </c>
      <c r="K31" s="372">
        <v>2.5000000000000001E-2</v>
      </c>
      <c r="L31" s="372">
        <v>0.14499999999999999</v>
      </c>
      <c r="M31" s="372">
        <v>0.24399999999999999</v>
      </c>
      <c r="N31" s="369">
        <v>4.4423999999999998E-2</v>
      </c>
      <c r="O31" s="369">
        <v>5.4121000000000002E-2</v>
      </c>
      <c r="P31" s="372" t="s">
        <v>570</v>
      </c>
      <c r="Q31" s="369" t="b">
        <f t="shared" si="5"/>
        <v>1</v>
      </c>
      <c r="S31" s="503">
        <v>2008</v>
      </c>
      <c r="T31" s="505" t="s">
        <v>572</v>
      </c>
      <c r="U31" s="503" t="s">
        <v>817</v>
      </c>
      <c r="V31" s="503">
        <v>0.5717504533888087</v>
      </c>
      <c r="W31" s="508">
        <v>0.88535429250547937</v>
      </c>
      <c r="AJ31" s="499"/>
      <c r="AK31" s="297"/>
      <c r="AL31" s="297"/>
      <c r="AM31" s="297"/>
    </row>
    <row r="32" spans="1:39">
      <c r="A32" s="370">
        <v>31</v>
      </c>
      <c r="B32" s="370" t="s">
        <v>568</v>
      </c>
      <c r="C32" s="370" t="s">
        <v>573</v>
      </c>
      <c r="D32" s="370" t="s">
        <v>571</v>
      </c>
      <c r="E32" s="370">
        <v>1</v>
      </c>
      <c r="F32" s="370">
        <v>2009</v>
      </c>
      <c r="G32" s="370" t="s">
        <v>303</v>
      </c>
      <c r="H32" s="370">
        <v>31</v>
      </c>
      <c r="I32" s="370" t="s">
        <v>303</v>
      </c>
      <c r="J32" s="370">
        <v>0.997</v>
      </c>
      <c r="K32" s="370">
        <v>2E-3</v>
      </c>
      <c r="L32" s="370">
        <v>0.98799999999999999</v>
      </c>
      <c r="M32" s="370">
        <v>0.999</v>
      </c>
      <c r="N32" s="369">
        <v>9.4289999999999999E-3</v>
      </c>
      <c r="O32" s="369">
        <v>2.1259999999999999E-3</v>
      </c>
      <c r="P32" s="370" t="s">
        <v>571</v>
      </c>
      <c r="Q32" s="369" t="b">
        <f t="shared" si="5"/>
        <v>1</v>
      </c>
      <c r="S32" s="503">
        <v>2009</v>
      </c>
      <c r="T32" s="505" t="s">
        <v>570</v>
      </c>
      <c r="U32" s="503" t="s">
        <v>818</v>
      </c>
      <c r="V32" s="503">
        <v>0.40716131680870699</v>
      </c>
      <c r="W32" s="508">
        <v>0.46878578280562938</v>
      </c>
      <c r="AJ32" s="499"/>
      <c r="AK32" s="297"/>
      <c r="AL32" s="297"/>
      <c r="AM32" s="297"/>
    </row>
    <row r="33" spans="1:45">
      <c r="A33" s="371">
        <v>32</v>
      </c>
      <c r="B33" s="371" t="s">
        <v>568</v>
      </c>
      <c r="C33" s="371" t="s">
        <v>573</v>
      </c>
      <c r="D33" s="371" t="s">
        <v>572</v>
      </c>
      <c r="E33" s="371">
        <v>2</v>
      </c>
      <c r="F33" s="371">
        <v>2009</v>
      </c>
      <c r="G33" s="371" t="s">
        <v>303</v>
      </c>
      <c r="H33" s="371">
        <v>32</v>
      </c>
      <c r="I33" s="371" t="s">
        <v>303</v>
      </c>
      <c r="J33" s="371">
        <v>0.78200000000000003</v>
      </c>
      <c r="K33" s="371">
        <v>5.3999999999999999E-2</v>
      </c>
      <c r="L33" s="371">
        <v>0.65800000000000003</v>
      </c>
      <c r="M33" s="371">
        <v>0.87</v>
      </c>
      <c r="N33" s="369">
        <v>0.124112</v>
      </c>
      <c r="O33" s="369">
        <v>8.7966000000000003E-2</v>
      </c>
      <c r="P33" s="371" t="s">
        <v>572</v>
      </c>
      <c r="Q33" s="369" t="b">
        <f t="shared" si="5"/>
        <v>1</v>
      </c>
      <c r="S33" s="503">
        <v>2009</v>
      </c>
      <c r="T33" s="505" t="s">
        <v>812</v>
      </c>
      <c r="U33" s="503" t="s">
        <v>819</v>
      </c>
      <c r="V33" s="503">
        <v>0.36270792313720396</v>
      </c>
      <c r="W33" s="508">
        <v>0.6683380790351936</v>
      </c>
      <c r="AJ33" s="499"/>
      <c r="AK33" s="297"/>
      <c r="AL33" s="297"/>
      <c r="AM33" s="297"/>
    </row>
    <row r="34" spans="1:45">
      <c r="A34" s="372">
        <v>30</v>
      </c>
      <c r="B34" s="372" t="s">
        <v>568</v>
      </c>
      <c r="C34" s="372" t="s">
        <v>573</v>
      </c>
      <c r="D34" s="372" t="s">
        <v>570</v>
      </c>
      <c r="E34" s="372">
        <v>3</v>
      </c>
      <c r="F34" s="372">
        <v>2009</v>
      </c>
      <c r="G34" s="372" t="s">
        <v>303</v>
      </c>
      <c r="H34" s="372">
        <v>30</v>
      </c>
      <c r="I34" s="372" t="s">
        <v>303</v>
      </c>
      <c r="J34" s="372">
        <v>0.158</v>
      </c>
      <c r="K34" s="372">
        <v>2.5999999999999999E-2</v>
      </c>
      <c r="L34" s="372">
        <v>0.113</v>
      </c>
      <c r="M34" s="372">
        <v>0.217</v>
      </c>
      <c r="N34" s="369">
        <v>4.5312999999999999E-2</v>
      </c>
      <c r="O34" s="369">
        <v>5.9059E-2</v>
      </c>
      <c r="P34" s="372" t="s">
        <v>570</v>
      </c>
      <c r="Q34" s="369" t="b">
        <f t="shared" si="5"/>
        <v>1</v>
      </c>
      <c r="S34" s="506">
        <v>2009</v>
      </c>
      <c r="T34" s="507" t="s">
        <v>572</v>
      </c>
      <c r="U34" s="506" t="s">
        <v>820</v>
      </c>
      <c r="V34" s="506">
        <v>0.66262879093456573</v>
      </c>
      <c r="W34" s="509">
        <v>0.84632957837683753</v>
      </c>
      <c r="AJ34" s="499"/>
      <c r="AK34" s="297"/>
      <c r="AL34" s="297"/>
      <c r="AM34" s="297"/>
    </row>
    <row r="35" spans="1:45">
      <c r="A35" s="370">
        <v>34</v>
      </c>
      <c r="B35" s="370" t="s">
        <v>568</v>
      </c>
      <c r="C35" s="370" t="s">
        <v>573</v>
      </c>
      <c r="D35" s="370" t="s">
        <v>571</v>
      </c>
      <c r="E35" s="370">
        <v>1</v>
      </c>
      <c r="F35" s="370">
        <v>2010</v>
      </c>
      <c r="G35" s="370" t="s">
        <v>303</v>
      </c>
      <c r="H35" s="370">
        <v>34</v>
      </c>
      <c r="I35" s="370" t="s">
        <v>303</v>
      </c>
      <c r="J35" s="370">
        <v>0.997</v>
      </c>
      <c r="K35" s="370">
        <v>2E-3</v>
      </c>
      <c r="L35" s="370">
        <v>0.98799999999999999</v>
      </c>
      <c r="M35" s="370">
        <v>0.999</v>
      </c>
      <c r="N35" s="369">
        <v>9.4289999999999999E-3</v>
      </c>
      <c r="O35" s="369">
        <v>2.1259999999999999E-3</v>
      </c>
      <c r="P35" s="370" t="s">
        <v>571</v>
      </c>
      <c r="Q35" s="369" t="b">
        <f t="shared" si="5"/>
        <v>1</v>
      </c>
      <c r="S35" s="503">
        <v>2010</v>
      </c>
      <c r="T35" s="503" t="s">
        <v>570</v>
      </c>
      <c r="U35" s="503" t="s">
        <v>821</v>
      </c>
      <c r="V35" s="503">
        <v>0.64583477059164207</v>
      </c>
      <c r="W35" s="508">
        <v>0.43613718964943582</v>
      </c>
      <c r="AJ35" s="499"/>
      <c r="AK35" s="297"/>
      <c r="AL35" s="297"/>
      <c r="AM35" s="297"/>
    </row>
    <row r="36" spans="1:45">
      <c r="A36" s="371">
        <v>35</v>
      </c>
      <c r="B36" s="371" t="s">
        <v>568</v>
      </c>
      <c r="C36" s="371" t="s">
        <v>573</v>
      </c>
      <c r="D36" s="371" t="s">
        <v>572</v>
      </c>
      <c r="E36" s="371">
        <v>2</v>
      </c>
      <c r="F36" s="371">
        <v>2010</v>
      </c>
      <c r="G36" s="371" t="s">
        <v>303</v>
      </c>
      <c r="H36" s="371">
        <v>35</v>
      </c>
      <c r="I36" s="371" t="s">
        <v>303</v>
      </c>
      <c r="J36" s="371">
        <v>0.871</v>
      </c>
      <c r="K36" s="371">
        <v>6.3E-2</v>
      </c>
      <c r="L36" s="371">
        <v>0.69399999999999995</v>
      </c>
      <c r="M36" s="371">
        <v>0.95299999999999996</v>
      </c>
      <c r="N36" s="369">
        <v>0.177172</v>
      </c>
      <c r="O36" s="369">
        <v>8.1605999999999998E-2</v>
      </c>
      <c r="P36" s="371" t="s">
        <v>572</v>
      </c>
      <c r="Q36" s="369" t="b">
        <f t="shared" si="5"/>
        <v>1</v>
      </c>
      <c r="S36" s="503">
        <v>2010</v>
      </c>
      <c r="T36" s="503" t="s">
        <v>812</v>
      </c>
      <c r="U36" s="503" t="s">
        <v>822</v>
      </c>
      <c r="V36" s="503">
        <v>0.86311597141603402</v>
      </c>
      <c r="W36" s="508">
        <v>0.97812196392157791</v>
      </c>
      <c r="Y36" s="297"/>
      <c r="Z36" s="297"/>
      <c r="AJ36" s="499"/>
    </row>
    <row r="37" spans="1:45">
      <c r="A37" s="372">
        <v>33</v>
      </c>
      <c r="B37" s="372" t="s">
        <v>568</v>
      </c>
      <c r="C37" s="372" t="s">
        <v>573</v>
      </c>
      <c r="D37" s="372" t="s">
        <v>570</v>
      </c>
      <c r="E37" s="372">
        <v>3</v>
      </c>
      <c r="F37" s="372">
        <v>2010</v>
      </c>
      <c r="G37" s="372" t="s">
        <v>303</v>
      </c>
      <c r="H37" s="372">
        <v>33</v>
      </c>
      <c r="I37" s="372" t="s">
        <v>303</v>
      </c>
      <c r="J37" s="372">
        <v>9.8000000000000004E-2</v>
      </c>
      <c r="K37" s="372">
        <v>1.9E-2</v>
      </c>
      <c r="L37" s="372">
        <v>6.6000000000000003E-2</v>
      </c>
      <c r="M37" s="372">
        <v>0.14299999999999999</v>
      </c>
      <c r="N37" s="369">
        <v>3.1926999999999997E-2</v>
      </c>
      <c r="O37" s="369">
        <v>4.5039999999999997E-2</v>
      </c>
      <c r="P37" s="372" t="s">
        <v>570</v>
      </c>
      <c r="Q37" s="369" t="b">
        <f t="shared" si="5"/>
        <v>1</v>
      </c>
      <c r="S37" s="503">
        <v>2010</v>
      </c>
      <c r="T37" s="503" t="s">
        <v>572</v>
      </c>
      <c r="U37" s="503" t="s">
        <v>823</v>
      </c>
      <c r="V37" s="503">
        <v>0.75000064526861243</v>
      </c>
      <c r="W37" s="508">
        <v>0.7111335070851762</v>
      </c>
      <c r="Y37" s="297"/>
      <c r="Z37" s="297"/>
      <c r="AJ37" s="499"/>
    </row>
    <row r="38" spans="1:45">
      <c r="A38" s="370">
        <v>37</v>
      </c>
      <c r="B38" s="370" t="s">
        <v>568</v>
      </c>
      <c r="C38" s="370" t="s">
        <v>573</v>
      </c>
      <c r="D38" s="370" t="s">
        <v>571</v>
      </c>
      <c r="E38" s="370">
        <v>1</v>
      </c>
      <c r="F38" s="370">
        <v>2011</v>
      </c>
      <c r="G38" s="370" t="s">
        <v>303</v>
      </c>
      <c r="H38" s="370">
        <v>37</v>
      </c>
      <c r="I38" s="370" t="s">
        <v>303</v>
      </c>
      <c r="J38" s="370">
        <v>0.997</v>
      </c>
      <c r="K38" s="370">
        <v>2E-3</v>
      </c>
      <c r="L38" s="370">
        <v>0.98799999999999999</v>
      </c>
      <c r="M38" s="370">
        <v>0.999</v>
      </c>
      <c r="N38" s="369">
        <v>9.4289999999999999E-3</v>
      </c>
      <c r="O38" s="369">
        <v>2.1259999999999999E-3</v>
      </c>
      <c r="P38" s="370" t="s">
        <v>571</v>
      </c>
      <c r="Q38" s="369" t="b">
        <f t="shared" si="5"/>
        <v>1</v>
      </c>
      <c r="S38" s="503">
        <v>2011</v>
      </c>
      <c r="T38" s="503" t="s">
        <v>570</v>
      </c>
      <c r="U38" s="503" t="s">
        <v>824</v>
      </c>
      <c r="V38" s="503">
        <v>0.59546259143042368</v>
      </c>
      <c r="W38" s="508">
        <v>0.64883911144616646</v>
      </c>
      <c r="Y38" s="297"/>
      <c r="Z38" s="297"/>
      <c r="AJ38" s="499"/>
    </row>
    <row r="39" spans="1:45">
      <c r="A39" s="371">
        <v>38</v>
      </c>
      <c r="B39" s="371" t="s">
        <v>568</v>
      </c>
      <c r="C39" s="371" t="s">
        <v>573</v>
      </c>
      <c r="D39" s="371" t="s">
        <v>572</v>
      </c>
      <c r="E39" s="371">
        <v>2</v>
      </c>
      <c r="F39" s="371">
        <v>2011</v>
      </c>
      <c r="G39" s="371" t="s">
        <v>303</v>
      </c>
      <c r="H39" s="371">
        <v>38</v>
      </c>
      <c r="I39" s="371" t="s">
        <v>303</v>
      </c>
      <c r="J39" s="371">
        <v>0.64400000000000002</v>
      </c>
      <c r="K39" s="371">
        <v>5.0999999999999997E-2</v>
      </c>
      <c r="L39" s="371">
        <v>0.54</v>
      </c>
      <c r="M39" s="371">
        <v>0.73699999999999999</v>
      </c>
      <c r="N39" s="369">
        <v>0.104505</v>
      </c>
      <c r="O39" s="369">
        <v>9.2337000000000002E-2</v>
      </c>
      <c r="P39" s="371" t="s">
        <v>572</v>
      </c>
      <c r="Q39" s="369" t="b">
        <f t="shared" si="5"/>
        <v>1</v>
      </c>
      <c r="S39" s="503">
        <v>2011</v>
      </c>
      <c r="T39" s="503" t="s">
        <v>812</v>
      </c>
      <c r="U39" s="503" t="s">
        <v>825</v>
      </c>
      <c r="V39" s="503">
        <v>0.90151396116007776</v>
      </c>
      <c r="W39" s="508">
        <v>0.93926711679762176</v>
      </c>
      <c r="Y39" s="297"/>
      <c r="Z39" s="297"/>
      <c r="AJ39" s="499"/>
    </row>
    <row r="40" spans="1:45">
      <c r="A40" s="372">
        <v>36</v>
      </c>
      <c r="B40" s="372" t="s">
        <v>568</v>
      </c>
      <c r="C40" s="372" t="s">
        <v>573</v>
      </c>
      <c r="D40" s="372" t="s">
        <v>570</v>
      </c>
      <c r="E40" s="372">
        <v>3</v>
      </c>
      <c r="F40" s="372">
        <v>2011</v>
      </c>
      <c r="G40" s="372" t="s">
        <v>303</v>
      </c>
      <c r="H40" s="372">
        <v>36</v>
      </c>
      <c r="I40" s="372" t="s">
        <v>303</v>
      </c>
      <c r="J40" s="372">
        <v>0.126</v>
      </c>
      <c r="K40" s="372">
        <v>3.4000000000000002E-2</v>
      </c>
      <c r="L40" s="372">
        <v>7.2999999999999995E-2</v>
      </c>
      <c r="M40" s="372">
        <v>0.21</v>
      </c>
      <c r="N40" s="369">
        <v>5.3342000000000001E-2</v>
      </c>
      <c r="O40" s="369">
        <v>8.3687999999999999E-2</v>
      </c>
      <c r="P40" s="372" t="s">
        <v>570</v>
      </c>
      <c r="Q40" s="369" t="b">
        <f t="shared" si="5"/>
        <v>1</v>
      </c>
      <c r="S40" s="503">
        <v>2011</v>
      </c>
      <c r="T40" s="503" t="s">
        <v>572</v>
      </c>
      <c r="U40" s="503" t="s">
        <v>826</v>
      </c>
      <c r="V40" s="503">
        <v>0.71951161909736205</v>
      </c>
      <c r="W40" s="508">
        <v>0.79936092799251046</v>
      </c>
      <c r="Y40" s="297"/>
      <c r="Z40" s="297"/>
      <c r="AJ40" s="499"/>
    </row>
    <row r="41" spans="1:45" ht="21">
      <c r="A41" s="370">
        <v>40</v>
      </c>
      <c r="B41" s="370" t="s">
        <v>568</v>
      </c>
      <c r="C41" s="370" t="s">
        <v>573</v>
      </c>
      <c r="D41" s="370" t="s">
        <v>571</v>
      </c>
      <c r="E41" s="370">
        <v>1</v>
      </c>
      <c r="F41" s="370">
        <v>2012</v>
      </c>
      <c r="G41" s="370" t="s">
        <v>303</v>
      </c>
      <c r="H41" s="370">
        <v>40</v>
      </c>
      <c r="I41" s="370" t="s">
        <v>303</v>
      </c>
      <c r="J41" s="370">
        <v>0.997</v>
      </c>
      <c r="K41" s="370">
        <v>2E-3</v>
      </c>
      <c r="L41" s="370">
        <v>0.98799999999999999</v>
      </c>
      <c r="M41" s="370">
        <v>0.999</v>
      </c>
      <c r="N41" s="369">
        <v>9.4289999999999999E-3</v>
      </c>
      <c r="O41" s="369">
        <v>2.1259999999999999E-3</v>
      </c>
      <c r="P41" s="370" t="s">
        <v>571</v>
      </c>
      <c r="Q41" s="369" t="b">
        <f t="shared" si="5"/>
        <v>1</v>
      </c>
      <c r="S41" s="503">
        <v>2012</v>
      </c>
      <c r="T41" s="503" t="s">
        <v>570</v>
      </c>
      <c r="U41" s="503" t="s">
        <v>827</v>
      </c>
      <c r="V41" s="503">
        <v>0.57904757418116026</v>
      </c>
      <c r="W41" s="508">
        <v>0.5394511227433425</v>
      </c>
      <c r="Y41" s="297"/>
      <c r="Z41" s="297"/>
      <c r="AJ41" s="499"/>
      <c r="AK41" s="298"/>
      <c r="AL41" s="299"/>
      <c r="AM41" s="299"/>
      <c r="AN41" s="299"/>
      <c r="AO41" s="299"/>
      <c r="AP41" s="299"/>
      <c r="AQ41" s="299"/>
      <c r="AR41" s="297">
        <v>0</v>
      </c>
      <c r="AS41" s="297">
        <v>0</v>
      </c>
    </row>
    <row r="42" spans="1:45">
      <c r="A42" s="371">
        <v>41</v>
      </c>
      <c r="B42" s="371" t="s">
        <v>568</v>
      </c>
      <c r="C42" s="371" t="s">
        <v>573</v>
      </c>
      <c r="D42" s="371" t="s">
        <v>572</v>
      </c>
      <c r="E42" s="371">
        <v>2</v>
      </c>
      <c r="F42" s="371">
        <v>2012</v>
      </c>
      <c r="G42" s="371" t="s">
        <v>303</v>
      </c>
      <c r="H42" s="371">
        <v>41</v>
      </c>
      <c r="I42" s="371" t="s">
        <v>303</v>
      </c>
      <c r="J42" s="371">
        <v>0.432</v>
      </c>
      <c r="K42" s="371">
        <v>2.9000000000000001E-2</v>
      </c>
      <c r="L42" s="371">
        <v>0.377</v>
      </c>
      <c r="M42" s="371">
        <v>0.48799999999999999</v>
      </c>
      <c r="N42" s="369">
        <v>5.4829999999999997E-2</v>
      </c>
      <c r="O42" s="369">
        <v>5.6556000000000002E-2</v>
      </c>
      <c r="P42" s="371" t="s">
        <v>572</v>
      </c>
      <c r="Q42" s="369" t="b">
        <f t="shared" si="5"/>
        <v>1</v>
      </c>
      <c r="S42" s="503">
        <v>2012</v>
      </c>
      <c r="T42" s="503" t="s">
        <v>812</v>
      </c>
      <c r="U42" s="503" t="s">
        <v>828</v>
      </c>
      <c r="V42" s="503">
        <v>0.77816400678864628</v>
      </c>
      <c r="W42" s="508">
        <v>0.92668318385829462</v>
      </c>
      <c r="Y42" s="297"/>
      <c r="Z42" s="297"/>
      <c r="AJ42" s="499"/>
    </row>
    <row r="43" spans="1:45">
      <c r="A43" s="372">
        <v>39</v>
      </c>
      <c r="B43" s="372" t="s">
        <v>568</v>
      </c>
      <c r="C43" s="372" t="s">
        <v>573</v>
      </c>
      <c r="D43" s="372" t="s">
        <v>570</v>
      </c>
      <c r="E43" s="372">
        <v>3</v>
      </c>
      <c r="F43" s="372">
        <v>2012</v>
      </c>
      <c r="G43" s="372" t="s">
        <v>303</v>
      </c>
      <c r="H43" s="372">
        <v>39</v>
      </c>
      <c r="I43" s="372" t="s">
        <v>303</v>
      </c>
      <c r="J43" s="372">
        <v>8.8999999999999996E-2</v>
      </c>
      <c r="K43" s="372">
        <v>2.3E-2</v>
      </c>
      <c r="L43" s="372">
        <v>5.2999999999999999E-2</v>
      </c>
      <c r="M43" s="372">
        <v>0.14499999999999999</v>
      </c>
      <c r="N43" s="369">
        <v>3.5647999999999999E-2</v>
      </c>
      <c r="O43" s="369">
        <v>5.5967999999999997E-2</v>
      </c>
      <c r="P43" s="372" t="s">
        <v>570</v>
      </c>
      <c r="Q43" s="369" t="b">
        <f t="shared" si="5"/>
        <v>1</v>
      </c>
      <c r="S43" s="503">
        <v>2012</v>
      </c>
      <c r="T43" s="503" t="s">
        <v>572</v>
      </c>
      <c r="U43" s="503" t="s">
        <v>829</v>
      </c>
      <c r="V43" s="503">
        <v>0.51113072005525528</v>
      </c>
      <c r="W43" s="508">
        <v>0.74927858214127352</v>
      </c>
      <c r="Y43" s="297"/>
      <c r="Z43" s="297"/>
      <c r="AJ43" s="499"/>
    </row>
    <row r="44" spans="1:45">
      <c r="A44" s="370">
        <v>43</v>
      </c>
      <c r="B44" s="370" t="s">
        <v>568</v>
      </c>
      <c r="C44" s="370" t="s">
        <v>573</v>
      </c>
      <c r="D44" s="370" t="s">
        <v>571</v>
      </c>
      <c r="E44" s="370">
        <v>1</v>
      </c>
      <c r="F44" s="370">
        <v>2013</v>
      </c>
      <c r="G44" s="370" t="s">
        <v>303</v>
      </c>
      <c r="H44" s="370">
        <v>43</v>
      </c>
      <c r="I44" s="370" t="s">
        <v>303</v>
      </c>
      <c r="J44" s="370">
        <v>0.997</v>
      </c>
      <c r="K44" s="370">
        <v>2E-3</v>
      </c>
      <c r="L44" s="370">
        <v>0.98799999999999999</v>
      </c>
      <c r="M44" s="370">
        <v>0.999</v>
      </c>
      <c r="N44" s="369">
        <v>9.4289999999999999E-3</v>
      </c>
      <c r="O44" s="369">
        <v>2.1259999999999999E-3</v>
      </c>
      <c r="P44" s="370" t="s">
        <v>571</v>
      </c>
      <c r="Q44" s="369" t="b">
        <f t="shared" si="5"/>
        <v>1</v>
      </c>
      <c r="S44" s="503">
        <v>2013</v>
      </c>
      <c r="T44" s="503" t="s">
        <v>570</v>
      </c>
      <c r="U44" s="503" t="s">
        <v>830</v>
      </c>
      <c r="V44" s="503">
        <v>0.58059010170995318</v>
      </c>
      <c r="W44" s="508">
        <v>0.52611097089419601</v>
      </c>
      <c r="Y44" s="297"/>
      <c r="Z44" s="297"/>
      <c r="AJ44" s="499"/>
    </row>
    <row r="45" spans="1:45" s="297" customFormat="1">
      <c r="A45" s="373"/>
      <c r="B45" s="373"/>
      <c r="C45" s="373"/>
      <c r="D45" s="373" t="s">
        <v>572</v>
      </c>
      <c r="E45" s="373"/>
      <c r="F45" s="373"/>
      <c r="G45" s="373"/>
      <c r="H45" s="373"/>
      <c r="I45" s="373"/>
      <c r="J45" s="373">
        <f>AVERAGE(J42,J39,J36,J33,J30,J27)</f>
        <v>0.73950000000000005</v>
      </c>
      <c r="K45" s="373"/>
      <c r="L45" s="373"/>
      <c r="M45" s="373"/>
      <c r="N45" s="373"/>
      <c r="O45" s="373"/>
      <c r="P45" s="371" t="s">
        <v>572</v>
      </c>
      <c r="Q45" s="369" t="b">
        <f t="shared" si="5"/>
        <v>1</v>
      </c>
      <c r="S45" s="503">
        <v>2013</v>
      </c>
      <c r="T45" s="503" t="s">
        <v>812</v>
      </c>
      <c r="U45" s="503" t="s">
        <v>831</v>
      </c>
      <c r="V45" s="503">
        <v>0.6608777421299965</v>
      </c>
      <c r="W45" s="508">
        <v>0.67416511030792603</v>
      </c>
      <c r="X45"/>
      <c r="AF45"/>
      <c r="AG45"/>
      <c r="AH45"/>
      <c r="AI45"/>
      <c r="AJ45" s="499"/>
    </row>
    <row r="46" spans="1:45">
      <c r="A46" s="372">
        <v>42</v>
      </c>
      <c r="B46" s="372" t="s">
        <v>568</v>
      </c>
      <c r="C46" s="372" t="s">
        <v>573</v>
      </c>
      <c r="D46" s="372" t="s">
        <v>570</v>
      </c>
      <c r="E46" s="372">
        <v>3</v>
      </c>
      <c r="F46" s="372">
        <v>2013</v>
      </c>
      <c r="G46" s="372" t="s">
        <v>303</v>
      </c>
      <c r="H46" s="372">
        <v>42</v>
      </c>
      <c r="I46" s="372" t="s">
        <v>303</v>
      </c>
      <c r="J46" s="372">
        <v>0.311</v>
      </c>
      <c r="K46" s="372">
        <v>3.1E-2</v>
      </c>
      <c r="L46" s="372">
        <v>0.253</v>
      </c>
      <c r="M46" s="372">
        <v>0.376</v>
      </c>
      <c r="N46" s="369">
        <v>5.8138000000000002E-2</v>
      </c>
      <c r="O46" s="369">
        <v>6.4782999999999993E-2</v>
      </c>
      <c r="P46" s="372" t="s">
        <v>570</v>
      </c>
      <c r="Q46" s="369" t="b">
        <f t="shared" si="5"/>
        <v>1</v>
      </c>
      <c r="S46" s="506">
        <v>2013</v>
      </c>
      <c r="T46" s="506" t="s">
        <v>572</v>
      </c>
      <c r="U46" s="506" t="s">
        <v>832</v>
      </c>
      <c r="V46" s="506">
        <v>0.96276154199603281</v>
      </c>
      <c r="W46" s="509">
        <v>0.63326504494545621</v>
      </c>
      <c r="Y46" s="297"/>
      <c r="Z46" s="297"/>
      <c r="AJ46" s="499"/>
    </row>
    <row r="47" spans="1:45">
      <c r="A47" s="370">
        <v>45</v>
      </c>
      <c r="B47" s="370" t="s">
        <v>568</v>
      </c>
      <c r="C47" s="370" t="s">
        <v>573</v>
      </c>
      <c r="D47" s="370" t="s">
        <v>571</v>
      </c>
      <c r="E47" s="370">
        <v>1</v>
      </c>
      <c r="F47" s="370">
        <v>2014</v>
      </c>
      <c r="G47" s="370" t="s">
        <v>303</v>
      </c>
      <c r="H47" s="370">
        <v>45</v>
      </c>
      <c r="I47" s="370" t="s">
        <v>303</v>
      </c>
      <c r="J47" s="370">
        <v>0.997</v>
      </c>
      <c r="K47" s="370">
        <v>2E-3</v>
      </c>
      <c r="L47" s="370">
        <v>0.98799999999999999</v>
      </c>
      <c r="M47" s="370">
        <v>0.999</v>
      </c>
      <c r="N47" s="369">
        <v>9.4289999999999999E-3</v>
      </c>
      <c r="O47" s="369">
        <v>2.1259999999999999E-3</v>
      </c>
      <c r="P47" s="370" t="s">
        <v>571</v>
      </c>
      <c r="Q47" s="369" t="b">
        <f t="shared" si="5"/>
        <v>1</v>
      </c>
      <c r="Y47" s="297"/>
      <c r="Z47" s="297"/>
      <c r="AA47" s="25"/>
      <c r="AC47" s="297"/>
    </row>
    <row r="48" spans="1:45">
      <c r="A48" s="374">
        <v>46</v>
      </c>
      <c r="B48" s="374" t="s">
        <v>568</v>
      </c>
      <c r="C48" s="374" t="s">
        <v>573</v>
      </c>
      <c r="D48" s="374" t="s">
        <v>572</v>
      </c>
      <c r="E48" s="374">
        <v>2</v>
      </c>
      <c r="F48" s="374">
        <v>2014</v>
      </c>
      <c r="G48" s="374" t="s">
        <v>303</v>
      </c>
      <c r="H48" s="374">
        <v>46</v>
      </c>
      <c r="I48" s="374" t="s">
        <v>303</v>
      </c>
      <c r="J48" s="374">
        <v>0.27600000000000002</v>
      </c>
      <c r="K48" s="374">
        <v>7.2999999999999995E-2</v>
      </c>
      <c r="L48" s="374">
        <v>0.157</v>
      </c>
      <c r="M48" s="374">
        <v>0.439</v>
      </c>
      <c r="N48" s="369">
        <v>0.119145</v>
      </c>
      <c r="O48" s="369">
        <v>0.16242500000000001</v>
      </c>
      <c r="P48" s="371" t="s">
        <v>572</v>
      </c>
      <c r="Q48" s="369" t="b">
        <f t="shared" si="5"/>
        <v>1</v>
      </c>
      <c r="Y48" s="297"/>
      <c r="Z48" s="297"/>
      <c r="AA48" s="25"/>
      <c r="AC48" s="297"/>
      <c r="AD48" s="297"/>
    </row>
    <row r="49" spans="1:24">
      <c r="A49" s="372">
        <v>44</v>
      </c>
      <c r="B49" s="372" t="s">
        <v>568</v>
      </c>
      <c r="C49" s="372" t="s">
        <v>573</v>
      </c>
      <c r="D49" s="372" t="s">
        <v>570</v>
      </c>
      <c r="E49" s="372">
        <v>3</v>
      </c>
      <c r="F49" s="372">
        <v>2014</v>
      </c>
      <c r="G49" s="372" t="s">
        <v>303</v>
      </c>
      <c r="H49" s="372">
        <v>44</v>
      </c>
      <c r="I49" s="372" t="s">
        <v>303</v>
      </c>
      <c r="J49" s="372">
        <v>0.42199999999999999</v>
      </c>
      <c r="K49" s="372">
        <v>0.08</v>
      </c>
      <c r="L49" s="372">
        <v>0.27700000000000002</v>
      </c>
      <c r="M49" s="372">
        <v>0.58099999999999996</v>
      </c>
      <c r="N49" s="369">
        <v>0.144459</v>
      </c>
      <c r="O49" s="369">
        <v>0.15920699999999999</v>
      </c>
      <c r="P49" s="372" t="s">
        <v>570</v>
      </c>
      <c r="Q49" s="369" t="b">
        <f t="shared" si="5"/>
        <v>1</v>
      </c>
    </row>
    <row r="50" spans="1:24" s="299" customFormat="1">
      <c r="A50" s="375"/>
      <c r="B50" s="375"/>
      <c r="C50" s="375"/>
      <c r="D50" s="375"/>
      <c r="E50" s="375"/>
      <c r="F50" s="375"/>
      <c r="G50" s="375"/>
      <c r="H50" s="375"/>
      <c r="I50" s="375"/>
      <c r="J50" s="375"/>
      <c r="K50" s="375"/>
      <c r="L50" s="375"/>
      <c r="M50" s="375"/>
      <c r="N50" s="375"/>
      <c r="O50" s="375"/>
      <c r="P50" s="375"/>
      <c r="Q50" s="375"/>
      <c r="U50"/>
      <c r="V50"/>
      <c r="W50"/>
      <c r="X50"/>
    </row>
    <row r="51" spans="1:24">
      <c r="A51" s="370">
        <v>2</v>
      </c>
      <c r="B51" s="370" t="s">
        <v>568</v>
      </c>
      <c r="C51" s="370" t="s">
        <v>569</v>
      </c>
      <c r="D51" s="370" t="s">
        <v>571</v>
      </c>
      <c r="E51" s="370">
        <v>1</v>
      </c>
      <c r="F51" s="370">
        <v>2007</v>
      </c>
      <c r="G51" s="370" t="s">
        <v>303</v>
      </c>
      <c r="H51" s="370">
        <v>2</v>
      </c>
      <c r="I51" s="370" t="s">
        <v>303</v>
      </c>
      <c r="J51" s="370">
        <v>0.98299999999999998</v>
      </c>
      <c r="K51" s="370">
        <v>5.0000000000000001E-3</v>
      </c>
      <c r="L51" s="370">
        <v>0.96899999999999997</v>
      </c>
      <c r="M51" s="370">
        <v>0.99099999999999999</v>
      </c>
      <c r="N51" s="369">
        <v>1.409E-2</v>
      </c>
      <c r="O51" s="369">
        <v>7.7549999999999997E-3</v>
      </c>
      <c r="P51" s="370" t="s">
        <v>571</v>
      </c>
      <c r="Q51" s="369" t="b">
        <f>P51=D51</f>
        <v>1</v>
      </c>
    </row>
    <row r="52" spans="1:24">
      <c r="A52" s="371">
        <v>3</v>
      </c>
      <c r="B52" s="371" t="s">
        <v>568</v>
      </c>
      <c r="C52" s="371" t="s">
        <v>569</v>
      </c>
      <c r="D52" s="371" t="s">
        <v>572</v>
      </c>
      <c r="E52" s="371">
        <v>2</v>
      </c>
      <c r="F52" s="371">
        <v>2007</v>
      </c>
      <c r="G52" s="371" t="s">
        <v>303</v>
      </c>
      <c r="H52" s="371">
        <v>3</v>
      </c>
      <c r="I52" s="371" t="s">
        <v>303</v>
      </c>
      <c r="J52" s="371">
        <v>0.34899999999999998</v>
      </c>
      <c r="K52" s="371">
        <v>0.10199999999999999</v>
      </c>
      <c r="L52" s="371">
        <v>0.18099999999999999</v>
      </c>
      <c r="M52" s="371">
        <v>0.56399999999999995</v>
      </c>
      <c r="N52" s="369">
        <v>0.167103</v>
      </c>
      <c r="O52" s="369">
        <v>0.21505099999999999</v>
      </c>
      <c r="P52" s="371" t="s">
        <v>572</v>
      </c>
      <c r="Q52" s="369" t="b">
        <f t="shared" ref="Q52:Q74" si="6">P52=D52</f>
        <v>1</v>
      </c>
    </row>
    <row r="53" spans="1:24">
      <c r="A53" s="372">
        <v>1</v>
      </c>
      <c r="B53" s="372" t="s">
        <v>568</v>
      </c>
      <c r="C53" s="372" t="s">
        <v>569</v>
      </c>
      <c r="D53" s="372" t="s">
        <v>570</v>
      </c>
      <c r="E53" s="372">
        <v>3</v>
      </c>
      <c r="F53" s="372">
        <v>2007</v>
      </c>
      <c r="G53" s="372" t="s">
        <v>303</v>
      </c>
      <c r="H53" s="372">
        <v>1</v>
      </c>
      <c r="I53" s="372" t="s">
        <v>303</v>
      </c>
      <c r="J53" s="372">
        <v>0.44500000000000001</v>
      </c>
      <c r="K53" s="372">
        <v>9.7000000000000003E-2</v>
      </c>
      <c r="L53" s="372">
        <v>0.27100000000000002</v>
      </c>
      <c r="M53" s="372">
        <v>0.63500000000000001</v>
      </c>
      <c r="N53" s="369">
        <v>0.17469000000000001</v>
      </c>
      <c r="O53" s="369">
        <v>0.189304</v>
      </c>
      <c r="P53" s="372" t="s">
        <v>570</v>
      </c>
      <c r="Q53" s="369" t="b">
        <f t="shared" si="6"/>
        <v>1</v>
      </c>
    </row>
    <row r="54" spans="1:24">
      <c r="A54" s="370">
        <v>5</v>
      </c>
      <c r="B54" s="370" t="s">
        <v>568</v>
      </c>
      <c r="C54" s="370" t="s">
        <v>569</v>
      </c>
      <c r="D54" s="370" t="s">
        <v>571</v>
      </c>
      <c r="E54" s="370">
        <v>1</v>
      </c>
      <c r="F54" s="370">
        <v>2008</v>
      </c>
      <c r="G54" s="370" t="s">
        <v>303</v>
      </c>
      <c r="H54" s="370">
        <v>5</v>
      </c>
      <c r="I54" s="370" t="s">
        <v>303</v>
      </c>
      <c r="J54" s="370">
        <v>0.98299999999999998</v>
      </c>
      <c r="K54" s="370">
        <v>5.0000000000000001E-3</v>
      </c>
      <c r="L54" s="370">
        <v>0.96899999999999997</v>
      </c>
      <c r="M54" s="370">
        <v>0.99099999999999999</v>
      </c>
      <c r="N54" s="369">
        <v>1.409E-2</v>
      </c>
      <c r="O54" s="369">
        <v>7.7549999999999997E-3</v>
      </c>
      <c r="P54" s="370" t="s">
        <v>571</v>
      </c>
      <c r="Q54" s="369" t="b">
        <f t="shared" si="6"/>
        <v>1</v>
      </c>
    </row>
    <row r="55" spans="1:24">
      <c r="A55" s="371">
        <v>6</v>
      </c>
      <c r="B55" s="371" t="s">
        <v>568</v>
      </c>
      <c r="C55" s="371" t="s">
        <v>569</v>
      </c>
      <c r="D55" s="371" t="s">
        <v>572</v>
      </c>
      <c r="E55" s="371">
        <v>2</v>
      </c>
      <c r="F55" s="371">
        <v>2008</v>
      </c>
      <c r="G55" s="371" t="s">
        <v>303</v>
      </c>
      <c r="H55" s="371">
        <v>6</v>
      </c>
      <c r="I55" s="371" t="s">
        <v>303</v>
      </c>
      <c r="J55" s="371">
        <v>0.73299999999999998</v>
      </c>
      <c r="K55" s="371">
        <v>0.192</v>
      </c>
      <c r="L55" s="371">
        <v>0.28699999999999998</v>
      </c>
      <c r="M55" s="371">
        <v>0.94899999999999995</v>
      </c>
      <c r="N55" s="369">
        <v>0.445579</v>
      </c>
      <c r="O55" s="369">
        <v>0.216472</v>
      </c>
      <c r="P55" s="371" t="s">
        <v>572</v>
      </c>
      <c r="Q55" s="369" t="b">
        <f t="shared" si="6"/>
        <v>1</v>
      </c>
    </row>
    <row r="56" spans="1:24">
      <c r="A56" s="372">
        <v>4</v>
      </c>
      <c r="B56" s="372" t="s">
        <v>568</v>
      </c>
      <c r="C56" s="372" t="s">
        <v>569</v>
      </c>
      <c r="D56" s="372" t="s">
        <v>570</v>
      </c>
      <c r="E56" s="372">
        <v>3</v>
      </c>
      <c r="F56" s="372">
        <v>2008</v>
      </c>
      <c r="G56" s="372" t="s">
        <v>303</v>
      </c>
      <c r="H56" s="372">
        <v>4</v>
      </c>
      <c r="I56" s="372" t="s">
        <v>303</v>
      </c>
      <c r="J56" s="373">
        <f>AVERAGE(J53,J59,J62,J65,J68,J71,J74)</f>
        <v>0.46657142857142853</v>
      </c>
      <c r="K56" s="372">
        <v>0</v>
      </c>
      <c r="L56" s="372">
        <v>1</v>
      </c>
      <c r="M56" s="372">
        <v>1</v>
      </c>
      <c r="N56" s="369">
        <v>-1</v>
      </c>
      <c r="O56" s="369">
        <v>1</v>
      </c>
      <c r="P56" s="372" t="s">
        <v>570</v>
      </c>
      <c r="Q56" s="369" t="b">
        <f t="shared" si="6"/>
        <v>1</v>
      </c>
    </row>
    <row r="57" spans="1:24">
      <c r="A57" s="370">
        <v>8</v>
      </c>
      <c r="B57" s="370" t="s">
        <v>568</v>
      </c>
      <c r="C57" s="370" t="s">
        <v>569</v>
      </c>
      <c r="D57" s="370" t="s">
        <v>571</v>
      </c>
      <c r="E57" s="370">
        <v>1</v>
      </c>
      <c r="F57" s="370">
        <v>2009</v>
      </c>
      <c r="G57" s="370" t="s">
        <v>303</v>
      </c>
      <c r="H57" s="370">
        <v>8</v>
      </c>
      <c r="I57" s="370" t="s">
        <v>303</v>
      </c>
      <c r="J57" s="370">
        <v>0.98299999999999998</v>
      </c>
      <c r="K57" s="370">
        <v>5.0000000000000001E-3</v>
      </c>
      <c r="L57" s="370">
        <v>0.96899999999999997</v>
      </c>
      <c r="M57" s="370">
        <v>0.99099999999999999</v>
      </c>
      <c r="N57" s="369">
        <v>1.409E-2</v>
      </c>
      <c r="O57" s="369">
        <v>7.7549999999999997E-3</v>
      </c>
      <c r="P57" s="370" t="s">
        <v>571</v>
      </c>
      <c r="Q57" s="369" t="b">
        <f t="shared" si="6"/>
        <v>1</v>
      </c>
    </row>
    <row r="58" spans="1:24">
      <c r="A58" s="371">
        <v>9</v>
      </c>
      <c r="B58" s="371" t="s">
        <v>568</v>
      </c>
      <c r="C58" s="371" t="s">
        <v>569</v>
      </c>
      <c r="D58" s="371" t="s">
        <v>572</v>
      </c>
      <c r="E58" s="371">
        <v>2</v>
      </c>
      <c r="F58" s="371">
        <v>2009</v>
      </c>
      <c r="G58" s="371" t="s">
        <v>303</v>
      </c>
      <c r="H58" s="371">
        <v>9</v>
      </c>
      <c r="I58" s="371" t="s">
        <v>303</v>
      </c>
      <c r="J58" s="371">
        <v>0.81699999999999995</v>
      </c>
      <c r="K58" s="371">
        <v>0.153</v>
      </c>
      <c r="L58" s="371">
        <v>0.376</v>
      </c>
      <c r="M58" s="371">
        <v>0.97099999999999997</v>
      </c>
      <c r="N58" s="369">
        <v>0.44174200000000002</v>
      </c>
      <c r="O58" s="369">
        <v>0.15354899999999999</v>
      </c>
      <c r="P58" s="371" t="s">
        <v>572</v>
      </c>
      <c r="Q58" s="369" t="b">
        <f t="shared" si="6"/>
        <v>1</v>
      </c>
    </row>
    <row r="59" spans="1:24">
      <c r="A59" s="372">
        <v>7</v>
      </c>
      <c r="B59" s="372" t="s">
        <v>568</v>
      </c>
      <c r="C59" s="372" t="s">
        <v>569</v>
      </c>
      <c r="D59" s="372" t="s">
        <v>570</v>
      </c>
      <c r="E59" s="372">
        <v>3</v>
      </c>
      <c r="F59" s="372">
        <v>2009</v>
      </c>
      <c r="G59" s="372" t="s">
        <v>303</v>
      </c>
      <c r="H59" s="372">
        <v>7</v>
      </c>
      <c r="I59" s="372" t="s">
        <v>303</v>
      </c>
      <c r="J59" s="372">
        <v>0.626</v>
      </c>
      <c r="K59" s="372">
        <v>0.106</v>
      </c>
      <c r="L59" s="372">
        <v>0.40899999999999997</v>
      </c>
      <c r="M59" s="372">
        <v>0.80200000000000005</v>
      </c>
      <c r="N59" s="369">
        <v>0.21704000000000001</v>
      </c>
      <c r="O59" s="369">
        <v>0.176068</v>
      </c>
      <c r="P59" s="372" t="s">
        <v>570</v>
      </c>
      <c r="Q59" s="369" t="b">
        <f t="shared" si="6"/>
        <v>1</v>
      </c>
    </row>
    <row r="60" spans="1:24">
      <c r="A60" s="370">
        <v>11</v>
      </c>
      <c r="B60" s="370" t="s">
        <v>568</v>
      </c>
      <c r="C60" s="370" t="s">
        <v>569</v>
      </c>
      <c r="D60" s="370" t="s">
        <v>571</v>
      </c>
      <c r="E60" s="370">
        <v>1</v>
      </c>
      <c r="F60" s="370">
        <v>2010</v>
      </c>
      <c r="G60" s="370" t="s">
        <v>303</v>
      </c>
      <c r="H60" s="370">
        <v>11</v>
      </c>
      <c r="I60" s="370" t="s">
        <v>303</v>
      </c>
      <c r="J60" s="370">
        <v>0.98299999999999998</v>
      </c>
      <c r="K60" s="370">
        <v>5.0000000000000001E-3</v>
      </c>
      <c r="L60" s="370">
        <v>0.96899999999999997</v>
      </c>
      <c r="M60" s="370">
        <v>0.99099999999999999</v>
      </c>
      <c r="N60" s="369">
        <v>1.409E-2</v>
      </c>
      <c r="O60" s="369">
        <v>7.7549999999999997E-3</v>
      </c>
      <c r="P60" s="370" t="s">
        <v>571</v>
      </c>
      <c r="Q60" s="369" t="b">
        <f t="shared" si="6"/>
        <v>1</v>
      </c>
    </row>
    <row r="61" spans="1:24">
      <c r="A61" s="371">
        <v>12</v>
      </c>
      <c r="B61" s="371" t="s">
        <v>568</v>
      </c>
      <c r="C61" s="371" t="s">
        <v>569</v>
      </c>
      <c r="D61" s="371" t="s">
        <v>572</v>
      </c>
      <c r="E61" s="371">
        <v>2</v>
      </c>
      <c r="F61" s="371">
        <v>2010</v>
      </c>
      <c r="G61" s="371" t="s">
        <v>303</v>
      </c>
      <c r="H61" s="371">
        <v>12</v>
      </c>
      <c r="I61" s="371" t="s">
        <v>303</v>
      </c>
      <c r="J61" s="373">
        <f>AVERAGE(J67,J64,J58,J55,J52)</f>
        <v>0.62379999999999991</v>
      </c>
      <c r="K61" s="371">
        <v>0</v>
      </c>
      <c r="L61" s="371">
        <v>1</v>
      </c>
      <c r="M61" s="371">
        <v>1</v>
      </c>
      <c r="N61" s="369">
        <v>-1</v>
      </c>
      <c r="O61" s="369">
        <v>1</v>
      </c>
      <c r="P61" s="371" t="s">
        <v>572</v>
      </c>
      <c r="Q61" s="369" t="b">
        <f t="shared" si="6"/>
        <v>1</v>
      </c>
    </row>
    <row r="62" spans="1:24">
      <c r="A62" s="372">
        <v>10</v>
      </c>
      <c r="B62" s="372" t="s">
        <v>568</v>
      </c>
      <c r="C62" s="372" t="s">
        <v>569</v>
      </c>
      <c r="D62" s="372" t="s">
        <v>570</v>
      </c>
      <c r="E62" s="372">
        <v>3</v>
      </c>
      <c r="F62" s="372">
        <v>2010</v>
      </c>
      <c r="G62" s="372" t="s">
        <v>303</v>
      </c>
      <c r="H62" s="372">
        <v>10</v>
      </c>
      <c r="I62" s="372" t="s">
        <v>303</v>
      </c>
      <c r="J62" s="372">
        <v>0.39</v>
      </c>
      <c r="K62" s="372">
        <v>7.6999999999999999E-2</v>
      </c>
      <c r="L62" s="372">
        <v>0.253</v>
      </c>
      <c r="M62" s="372">
        <v>0.54600000000000004</v>
      </c>
      <c r="N62" s="369">
        <v>0.13631399999999999</v>
      </c>
      <c r="O62" s="369">
        <v>0.156026</v>
      </c>
      <c r="P62" s="372" t="s">
        <v>570</v>
      </c>
      <c r="Q62" s="369" t="b">
        <f t="shared" si="6"/>
        <v>1</v>
      </c>
    </row>
    <row r="63" spans="1:24">
      <c r="A63" s="370">
        <v>14</v>
      </c>
      <c r="B63" s="370" t="s">
        <v>568</v>
      </c>
      <c r="C63" s="370" t="s">
        <v>569</v>
      </c>
      <c r="D63" s="370" t="s">
        <v>571</v>
      </c>
      <c r="E63" s="370">
        <v>1</v>
      </c>
      <c r="F63" s="370">
        <v>2011</v>
      </c>
      <c r="G63" s="370" t="s">
        <v>303</v>
      </c>
      <c r="H63" s="370">
        <v>14</v>
      </c>
      <c r="I63" s="370" t="s">
        <v>303</v>
      </c>
      <c r="J63" s="370">
        <v>0.98299999999999998</v>
      </c>
      <c r="K63" s="370">
        <v>5.0000000000000001E-3</v>
      </c>
      <c r="L63" s="370">
        <v>0.96899999999999997</v>
      </c>
      <c r="M63" s="370">
        <v>0.99099999999999999</v>
      </c>
      <c r="N63" s="369">
        <v>1.409E-2</v>
      </c>
      <c r="O63" s="369">
        <v>7.7549999999999997E-3</v>
      </c>
      <c r="P63" s="370" t="s">
        <v>571</v>
      </c>
      <c r="Q63" s="369" t="b">
        <f t="shared" si="6"/>
        <v>1</v>
      </c>
    </row>
    <row r="64" spans="1:24">
      <c r="A64" s="371">
        <v>15</v>
      </c>
      <c r="B64" s="371" t="s">
        <v>568</v>
      </c>
      <c r="C64" s="371" t="s">
        <v>569</v>
      </c>
      <c r="D64" s="371" t="s">
        <v>572</v>
      </c>
      <c r="E64" s="371">
        <v>2</v>
      </c>
      <c r="F64" s="371">
        <v>2011</v>
      </c>
      <c r="G64" s="371" t="s">
        <v>303</v>
      </c>
      <c r="H64" s="371">
        <v>15</v>
      </c>
      <c r="I64" s="371" t="s">
        <v>303</v>
      </c>
      <c r="J64" s="371">
        <v>0.63100000000000001</v>
      </c>
      <c r="K64" s="371">
        <v>9.7000000000000003E-2</v>
      </c>
      <c r="L64" s="371">
        <v>0.43099999999999999</v>
      </c>
      <c r="M64" s="371">
        <v>0.79400000000000004</v>
      </c>
      <c r="N64" s="369">
        <v>0.19983600000000001</v>
      </c>
      <c r="O64" s="369">
        <v>0.16314000000000001</v>
      </c>
      <c r="P64" s="371" t="s">
        <v>572</v>
      </c>
      <c r="Q64" s="369" t="b">
        <f t="shared" si="6"/>
        <v>1</v>
      </c>
    </row>
    <row r="65" spans="1:17">
      <c r="A65" s="372">
        <v>13</v>
      </c>
      <c r="B65" s="372" t="s">
        <v>568</v>
      </c>
      <c r="C65" s="372" t="s">
        <v>569</v>
      </c>
      <c r="D65" s="372" t="s">
        <v>570</v>
      </c>
      <c r="E65" s="372">
        <v>3</v>
      </c>
      <c r="F65" s="372">
        <v>2011</v>
      </c>
      <c r="G65" s="372" t="s">
        <v>303</v>
      </c>
      <c r="H65" s="372">
        <v>13</v>
      </c>
      <c r="I65" s="372" t="s">
        <v>303</v>
      </c>
      <c r="J65" s="490">
        <v>0.432</v>
      </c>
      <c r="K65" s="372">
        <v>6.4000000000000001E-2</v>
      </c>
      <c r="L65" s="372">
        <v>0.313</v>
      </c>
      <c r="M65" s="372">
        <v>0.55900000000000005</v>
      </c>
      <c r="N65" s="369">
        <v>0.11866</v>
      </c>
      <c r="O65" s="369">
        <v>0.127001</v>
      </c>
      <c r="P65" s="372" t="s">
        <v>570</v>
      </c>
      <c r="Q65" s="369" t="b">
        <f t="shared" si="6"/>
        <v>1</v>
      </c>
    </row>
    <row r="66" spans="1:17">
      <c r="A66" s="370">
        <v>17</v>
      </c>
      <c r="B66" s="370" t="s">
        <v>568</v>
      </c>
      <c r="C66" s="370" t="s">
        <v>569</v>
      </c>
      <c r="D66" s="370" t="s">
        <v>571</v>
      </c>
      <c r="E66" s="370">
        <v>1</v>
      </c>
      <c r="F66" s="370">
        <v>2012</v>
      </c>
      <c r="G66" s="370" t="s">
        <v>303</v>
      </c>
      <c r="H66" s="370">
        <v>17</v>
      </c>
      <c r="I66" s="370" t="s">
        <v>303</v>
      </c>
      <c r="J66" s="370">
        <v>0.98299999999999998</v>
      </c>
      <c r="K66" s="370">
        <v>5.0000000000000001E-3</v>
      </c>
      <c r="L66" s="370">
        <v>0.96899999999999997</v>
      </c>
      <c r="M66" s="370">
        <v>0.99099999999999999</v>
      </c>
      <c r="N66" s="369">
        <v>1.409E-2</v>
      </c>
      <c r="O66" s="369">
        <v>7.7549999999999997E-3</v>
      </c>
      <c r="P66" s="370" t="s">
        <v>571</v>
      </c>
      <c r="Q66" s="369" t="b">
        <f t="shared" si="6"/>
        <v>1</v>
      </c>
    </row>
    <row r="67" spans="1:17">
      <c r="A67" s="371">
        <v>18</v>
      </c>
      <c r="B67" s="371" t="s">
        <v>568</v>
      </c>
      <c r="C67" s="371" t="s">
        <v>569</v>
      </c>
      <c r="D67" s="371" t="s">
        <v>572</v>
      </c>
      <c r="E67" s="371">
        <v>2</v>
      </c>
      <c r="F67" s="371">
        <v>2012</v>
      </c>
      <c r="G67" s="371" t="s">
        <v>303</v>
      </c>
      <c r="H67" s="371">
        <v>18</v>
      </c>
      <c r="I67" s="371" t="s">
        <v>303</v>
      </c>
      <c r="J67" s="371">
        <v>0.58899999999999997</v>
      </c>
      <c r="K67" s="371">
        <v>7.4999999999999997E-2</v>
      </c>
      <c r="L67" s="371">
        <v>0.439</v>
      </c>
      <c r="M67" s="371">
        <v>0.72499999999999998</v>
      </c>
      <c r="N67" s="369">
        <v>0.15081800000000001</v>
      </c>
      <c r="O67" s="369">
        <v>0.13569800000000001</v>
      </c>
      <c r="P67" s="371" t="s">
        <v>572</v>
      </c>
      <c r="Q67" s="369" t="b">
        <f t="shared" si="6"/>
        <v>1</v>
      </c>
    </row>
    <row r="68" spans="1:17">
      <c r="A68" s="372">
        <v>16</v>
      </c>
      <c r="B68" s="372" t="s">
        <v>568</v>
      </c>
      <c r="C68" s="372" t="s">
        <v>569</v>
      </c>
      <c r="D68" s="372" t="s">
        <v>570</v>
      </c>
      <c r="E68" s="372">
        <v>3</v>
      </c>
      <c r="F68" s="372">
        <v>2012</v>
      </c>
      <c r="G68" s="372" t="s">
        <v>303</v>
      </c>
      <c r="H68" s="372">
        <v>16</v>
      </c>
      <c r="I68" s="372" t="s">
        <v>303</v>
      </c>
      <c r="J68" s="372">
        <v>0.41699999999999998</v>
      </c>
      <c r="K68" s="372">
        <v>7.4999999999999997E-2</v>
      </c>
      <c r="L68" s="372">
        <v>0.28100000000000003</v>
      </c>
      <c r="M68" s="372">
        <v>0.56699999999999995</v>
      </c>
      <c r="N68" s="369">
        <v>0.13606499999999999</v>
      </c>
      <c r="O68" s="369">
        <v>0.150035</v>
      </c>
      <c r="P68" s="372" t="s">
        <v>570</v>
      </c>
      <c r="Q68" s="369" t="b">
        <f t="shared" si="6"/>
        <v>1</v>
      </c>
    </row>
    <row r="69" spans="1:17">
      <c r="A69" s="370">
        <v>20</v>
      </c>
      <c r="B69" s="370" t="s">
        <v>568</v>
      </c>
      <c r="C69" s="370" t="s">
        <v>569</v>
      </c>
      <c r="D69" s="370" t="s">
        <v>571</v>
      </c>
      <c r="E69" s="370">
        <v>1</v>
      </c>
      <c r="F69" s="370">
        <v>2013</v>
      </c>
      <c r="G69" s="370" t="s">
        <v>303</v>
      </c>
      <c r="H69" s="370">
        <v>20</v>
      </c>
      <c r="I69" s="370" t="s">
        <v>303</v>
      </c>
      <c r="J69" s="370">
        <v>0.98299999999999998</v>
      </c>
      <c r="K69" s="370">
        <v>5.0000000000000001E-3</v>
      </c>
      <c r="L69" s="370">
        <v>0.96899999999999997</v>
      </c>
      <c r="M69" s="370">
        <v>0.99099999999999999</v>
      </c>
      <c r="N69" s="369">
        <v>1.409E-2</v>
      </c>
      <c r="O69" s="369">
        <v>7.7549999999999997E-3</v>
      </c>
      <c r="P69" s="370" t="s">
        <v>571</v>
      </c>
      <c r="Q69" s="369" t="b">
        <f t="shared" si="6"/>
        <v>1</v>
      </c>
    </row>
    <row r="70" spans="1:17" s="297" customFormat="1">
      <c r="A70" s="373"/>
      <c r="B70" s="373"/>
      <c r="C70" s="373"/>
      <c r="D70" s="373" t="s">
        <v>572</v>
      </c>
      <c r="E70" s="373"/>
      <c r="F70" s="373"/>
      <c r="G70" s="373"/>
      <c r="H70" s="373"/>
      <c r="I70" s="373"/>
      <c r="J70" s="373">
        <f>AVERAGE(J67,J64,J58,J55,J52)</f>
        <v>0.62379999999999991</v>
      </c>
      <c r="K70" s="373"/>
      <c r="L70" s="373"/>
      <c r="M70" s="373"/>
      <c r="N70" s="373"/>
      <c r="O70" s="373"/>
      <c r="P70" s="371" t="s">
        <v>572</v>
      </c>
      <c r="Q70" s="369" t="b">
        <f t="shared" si="6"/>
        <v>1</v>
      </c>
    </row>
    <row r="71" spans="1:17">
      <c r="A71" s="372">
        <v>19</v>
      </c>
      <c r="B71" s="372" t="s">
        <v>568</v>
      </c>
      <c r="C71" s="372" t="s">
        <v>569</v>
      </c>
      <c r="D71" s="372" t="s">
        <v>570</v>
      </c>
      <c r="E71" s="372">
        <v>3</v>
      </c>
      <c r="F71" s="372">
        <v>2013</v>
      </c>
      <c r="G71" s="372" t="s">
        <v>303</v>
      </c>
      <c r="H71" s="372">
        <v>19</v>
      </c>
      <c r="I71" s="372" t="s">
        <v>303</v>
      </c>
      <c r="J71" s="372">
        <v>0.45300000000000001</v>
      </c>
      <c r="K71" s="372">
        <v>4.2999999999999997E-2</v>
      </c>
      <c r="L71" s="372">
        <v>0.371</v>
      </c>
      <c r="M71" s="372">
        <v>0.53700000000000003</v>
      </c>
      <c r="N71" s="369">
        <v>8.1816E-2</v>
      </c>
      <c r="O71" s="369">
        <v>8.4443000000000004E-2</v>
      </c>
      <c r="P71" s="372" t="s">
        <v>570</v>
      </c>
      <c r="Q71" s="369" t="b">
        <f t="shared" si="6"/>
        <v>1</v>
      </c>
    </row>
    <row r="72" spans="1:17">
      <c r="A72" s="370">
        <v>22</v>
      </c>
      <c r="B72" s="370" t="s">
        <v>568</v>
      </c>
      <c r="C72" s="370" t="s">
        <v>569</v>
      </c>
      <c r="D72" s="370" t="s">
        <v>571</v>
      </c>
      <c r="E72" s="370">
        <v>1</v>
      </c>
      <c r="F72" s="370">
        <v>2014</v>
      </c>
      <c r="G72" s="370" t="s">
        <v>303</v>
      </c>
      <c r="H72" s="370">
        <v>22</v>
      </c>
      <c r="I72" s="370" t="s">
        <v>303</v>
      </c>
      <c r="J72" s="370">
        <v>0.98299999999999998</v>
      </c>
      <c r="K72" s="370">
        <v>5.0000000000000001E-3</v>
      </c>
      <c r="L72" s="370">
        <v>0.96899999999999997</v>
      </c>
      <c r="M72" s="370">
        <v>0.99099999999999999</v>
      </c>
      <c r="N72" s="369">
        <v>1.409E-2</v>
      </c>
      <c r="O72" s="369">
        <v>7.7549999999999997E-3</v>
      </c>
      <c r="P72" s="370" t="s">
        <v>571</v>
      </c>
      <c r="Q72" s="369" t="b">
        <f t="shared" si="6"/>
        <v>1</v>
      </c>
    </row>
    <row r="73" spans="1:17">
      <c r="A73" s="374">
        <v>23</v>
      </c>
      <c r="B73" s="374" t="s">
        <v>568</v>
      </c>
      <c r="C73" s="374" t="s">
        <v>569</v>
      </c>
      <c r="D73" s="374" t="s">
        <v>572</v>
      </c>
      <c r="E73" s="374">
        <v>2</v>
      </c>
      <c r="F73" s="374">
        <v>2014</v>
      </c>
      <c r="G73" s="374" t="s">
        <v>303</v>
      </c>
      <c r="H73" s="374">
        <v>23</v>
      </c>
      <c r="I73" s="374" t="s">
        <v>303</v>
      </c>
      <c r="J73" s="374">
        <v>0.107</v>
      </c>
      <c r="K73" s="374">
        <v>0.08</v>
      </c>
      <c r="L73" s="374">
        <v>2.3E-2</v>
      </c>
      <c r="M73" s="374">
        <v>0.38300000000000001</v>
      </c>
      <c r="N73" s="369">
        <v>8.4473000000000006E-2</v>
      </c>
      <c r="O73" s="369">
        <v>0.276065</v>
      </c>
      <c r="P73" s="371" t="s">
        <v>572</v>
      </c>
      <c r="Q73" s="369" t="b">
        <f t="shared" si="6"/>
        <v>1</v>
      </c>
    </row>
    <row r="74" spans="1:17">
      <c r="A74" s="372">
        <v>21</v>
      </c>
      <c r="B74" s="372" t="s">
        <v>568</v>
      </c>
      <c r="C74" s="372" t="s">
        <v>569</v>
      </c>
      <c r="D74" s="372" t="s">
        <v>570</v>
      </c>
      <c r="E74" s="372">
        <v>3</v>
      </c>
      <c r="F74" s="372">
        <v>2014</v>
      </c>
      <c r="G74" s="372" t="s">
        <v>303</v>
      </c>
      <c r="H74" s="372">
        <v>21</v>
      </c>
      <c r="I74" s="372" t="s">
        <v>303</v>
      </c>
      <c r="J74" s="372">
        <v>0.503</v>
      </c>
      <c r="K74" s="372">
        <v>3.5000000000000003E-2</v>
      </c>
      <c r="L74" s="372">
        <v>0.434</v>
      </c>
      <c r="M74" s="372">
        <v>0.57099999999999995</v>
      </c>
      <c r="N74" s="369">
        <v>6.8526000000000004E-2</v>
      </c>
      <c r="O74" s="369">
        <v>6.8428000000000003E-2</v>
      </c>
      <c r="P74" s="372" t="s">
        <v>570</v>
      </c>
      <c r="Q74" s="369" t="b">
        <f t="shared" si="6"/>
        <v>1</v>
      </c>
    </row>
  </sheetData>
  <sortState ref="A26:O71">
    <sortCondition ref="C26:C71"/>
    <sortCondition ref="F26:F71"/>
    <sortCondition ref="E26:E71"/>
  </sortState>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sheetPr>
  <dimension ref="A1:V36"/>
  <sheetViews>
    <sheetView workbookViewId="0">
      <selection activeCell="G13" sqref="G13"/>
    </sheetView>
  </sheetViews>
  <sheetFormatPr defaultColWidth="8.88671875" defaultRowHeight="14.4"/>
  <cols>
    <col min="1" max="9" width="8.88671875" style="297"/>
    <col min="10" max="12" width="7.88671875" style="297" customWidth="1"/>
    <col min="13" max="14" width="8.88671875" style="297"/>
    <col min="15" max="17" width="9.44140625" style="297" bestFit="1" customWidth="1"/>
    <col min="18" max="16384" width="8.88671875" style="297"/>
  </cols>
  <sheetData>
    <row r="1" spans="1:22" ht="18.600000000000001" thickBot="1">
      <c r="A1" s="436" t="s">
        <v>407</v>
      </c>
      <c r="B1" s="437"/>
      <c r="C1" s="437"/>
      <c r="D1" s="437"/>
      <c r="F1" s="56" t="s">
        <v>355</v>
      </c>
      <c r="N1" s="459" t="s">
        <v>406</v>
      </c>
      <c r="O1" s="7"/>
      <c r="P1" s="7"/>
      <c r="Q1" s="7"/>
      <c r="R1" s="7"/>
      <c r="S1" s="7"/>
      <c r="T1" s="7"/>
      <c r="U1" s="7"/>
      <c r="V1" s="7"/>
    </row>
    <row r="2" spans="1:22" ht="15" thickBot="1">
      <c r="A2" s="437" t="s">
        <v>405</v>
      </c>
      <c r="B2" s="437"/>
      <c r="C2" s="437"/>
      <c r="D2" s="437"/>
      <c r="F2" s="448" t="s">
        <v>721</v>
      </c>
      <c r="G2" s="448"/>
      <c r="H2" s="448"/>
      <c r="I2" s="448"/>
      <c r="J2" s="448"/>
      <c r="K2" s="448"/>
      <c r="L2" s="448"/>
      <c r="M2" s="416"/>
      <c r="N2" s="460" t="s">
        <v>363</v>
      </c>
      <c r="O2" s="461"/>
      <c r="P2" s="461"/>
      <c r="Q2" s="461"/>
      <c r="R2" s="461"/>
      <c r="S2" s="461"/>
      <c r="T2" s="462" t="s">
        <v>361</v>
      </c>
      <c r="U2" s="461"/>
      <c r="V2" s="463"/>
    </row>
    <row r="3" spans="1:22">
      <c r="A3" s="438" t="s">
        <v>302</v>
      </c>
      <c r="B3" s="439" t="s">
        <v>303</v>
      </c>
      <c r="C3" s="439" t="s">
        <v>304</v>
      </c>
      <c r="D3" s="440" t="s">
        <v>305</v>
      </c>
      <c r="F3" s="104" t="s">
        <v>347</v>
      </c>
      <c r="G3" s="105" t="s">
        <v>348</v>
      </c>
      <c r="H3" s="105" t="s">
        <v>304</v>
      </c>
      <c r="I3" s="106" t="s">
        <v>305</v>
      </c>
      <c r="J3" s="75" t="s">
        <v>349</v>
      </c>
      <c r="K3" s="75" t="s">
        <v>350</v>
      </c>
      <c r="L3" s="46" t="s">
        <v>351</v>
      </c>
      <c r="N3" s="464" t="s">
        <v>354</v>
      </c>
      <c r="O3" s="465" t="s">
        <v>302</v>
      </c>
      <c r="P3" s="465" t="s">
        <v>156</v>
      </c>
      <c r="Q3" s="465" t="s">
        <v>157</v>
      </c>
      <c r="R3" s="465" t="s">
        <v>158</v>
      </c>
      <c r="S3" s="465" t="s">
        <v>159</v>
      </c>
      <c r="T3" s="466" t="s">
        <v>359</v>
      </c>
      <c r="U3" s="465" t="s">
        <v>360</v>
      </c>
      <c r="V3" s="467" t="s">
        <v>358</v>
      </c>
    </row>
    <row r="4" spans="1:22">
      <c r="A4" s="441">
        <v>2001</v>
      </c>
      <c r="B4" s="442"/>
      <c r="C4" s="442"/>
      <c r="D4" s="443"/>
      <c r="F4" s="114">
        <v>2001</v>
      </c>
      <c r="G4" s="450"/>
      <c r="H4" s="450"/>
      <c r="I4" s="451"/>
      <c r="J4" s="437" t="s">
        <v>722</v>
      </c>
      <c r="K4" s="437"/>
      <c r="L4" s="452"/>
      <c r="N4" s="468" t="s">
        <v>353</v>
      </c>
      <c r="O4" s="469">
        <v>2005</v>
      </c>
      <c r="P4" s="470">
        <v>8.6999999999999994E-2</v>
      </c>
      <c r="Q4" s="470">
        <v>0.621</v>
      </c>
      <c r="R4" s="470">
        <v>0.27700000000000002</v>
      </c>
      <c r="S4" s="470">
        <v>8.0000000000000002E-3</v>
      </c>
      <c r="T4" s="471">
        <v>8.7613293051359509E-2</v>
      </c>
      <c r="U4" s="472">
        <v>0.62537764350453173</v>
      </c>
      <c r="V4" s="473">
        <v>0.28700906344410881</v>
      </c>
    </row>
    <row r="5" spans="1:22">
      <c r="A5" s="441">
        <v>2002</v>
      </c>
      <c r="B5" s="442"/>
      <c r="C5" s="442"/>
      <c r="D5" s="443"/>
      <c r="F5" s="43">
        <v>2002</v>
      </c>
      <c r="G5" s="452"/>
      <c r="H5" s="452"/>
      <c r="I5" s="453"/>
      <c r="J5" s="437"/>
      <c r="K5" s="437"/>
      <c r="L5" s="454"/>
      <c r="N5" s="468" t="s">
        <v>353</v>
      </c>
      <c r="O5" s="469">
        <v>2006</v>
      </c>
      <c r="P5" s="470">
        <v>4.0999999999999995E-2</v>
      </c>
      <c r="Q5" s="470">
        <v>0.68700000000000006</v>
      </c>
      <c r="R5" s="470">
        <v>0.26899999999999996</v>
      </c>
      <c r="S5" s="470">
        <v>2E-3</v>
      </c>
      <c r="T5" s="471">
        <v>4.1041041041041032E-2</v>
      </c>
      <c r="U5" s="472">
        <v>0.68768768768768762</v>
      </c>
      <c r="V5" s="473">
        <v>0.27127127127127121</v>
      </c>
    </row>
    <row r="6" spans="1:22">
      <c r="A6" s="441">
        <v>2003</v>
      </c>
      <c r="B6" s="442"/>
      <c r="C6" s="442"/>
      <c r="D6" s="443"/>
      <c r="F6" s="43">
        <v>2003</v>
      </c>
      <c r="G6" s="452"/>
      <c r="H6" s="452"/>
      <c r="I6" s="453"/>
      <c r="J6" s="437"/>
      <c r="K6" s="437"/>
      <c r="L6" s="452"/>
      <c r="N6" s="468" t="s">
        <v>353</v>
      </c>
      <c r="O6" s="469">
        <v>2007</v>
      </c>
      <c r="P6" s="470">
        <v>5.5999999999999994E-2</v>
      </c>
      <c r="Q6" s="470">
        <v>0.84599999999999997</v>
      </c>
      <c r="R6" s="470">
        <v>9.0999999999999998E-2</v>
      </c>
      <c r="S6" s="470">
        <v>0</v>
      </c>
      <c r="T6" s="471">
        <v>5.6394763343403827E-2</v>
      </c>
      <c r="U6" s="472">
        <v>0.85196374622356508</v>
      </c>
      <c r="V6" s="473">
        <v>9.1641490433031228E-2</v>
      </c>
    </row>
    <row r="7" spans="1:22">
      <c r="A7" s="441">
        <v>2004</v>
      </c>
      <c r="B7" s="442">
        <v>0.66100000000000003</v>
      </c>
      <c r="C7" s="442">
        <v>0.46068800000000004</v>
      </c>
      <c r="D7" s="443">
        <v>0.86131200000000008</v>
      </c>
      <c r="F7" s="43">
        <v>2004</v>
      </c>
      <c r="G7" s="452"/>
      <c r="H7" s="452"/>
      <c r="I7" s="453"/>
      <c r="J7" s="449"/>
      <c r="K7" s="449"/>
      <c r="L7" s="449"/>
      <c r="N7" s="468" t="s">
        <v>353</v>
      </c>
      <c r="O7" s="469">
        <v>2008</v>
      </c>
      <c r="P7" s="470">
        <v>7.4999999999999997E-2</v>
      </c>
      <c r="Q7" s="470">
        <v>0.86599999999999999</v>
      </c>
      <c r="R7" s="470">
        <v>5.9000000000000004E-2</v>
      </c>
      <c r="S7" s="470">
        <v>0</v>
      </c>
      <c r="T7" s="471">
        <v>7.4999999999999997E-2</v>
      </c>
      <c r="U7" s="472">
        <v>0.86599999999999999</v>
      </c>
      <c r="V7" s="473">
        <v>5.9000000000000004E-2</v>
      </c>
    </row>
    <row r="8" spans="1:22">
      <c r="A8" s="441">
        <v>2005</v>
      </c>
      <c r="B8" s="442">
        <v>0.55400000000000005</v>
      </c>
      <c r="C8" s="442">
        <v>0.43592960000000003</v>
      </c>
      <c r="D8" s="443">
        <v>0.67207040000000007</v>
      </c>
      <c r="F8" s="43">
        <v>2005</v>
      </c>
      <c r="G8" s="452"/>
      <c r="H8" s="452"/>
      <c r="I8" s="453"/>
      <c r="J8" s="449"/>
      <c r="K8" s="449"/>
      <c r="L8" s="449"/>
      <c r="N8" s="468" t="s">
        <v>353</v>
      </c>
      <c r="O8" s="469">
        <v>2009</v>
      </c>
      <c r="P8" s="470">
        <v>2.1000000000000001E-2</v>
      </c>
      <c r="Q8" s="470">
        <v>0.80799999999999994</v>
      </c>
      <c r="R8" s="470">
        <v>0.17100000000000001</v>
      </c>
      <c r="S8" s="470">
        <v>0</v>
      </c>
      <c r="T8" s="471">
        <v>2.1000000000000001E-2</v>
      </c>
      <c r="U8" s="472">
        <v>0.80799999999999994</v>
      </c>
      <c r="V8" s="473">
        <v>0.17100000000000001</v>
      </c>
    </row>
    <row r="9" spans="1:22">
      <c r="A9" s="441">
        <v>2006</v>
      </c>
      <c r="B9" s="442">
        <v>0.88900000000000001</v>
      </c>
      <c r="C9" s="442">
        <v>0.67359600000000008</v>
      </c>
      <c r="D9" s="443">
        <v>1</v>
      </c>
      <c r="F9" s="43">
        <v>2006</v>
      </c>
      <c r="G9" s="452"/>
      <c r="H9" s="452"/>
      <c r="I9" s="453"/>
      <c r="J9" s="449"/>
      <c r="K9" s="449"/>
      <c r="L9" s="449"/>
      <c r="N9" s="468" t="s">
        <v>353</v>
      </c>
      <c r="O9" s="469">
        <v>2010</v>
      </c>
      <c r="P9" s="470">
        <v>7.8E-2</v>
      </c>
      <c r="Q9" s="470">
        <v>0.84799999999999998</v>
      </c>
      <c r="R9" s="470">
        <v>7.2999999999999995E-2</v>
      </c>
      <c r="S9" s="470">
        <v>0</v>
      </c>
      <c r="T9" s="471">
        <v>7.8078078078078081E-2</v>
      </c>
      <c r="U9" s="472">
        <v>0.84884884884884892</v>
      </c>
      <c r="V9" s="473">
        <v>7.3073073073073078E-2</v>
      </c>
    </row>
    <row r="10" spans="1:22">
      <c r="A10" s="441">
        <v>2007</v>
      </c>
      <c r="B10" s="442">
        <v>0.70499999999999996</v>
      </c>
      <c r="C10" s="442">
        <v>0.5842444</v>
      </c>
      <c r="D10" s="443">
        <v>0.82575559999999992</v>
      </c>
      <c r="F10" s="43">
        <v>2007</v>
      </c>
      <c r="G10" s="452"/>
      <c r="H10" s="452"/>
      <c r="I10" s="453"/>
      <c r="J10" s="449"/>
      <c r="K10" s="449"/>
      <c r="L10" s="449"/>
      <c r="N10" s="468" t="s">
        <v>353</v>
      </c>
      <c r="O10" s="469">
        <v>2011</v>
      </c>
      <c r="P10" s="470">
        <v>6.9004707801333096E-2</v>
      </c>
      <c r="Q10" s="470">
        <v>0.69453617317465377</v>
      </c>
      <c r="R10" s="470">
        <v>0.23645911902401318</v>
      </c>
      <c r="S10" s="470">
        <v>0</v>
      </c>
      <c r="T10" s="471">
        <v>6.9004707801333096E-2</v>
      </c>
      <c r="U10" s="472">
        <v>0.69453617317465377</v>
      </c>
      <c r="V10" s="473">
        <v>0.23645911902401318</v>
      </c>
    </row>
    <row r="11" spans="1:22">
      <c r="A11" s="441">
        <v>2008</v>
      </c>
      <c r="B11" s="442">
        <v>0.95399999999999996</v>
      </c>
      <c r="C11" s="442">
        <v>0.64608399999999999</v>
      </c>
      <c r="D11" s="443">
        <v>1</v>
      </c>
      <c r="F11" s="43">
        <v>2008</v>
      </c>
      <c r="G11" s="78">
        <v>19999.975855129527</v>
      </c>
      <c r="H11" s="452"/>
      <c r="I11" s="453"/>
      <c r="J11" s="16">
        <f>$G11*G27</f>
        <v>237.09938290737088</v>
      </c>
      <c r="K11" s="16">
        <f t="shared" ref="J11:L14" si="0">$G11*H27</f>
        <v>16520.02372351976</v>
      </c>
      <c r="L11" s="16">
        <f t="shared" si="0"/>
        <v>3242.8527487023921</v>
      </c>
      <c r="N11" s="474" t="s">
        <v>353</v>
      </c>
      <c r="O11" s="469">
        <v>2012</v>
      </c>
      <c r="P11" s="470">
        <v>0.19942652563767738</v>
      </c>
      <c r="Q11" s="470">
        <v>0.73047076767940566</v>
      </c>
      <c r="R11" s="470">
        <v>6.9188629900467188E-2</v>
      </c>
      <c r="S11" s="470">
        <v>0</v>
      </c>
      <c r="T11" s="471">
        <v>0.19960898357513182</v>
      </c>
      <c r="U11" s="472">
        <v>0.73113908494169244</v>
      </c>
      <c r="V11" s="473">
        <v>6.9251931483175766E-2</v>
      </c>
    </row>
    <row r="12" spans="1:22">
      <c r="A12" s="441">
        <v>2009</v>
      </c>
      <c r="B12" s="442">
        <v>0.76800000000000002</v>
      </c>
      <c r="C12" s="442">
        <v>0.65279120000000002</v>
      </c>
      <c r="D12" s="443">
        <v>0.88320880000000002</v>
      </c>
      <c r="F12" s="43">
        <v>2009</v>
      </c>
      <c r="G12" s="78">
        <v>41863.87138533371</v>
      </c>
      <c r="H12" s="452"/>
      <c r="I12" s="453"/>
      <c r="J12" s="16">
        <f t="shared" si="0"/>
        <v>5071.0489392269483</v>
      </c>
      <c r="K12" s="16">
        <f t="shared" si="0"/>
        <v>31787.35674968105</v>
      </c>
      <c r="L12" s="16">
        <f t="shared" si="0"/>
        <v>5005.4656964257138</v>
      </c>
      <c r="N12" s="474" t="s">
        <v>353</v>
      </c>
      <c r="O12" s="469">
        <v>2013</v>
      </c>
      <c r="P12" s="470">
        <v>9.129619749861978E-2</v>
      </c>
      <c r="Q12" s="470">
        <v>0.63028730564453672</v>
      </c>
      <c r="R12" s="470">
        <v>0.2031298029574084</v>
      </c>
      <c r="S12" s="470">
        <v>1.8332517146557946E-2</v>
      </c>
      <c r="T12" s="471">
        <v>9.6809927204031337E-2</v>
      </c>
      <c r="U12" s="472">
        <v>0.66835278849368429</v>
      </c>
      <c r="V12" s="473">
        <v>0.23483728430228429</v>
      </c>
    </row>
    <row r="13" spans="1:22">
      <c r="A13" s="441">
        <v>2010</v>
      </c>
      <c r="B13" s="442">
        <v>0.88</v>
      </c>
      <c r="C13" s="442">
        <v>0.71</v>
      </c>
      <c r="D13" s="443">
        <v>1</v>
      </c>
      <c r="F13" s="43">
        <v>2010</v>
      </c>
      <c r="G13" s="78">
        <v>137887.58558667637</v>
      </c>
      <c r="H13" s="452"/>
      <c r="I13" s="453"/>
      <c r="J13" s="16">
        <f>$G13*G29</f>
        <v>5620.1994491323449</v>
      </c>
      <c r="K13" s="16">
        <f t="shared" si="0"/>
        <v>94042.91022348206</v>
      </c>
      <c r="L13" s="16">
        <f t="shared" si="0"/>
        <v>38224.475914061972</v>
      </c>
      <c r="N13" s="468" t="s">
        <v>353</v>
      </c>
      <c r="O13" s="469">
        <v>2014</v>
      </c>
      <c r="P13" s="470">
        <v>0.12619447779111645</v>
      </c>
      <c r="Q13" s="470">
        <v>0.5364568684616704</v>
      </c>
      <c r="R13" s="470">
        <v>0.3325947521865889</v>
      </c>
      <c r="S13" s="470">
        <v>0</v>
      </c>
      <c r="T13" s="475">
        <v>0.1267972594808453</v>
      </c>
      <c r="U13" s="476">
        <v>0.5390193132159744</v>
      </c>
      <c r="V13" s="477">
        <v>0.33418342730318024</v>
      </c>
    </row>
    <row r="14" spans="1:22">
      <c r="A14" s="441">
        <v>2011</v>
      </c>
      <c r="B14" s="442">
        <v>0.86</v>
      </c>
      <c r="C14" s="442">
        <v>0.44879200000000002</v>
      </c>
      <c r="D14" s="443">
        <v>1</v>
      </c>
      <c r="F14" s="43">
        <v>2011</v>
      </c>
      <c r="G14" s="78">
        <v>160143.3435973404</v>
      </c>
      <c r="H14" s="452"/>
      <c r="I14" s="453"/>
      <c r="J14" s="16">
        <f t="shared" si="0"/>
        <v>24334.072590665779</v>
      </c>
      <c r="K14" s="16">
        <f t="shared" si="0"/>
        <v>103107.18053048347</v>
      </c>
      <c r="L14" s="16">
        <f t="shared" si="0"/>
        <v>32702.090476191133</v>
      </c>
      <c r="N14" s="468"/>
      <c r="O14" s="469"/>
      <c r="P14" s="469"/>
      <c r="Q14" s="469"/>
      <c r="R14" s="469"/>
      <c r="S14" s="469"/>
      <c r="T14" s="469"/>
      <c r="U14" s="469"/>
      <c r="V14" s="478"/>
    </row>
    <row r="15" spans="1:22">
      <c r="A15" s="441">
        <v>2012</v>
      </c>
      <c r="B15" s="442">
        <v>0.87880000000000003</v>
      </c>
      <c r="C15" s="442">
        <v>0.61263200000000007</v>
      </c>
      <c r="D15" s="443">
        <v>1</v>
      </c>
      <c r="F15" s="108">
        <v>2012</v>
      </c>
      <c r="G15" s="120"/>
      <c r="H15" s="452"/>
      <c r="I15" s="453"/>
      <c r="J15" s="297" t="s">
        <v>365</v>
      </c>
      <c r="N15" s="479" t="s">
        <v>302</v>
      </c>
      <c r="O15" s="480" t="s">
        <v>348</v>
      </c>
      <c r="P15" s="480" t="s">
        <v>304</v>
      </c>
      <c r="Q15" s="480" t="s">
        <v>305</v>
      </c>
      <c r="R15" s="285" t="s">
        <v>359</v>
      </c>
      <c r="S15" s="285" t="s">
        <v>360</v>
      </c>
      <c r="T15" s="285" t="s">
        <v>358</v>
      </c>
      <c r="U15" s="469"/>
      <c r="V15" s="478"/>
    </row>
    <row r="16" spans="1:22" ht="15" thickBot="1">
      <c r="A16" s="441">
        <v>2013</v>
      </c>
      <c r="B16" s="442">
        <v>0.38440000000000002</v>
      </c>
      <c r="C16" s="442">
        <v>0.259548</v>
      </c>
      <c r="D16" s="443">
        <v>0.50925200000000004</v>
      </c>
      <c r="F16" s="109">
        <v>2013</v>
      </c>
      <c r="G16" s="485"/>
      <c r="H16" s="455"/>
      <c r="I16" s="456"/>
      <c r="J16" s="297" t="s">
        <v>366</v>
      </c>
      <c r="N16" s="481">
        <v>2004</v>
      </c>
      <c r="O16" s="285">
        <v>20974</v>
      </c>
      <c r="P16" s="285"/>
      <c r="Q16" s="285"/>
      <c r="R16" s="285"/>
      <c r="S16" s="285"/>
      <c r="T16" s="285"/>
      <c r="U16" s="469"/>
      <c r="V16" s="478"/>
    </row>
    <row r="17" spans="1:22" ht="15" thickBot="1">
      <c r="A17" s="444">
        <v>2014</v>
      </c>
      <c r="B17" s="445">
        <v>0.40350000000000003</v>
      </c>
      <c r="C17" s="445">
        <v>0.19</v>
      </c>
      <c r="D17" s="446">
        <v>0.61</v>
      </c>
      <c r="N17" s="482">
        <v>2005</v>
      </c>
      <c r="O17" s="120">
        <v>25425.53947368421</v>
      </c>
      <c r="P17" s="120">
        <v>18398.166976492703</v>
      </c>
      <c r="Q17" s="120">
        <v>37604.841742260396</v>
      </c>
      <c r="R17" s="483">
        <v>2227.6152408968037</v>
      </c>
      <c r="S17" s="483">
        <v>15900.563960884083</v>
      </c>
      <c r="T17" s="483">
        <v>7297.3602719033242</v>
      </c>
      <c r="U17" s="469"/>
      <c r="V17" s="478"/>
    </row>
    <row r="18" spans="1:22" ht="15" thickBot="1">
      <c r="A18" s="437"/>
      <c r="B18" s="447">
        <f>AVERAGE(B7:B17)</f>
        <v>0.72160909090909098</v>
      </c>
      <c r="C18" s="437" t="s">
        <v>320</v>
      </c>
      <c r="D18" s="437"/>
      <c r="F18" s="103" t="s">
        <v>356</v>
      </c>
      <c r="G18" s="28"/>
      <c r="H18" s="28"/>
      <c r="I18" s="28"/>
      <c r="N18" s="482">
        <v>2006</v>
      </c>
      <c r="O18" s="120">
        <v>22668.281632653063</v>
      </c>
      <c r="P18" s="120">
        <v>15598.20065618421</v>
      </c>
      <c r="Q18" s="120">
        <v>33539.85511917551</v>
      </c>
      <c r="R18" s="483">
        <v>930.32987681559098</v>
      </c>
      <c r="S18" s="483">
        <v>15588.698179812465</v>
      </c>
      <c r="T18" s="483">
        <v>6149.2535760250039</v>
      </c>
      <c r="U18" s="469"/>
      <c r="V18" s="478"/>
    </row>
    <row r="19" spans="1:22">
      <c r="A19" s="437"/>
      <c r="B19" s="437">
        <f>STDEV(B7:B17)</f>
        <v>0.2000178914724651</v>
      </c>
      <c r="C19" s="437" t="s">
        <v>586</v>
      </c>
      <c r="D19" s="437"/>
      <c r="F19" s="104" t="s">
        <v>347</v>
      </c>
      <c r="G19" s="105">
        <v>1</v>
      </c>
      <c r="H19" s="105">
        <v>2</v>
      </c>
      <c r="I19" s="106" t="s">
        <v>362</v>
      </c>
      <c r="J19" s="28"/>
      <c r="N19" s="482">
        <v>2007</v>
      </c>
      <c r="O19" s="120">
        <v>25380.576923076922</v>
      </c>
      <c r="P19" s="120">
        <v>20703.111156890325</v>
      </c>
      <c r="Q19" s="120">
        <v>31594.107900151157</v>
      </c>
      <c r="R19" s="483">
        <v>1431.3316290959795</v>
      </c>
      <c r="S19" s="483">
        <v>21623.331396699978</v>
      </c>
      <c r="T19" s="483">
        <v>2325.9138972809669</v>
      </c>
      <c r="U19" s="469"/>
      <c r="V19" s="478"/>
    </row>
    <row r="20" spans="1:22">
      <c r="A20" s="437"/>
      <c r="B20" s="254">
        <f>B19/B18</f>
        <v>0.27718316466950321</v>
      </c>
      <c r="C20" s="437" t="s">
        <v>587</v>
      </c>
      <c r="D20" s="437"/>
      <c r="F20" s="43">
        <v>2001</v>
      </c>
      <c r="G20" s="47"/>
      <c r="H20" s="47"/>
      <c r="I20" s="92"/>
      <c r="N20" s="482">
        <v>2008</v>
      </c>
      <c r="O20" s="120">
        <v>6247.84</v>
      </c>
      <c r="P20" s="120">
        <v>3657.476329537843</v>
      </c>
      <c r="Q20" s="120">
        <v>10970.336610850638</v>
      </c>
      <c r="R20" s="483">
        <v>468.58799999999997</v>
      </c>
      <c r="S20" s="483">
        <v>5410.6294399999997</v>
      </c>
      <c r="T20" s="483">
        <v>368.62256000000002</v>
      </c>
      <c r="U20" s="469"/>
      <c r="V20" s="478"/>
    </row>
    <row r="21" spans="1:22">
      <c r="A21" s="437"/>
      <c r="B21" s="437"/>
      <c r="C21" s="437"/>
      <c r="D21" s="437"/>
      <c r="F21" s="43">
        <v>2002</v>
      </c>
      <c r="G21" s="47"/>
      <c r="H21" s="47"/>
      <c r="I21" s="92"/>
      <c r="N21" s="482">
        <v>2009</v>
      </c>
      <c r="O21" s="120">
        <v>14521.86</v>
      </c>
      <c r="P21" s="120">
        <v>9646.2298058622</v>
      </c>
      <c r="Q21" s="120">
        <v>23222.814564141605</v>
      </c>
      <c r="R21" s="483">
        <v>304.95906000000002</v>
      </c>
      <c r="S21" s="483">
        <v>11733.66288</v>
      </c>
      <c r="T21" s="483">
        <v>2483.2380600000001</v>
      </c>
      <c r="U21" s="469"/>
      <c r="V21" s="478"/>
    </row>
    <row r="22" spans="1:22">
      <c r="F22" s="43">
        <v>2003</v>
      </c>
      <c r="G22" s="47"/>
      <c r="H22" s="47"/>
      <c r="I22" s="92"/>
      <c r="N22" s="482">
        <v>2010</v>
      </c>
      <c r="O22" s="120">
        <v>25031.761904761905</v>
      </c>
      <c r="P22" s="120">
        <v>21015.615189925091</v>
      </c>
      <c r="Q22" s="120">
        <v>29981.598779417469</v>
      </c>
      <c r="R22" s="483">
        <v>1954.4318604318605</v>
      </c>
      <c r="S22" s="483">
        <v>21248.182277515614</v>
      </c>
      <c r="T22" s="483">
        <v>1829.1477668144337</v>
      </c>
      <c r="U22" s="469"/>
      <c r="V22" s="478"/>
    </row>
    <row r="23" spans="1:22">
      <c r="F23" s="43">
        <v>2004</v>
      </c>
      <c r="G23" s="89">
        <f>R17/(R17+S18+T19)</f>
        <v>0.11059428561344783</v>
      </c>
      <c r="H23" s="89">
        <f t="shared" ref="H23:H30" si="1">S18/(R17+S18+T19)</f>
        <v>0.77393120103898638</v>
      </c>
      <c r="I23" s="107">
        <f t="shared" ref="I23:I30" si="2">T19/(R17+S18+T19)</f>
        <v>0.11547451334756574</v>
      </c>
      <c r="N23" s="482">
        <v>2011</v>
      </c>
      <c r="O23" s="120">
        <v>17639.337837837837</v>
      </c>
      <c r="P23" s="120">
        <v>11105.336542021472</v>
      </c>
      <c r="Q23" s="120">
        <v>28941.927249166973</v>
      </c>
      <c r="R23" s="483">
        <v>1217.1973533089986</v>
      </c>
      <c r="S23" s="483">
        <v>12251.158199226762</v>
      </c>
      <c r="T23" s="483">
        <v>4170.982285302076</v>
      </c>
      <c r="U23" s="469"/>
      <c r="V23" s="478"/>
    </row>
    <row r="24" spans="1:22">
      <c r="F24" s="43">
        <v>2005</v>
      </c>
      <c r="G24" s="89">
        <f t="shared" ref="G24:G30" si="3">R18/(R18+S19+T20)</f>
        <v>4.058626459617079E-2</v>
      </c>
      <c r="H24" s="89">
        <f t="shared" si="1"/>
        <v>0.9433323290885901</v>
      </c>
      <c r="I24" s="107">
        <f t="shared" si="2"/>
        <v>1.6081406315239084E-2</v>
      </c>
      <c r="N24" s="482">
        <v>2012</v>
      </c>
      <c r="O24" s="120">
        <v>27857.063274314332</v>
      </c>
      <c r="P24" s="120">
        <v>23740.378798321501</v>
      </c>
      <c r="Q24" s="120">
        <v>32431.157136528589</v>
      </c>
      <c r="R24" s="483">
        <v>5560.5200855740177</v>
      </c>
      <c r="S24" s="483">
        <v>20367.387751545008</v>
      </c>
      <c r="T24" s="483">
        <v>1929.1554371953082</v>
      </c>
      <c r="U24" s="469"/>
      <c r="V24" s="478"/>
    </row>
    <row r="25" spans="1:22">
      <c r="F25" s="43">
        <v>2006</v>
      </c>
      <c r="G25" s="89">
        <f t="shared" si="3"/>
        <v>0.15349073079094003</v>
      </c>
      <c r="H25" s="89">
        <f t="shared" si="1"/>
        <v>0.58021596805563624</v>
      </c>
      <c r="I25" s="107">
        <f t="shared" si="2"/>
        <v>0.2662933011534237</v>
      </c>
      <c r="N25" s="482">
        <v>2013</v>
      </c>
      <c r="O25" s="120">
        <v>35252</v>
      </c>
      <c r="P25" s="120">
        <v>29763</v>
      </c>
      <c r="Q25" s="120">
        <v>41572</v>
      </c>
      <c r="R25" s="483">
        <v>3412.7435537965125</v>
      </c>
      <c r="S25" s="483">
        <v>23560.772499979357</v>
      </c>
      <c r="T25" s="483">
        <v>8278.4839462241252</v>
      </c>
      <c r="U25" s="469"/>
      <c r="V25" s="478"/>
    </row>
    <row r="26" spans="1:22" ht="15" thickBot="1">
      <c r="F26" s="43">
        <v>2007</v>
      </c>
      <c r="G26" s="89">
        <f t="shared" si="3"/>
        <v>3.3395672932889274E-2</v>
      </c>
      <c r="H26" s="89">
        <f t="shared" si="1"/>
        <v>0.83624328374875934</v>
      </c>
      <c r="I26" s="107">
        <f t="shared" si="2"/>
        <v>0.13036104331835141</v>
      </c>
      <c r="N26" s="484">
        <v>2014</v>
      </c>
      <c r="O26" s="485">
        <v>22361</v>
      </c>
      <c r="P26" s="485">
        <v>17234</v>
      </c>
      <c r="Q26" s="485">
        <v>29733</v>
      </c>
      <c r="R26" s="486">
        <v>2835.3135192511818</v>
      </c>
      <c r="S26" s="486">
        <v>12053.010862822404</v>
      </c>
      <c r="T26" s="486">
        <v>7472.675617926413</v>
      </c>
      <c r="U26" s="487"/>
      <c r="V26" s="488"/>
    </row>
    <row r="27" spans="1:22">
      <c r="F27" s="43">
        <v>2008</v>
      </c>
      <c r="G27" s="89">
        <f t="shared" si="3"/>
        <v>1.1854983457220546E-2</v>
      </c>
      <c r="H27" s="89">
        <f t="shared" si="1"/>
        <v>0.82600218336177444</v>
      </c>
      <c r="I27" s="107">
        <f t="shared" si="2"/>
        <v>0.16214283318100486</v>
      </c>
    </row>
    <row r="28" spans="1:22">
      <c r="F28" s="43">
        <v>2009</v>
      </c>
      <c r="G28" s="89">
        <f t="shared" si="3"/>
        <v>0.12113186791901676</v>
      </c>
      <c r="H28" s="89">
        <f t="shared" si="1"/>
        <v>0.75930284748622667</v>
      </c>
      <c r="I28" s="107">
        <f t="shared" si="2"/>
        <v>0.11956528459475664</v>
      </c>
    </row>
    <row r="29" spans="1:22">
      <c r="F29" s="43">
        <v>2010</v>
      </c>
      <c r="G29" s="89">
        <f t="shared" si="3"/>
        <v>4.0759285364377333E-2</v>
      </c>
      <c r="H29" s="89">
        <f t="shared" si="1"/>
        <v>0.68202594035825315</v>
      </c>
      <c r="I29" s="107">
        <f t="shared" si="2"/>
        <v>0.27721477427736957</v>
      </c>
    </row>
    <row r="30" spans="1:22">
      <c r="F30" s="43">
        <v>2011</v>
      </c>
      <c r="G30" s="89">
        <f t="shared" si="3"/>
        <v>0.15195182043813596</v>
      </c>
      <c r="H30" s="89">
        <f t="shared" si="1"/>
        <v>0.64384306093753774</v>
      </c>
      <c r="I30" s="107">
        <f t="shared" si="2"/>
        <v>0.20420511862432625</v>
      </c>
    </row>
    <row r="31" spans="1:22">
      <c r="F31" s="108">
        <v>2012</v>
      </c>
      <c r="G31" s="13" t="s">
        <v>352</v>
      </c>
      <c r="H31" s="13"/>
      <c r="I31" s="97"/>
    </row>
    <row r="32" spans="1:22" ht="15" thickBot="1">
      <c r="F32" s="109">
        <v>2013</v>
      </c>
      <c r="G32" s="42" t="s">
        <v>352</v>
      </c>
      <c r="H32" s="42"/>
      <c r="I32" s="102"/>
    </row>
    <row r="35" spans="4:8">
      <c r="D35" s="297" t="s">
        <v>725</v>
      </c>
    </row>
    <row r="36" spans="4:8">
      <c r="F36" s="419"/>
      <c r="G36" s="419"/>
      <c r="H36" s="419"/>
    </row>
  </sheetData>
  <pageMargins left="0.7" right="0.7" top="0.75" bottom="0.75" header="0.3" footer="0.3"/>
  <pageSetup orientation="portrait" horizontalDpi="360" verticalDpi="360"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sheetPr>
  <dimension ref="A1:Z37"/>
  <sheetViews>
    <sheetView workbookViewId="0">
      <selection activeCell="M34" sqref="M34"/>
    </sheetView>
  </sheetViews>
  <sheetFormatPr defaultRowHeight="14.4"/>
  <cols>
    <col min="10" max="10" width="5.109375" customWidth="1"/>
    <col min="12" max="12" width="11.33203125" customWidth="1"/>
    <col min="21" max="21" width="9.109375" customWidth="1"/>
  </cols>
  <sheetData>
    <row r="1" spans="1:26" ht="18">
      <c r="A1" s="56" t="s">
        <v>301</v>
      </c>
      <c r="L1" s="56" t="s">
        <v>367</v>
      </c>
      <c r="X1" s="43">
        <v>2004</v>
      </c>
      <c r="Y1" s="59">
        <v>0.66100000000000003</v>
      </c>
      <c r="Z1" s="432">
        <v>4.3499999999999997E-2</v>
      </c>
    </row>
    <row r="2" spans="1:26">
      <c r="A2" s="1" t="s">
        <v>287</v>
      </c>
      <c r="B2" s="1"/>
      <c r="C2" s="1"/>
      <c r="D2" s="1"/>
      <c r="E2" s="1"/>
      <c r="F2" s="1"/>
      <c r="G2" s="1"/>
      <c r="H2" s="1"/>
      <c r="I2" s="1"/>
      <c r="L2" s="1" t="s">
        <v>299</v>
      </c>
      <c r="X2" s="43">
        <v>2005</v>
      </c>
      <c r="Y2" s="59">
        <v>0.55400000000000005</v>
      </c>
      <c r="Z2" s="433">
        <v>2.7699999999999999E-2</v>
      </c>
    </row>
    <row r="3" spans="1:26">
      <c r="A3" s="1" t="s">
        <v>288</v>
      </c>
      <c r="L3" s="126" t="s">
        <v>291</v>
      </c>
      <c r="M3" s="49" t="s">
        <v>292</v>
      </c>
      <c r="N3" s="49" t="s">
        <v>292</v>
      </c>
      <c r="O3" s="49" t="s">
        <v>292</v>
      </c>
      <c r="P3" s="49" t="s">
        <v>296</v>
      </c>
      <c r="Q3" s="49" t="s">
        <v>296</v>
      </c>
      <c r="R3" s="49" t="s">
        <v>296</v>
      </c>
      <c r="X3" s="43">
        <v>2006</v>
      </c>
      <c r="Y3" s="59">
        <v>0.88900000000000001</v>
      </c>
      <c r="Z3" s="433">
        <v>3.3500000000000002E-2</v>
      </c>
    </row>
    <row r="4" spans="1:26">
      <c r="A4" s="51" t="s">
        <v>274</v>
      </c>
      <c r="B4" s="51" t="s">
        <v>275</v>
      </c>
      <c r="C4" s="70" t="s">
        <v>276</v>
      </c>
      <c r="D4" s="51" t="s">
        <v>277</v>
      </c>
      <c r="E4" s="51" t="s">
        <v>278</v>
      </c>
      <c r="F4" s="51" t="s">
        <v>279</v>
      </c>
      <c r="G4" s="51" t="s">
        <v>280</v>
      </c>
      <c r="H4" s="51" t="s">
        <v>281</v>
      </c>
      <c r="I4" s="51" t="s">
        <v>282</v>
      </c>
      <c r="J4" s="1"/>
      <c r="L4" s="127" t="s">
        <v>237</v>
      </c>
      <c r="M4" s="48" t="s">
        <v>293</v>
      </c>
      <c r="N4" s="48" t="s">
        <v>294</v>
      </c>
      <c r="O4" s="48" t="s">
        <v>295</v>
      </c>
      <c r="P4" s="48" t="s">
        <v>293</v>
      </c>
      <c r="Q4" s="48" t="s">
        <v>294</v>
      </c>
      <c r="R4" s="48" t="s">
        <v>295</v>
      </c>
      <c r="X4" s="43">
        <v>2007</v>
      </c>
      <c r="Y4" s="59">
        <v>0.70499999999999996</v>
      </c>
      <c r="Z4" s="433">
        <v>8.8000000000000009E-2</v>
      </c>
    </row>
    <row r="5" spans="1:26">
      <c r="A5" s="30" t="s">
        <v>283</v>
      </c>
      <c r="B5" s="30" t="s">
        <v>284</v>
      </c>
      <c r="C5" s="30">
        <v>2004</v>
      </c>
      <c r="D5" s="30">
        <v>2530</v>
      </c>
      <c r="E5" s="432">
        <v>4.3499999999999997E-2</v>
      </c>
      <c r="F5" s="41">
        <v>3.6000000000000004E-2</v>
      </c>
      <c r="G5" s="41">
        <v>5.1799999999999999E-2</v>
      </c>
      <c r="H5" s="30"/>
      <c r="I5" s="30" t="s">
        <v>285</v>
      </c>
      <c r="L5" s="52">
        <v>2004</v>
      </c>
      <c r="M5" s="28">
        <v>66</v>
      </c>
      <c r="N5" s="28">
        <v>43</v>
      </c>
      <c r="O5" s="28">
        <v>1</v>
      </c>
      <c r="P5" s="18">
        <f t="shared" ref="P5:R12" si="0">M5/SUM($M5:$O5)</f>
        <v>0.6</v>
      </c>
      <c r="Q5" s="18">
        <f t="shared" si="0"/>
        <v>0.39090909090909093</v>
      </c>
      <c r="R5" s="18">
        <f t="shared" si="0"/>
        <v>9.0909090909090905E-3</v>
      </c>
      <c r="U5" s="74"/>
      <c r="V5" s="74"/>
      <c r="X5" s="43">
        <v>2008</v>
      </c>
      <c r="Y5" s="59">
        <v>0.95399999999999996</v>
      </c>
      <c r="Z5" s="433">
        <v>0.1023</v>
      </c>
    </row>
    <row r="6" spans="1:26">
      <c r="A6" s="13" t="s">
        <v>283</v>
      </c>
      <c r="B6" s="13" t="s">
        <v>284</v>
      </c>
      <c r="C6" s="13">
        <v>2005</v>
      </c>
      <c r="D6" s="13">
        <v>3571</v>
      </c>
      <c r="E6" s="433">
        <v>2.7699999999999999E-2</v>
      </c>
      <c r="F6" s="122">
        <v>2.3099999999999999E-2</v>
      </c>
      <c r="G6" s="122">
        <v>3.2799999999999996E-2</v>
      </c>
      <c r="H6" s="13"/>
      <c r="I6" s="13" t="s">
        <v>285</v>
      </c>
      <c r="L6" s="52">
        <v>2005</v>
      </c>
      <c r="M6" s="28">
        <v>69</v>
      </c>
      <c r="N6" s="28">
        <v>30</v>
      </c>
      <c r="O6" s="28">
        <v>0</v>
      </c>
      <c r="P6" s="18">
        <f t="shared" si="0"/>
        <v>0.69696969696969702</v>
      </c>
      <c r="Q6" s="18">
        <f t="shared" si="0"/>
        <v>0.30303030303030304</v>
      </c>
      <c r="R6" s="18">
        <f t="shared" si="0"/>
        <v>0</v>
      </c>
      <c r="T6" s="74"/>
      <c r="U6" s="74"/>
      <c r="V6" s="74"/>
      <c r="X6" s="43">
        <v>2009</v>
      </c>
      <c r="Y6" s="59">
        <v>0.76800000000000002</v>
      </c>
      <c r="Z6" s="433">
        <v>7.6700000000000004E-2</v>
      </c>
    </row>
    <row r="7" spans="1:26">
      <c r="A7" s="13" t="s">
        <v>283</v>
      </c>
      <c r="B7" s="13" t="s">
        <v>284</v>
      </c>
      <c r="C7" s="13">
        <v>2006</v>
      </c>
      <c r="D7" s="13">
        <v>1910</v>
      </c>
      <c r="E7" s="433">
        <v>3.3500000000000002E-2</v>
      </c>
      <c r="F7" s="122">
        <v>2.6499999999999999E-2</v>
      </c>
      <c r="G7" s="122">
        <v>4.07E-2</v>
      </c>
      <c r="H7" s="13"/>
      <c r="I7" s="13" t="s">
        <v>285</v>
      </c>
      <c r="L7" s="28">
        <v>2006</v>
      </c>
      <c r="M7" s="28">
        <v>42</v>
      </c>
      <c r="N7" s="28">
        <v>22</v>
      </c>
      <c r="O7" s="28">
        <v>0</v>
      </c>
      <c r="P7" s="18">
        <f t="shared" si="0"/>
        <v>0.65625</v>
      </c>
      <c r="Q7" s="18">
        <f t="shared" si="0"/>
        <v>0.34375</v>
      </c>
      <c r="R7" s="18">
        <f t="shared" si="0"/>
        <v>0</v>
      </c>
      <c r="T7" s="74"/>
      <c r="U7" s="74"/>
      <c r="V7" s="74"/>
      <c r="X7" s="43">
        <v>2010</v>
      </c>
      <c r="Y7" s="59">
        <v>0.88</v>
      </c>
      <c r="Z7" s="433">
        <v>6.08E-2</v>
      </c>
    </row>
    <row r="8" spans="1:26">
      <c r="A8" s="13" t="s">
        <v>283</v>
      </c>
      <c r="B8" s="13" t="s">
        <v>284</v>
      </c>
      <c r="C8" s="13">
        <v>2007</v>
      </c>
      <c r="D8" s="13">
        <v>2874</v>
      </c>
      <c r="E8" s="433">
        <v>8.8000000000000009E-2</v>
      </c>
      <c r="F8" s="122">
        <v>7.7300000000000008E-2</v>
      </c>
      <c r="G8" s="122">
        <v>9.8900000000000002E-2</v>
      </c>
      <c r="H8" s="13"/>
      <c r="I8" s="13" t="s">
        <v>285</v>
      </c>
      <c r="L8" s="28">
        <v>2007</v>
      </c>
      <c r="M8" s="28">
        <v>185</v>
      </c>
      <c r="N8" s="28">
        <v>68</v>
      </c>
      <c r="O8" s="28">
        <v>0</v>
      </c>
      <c r="P8" s="18">
        <f t="shared" si="0"/>
        <v>0.73122529644268774</v>
      </c>
      <c r="Q8" s="18">
        <f t="shared" si="0"/>
        <v>0.26877470355731226</v>
      </c>
      <c r="R8" s="18">
        <f t="shared" si="0"/>
        <v>0</v>
      </c>
      <c r="T8" s="74"/>
      <c r="U8" s="74"/>
      <c r="V8" s="74"/>
      <c r="X8" s="43">
        <v>2011</v>
      </c>
      <c r="Y8" s="59">
        <v>0.86</v>
      </c>
      <c r="Z8" s="434">
        <v>1.95E-2</v>
      </c>
    </row>
    <row r="9" spans="1:26">
      <c r="A9" s="13" t="s">
        <v>283</v>
      </c>
      <c r="B9" s="13" t="s">
        <v>284</v>
      </c>
      <c r="C9" s="13">
        <v>2008</v>
      </c>
      <c r="D9" s="13">
        <v>3069</v>
      </c>
      <c r="E9" s="433">
        <v>0.1023</v>
      </c>
      <c r="F9" s="122">
        <v>9.1899999999999996E-2</v>
      </c>
      <c r="G9" s="122">
        <v>0.11310000000000001</v>
      </c>
      <c r="H9" s="13"/>
      <c r="I9" s="13" t="s">
        <v>285</v>
      </c>
      <c r="L9" s="28">
        <v>2008</v>
      </c>
      <c r="M9" s="28">
        <v>215</v>
      </c>
      <c r="N9" s="28">
        <v>99</v>
      </c>
      <c r="O9" s="28">
        <v>0</v>
      </c>
      <c r="P9" s="18">
        <f t="shared" si="0"/>
        <v>0.6847133757961783</v>
      </c>
      <c r="Q9" s="18">
        <f t="shared" si="0"/>
        <v>0.31528662420382164</v>
      </c>
      <c r="R9" s="18">
        <f t="shared" si="0"/>
        <v>0</v>
      </c>
      <c r="T9" s="74"/>
      <c r="U9" s="74"/>
      <c r="V9" s="74"/>
      <c r="X9" s="43">
        <v>2012</v>
      </c>
      <c r="Y9" s="59">
        <v>0.87880000000000003</v>
      </c>
    </row>
    <row r="10" spans="1:26">
      <c r="A10" s="13" t="s">
        <v>283</v>
      </c>
      <c r="B10" s="13" t="s">
        <v>284</v>
      </c>
      <c r="C10" s="13">
        <v>2009</v>
      </c>
      <c r="D10" s="13">
        <v>2556</v>
      </c>
      <c r="E10" s="433">
        <v>7.6700000000000004E-2</v>
      </c>
      <c r="F10" s="122">
        <v>6.6299999999999998E-2</v>
      </c>
      <c r="G10" s="122">
        <v>8.6500000000000007E-2</v>
      </c>
      <c r="H10" s="13"/>
      <c r="I10" s="13" t="s">
        <v>285</v>
      </c>
      <c r="L10" s="28">
        <v>2009</v>
      </c>
      <c r="M10" s="28">
        <v>106</v>
      </c>
      <c r="N10" s="28">
        <v>89</v>
      </c>
      <c r="O10" s="28">
        <v>1</v>
      </c>
      <c r="P10" s="18">
        <f t="shared" si="0"/>
        <v>0.54081632653061229</v>
      </c>
      <c r="Q10" s="18">
        <f t="shared" si="0"/>
        <v>0.45408163265306123</v>
      </c>
      <c r="R10" s="18">
        <f t="shared" si="0"/>
        <v>5.1020408163265302E-3</v>
      </c>
      <c r="T10" s="74"/>
      <c r="U10" s="74"/>
      <c r="V10" s="74"/>
      <c r="X10" s="43">
        <v>2013</v>
      </c>
      <c r="Y10" s="59">
        <v>0.38440000000000002</v>
      </c>
    </row>
    <row r="11" spans="1:26" ht="15" thickBot="1">
      <c r="A11" s="13" t="s">
        <v>283</v>
      </c>
      <c r="B11" s="13" t="s">
        <v>284</v>
      </c>
      <c r="C11" s="13">
        <v>2010</v>
      </c>
      <c r="D11" s="13">
        <v>2190</v>
      </c>
      <c r="E11" s="433">
        <v>6.08E-2</v>
      </c>
      <c r="F11" s="122">
        <v>5.1799999999999999E-2</v>
      </c>
      <c r="G11" s="122">
        <v>7.0400000000000004E-2</v>
      </c>
      <c r="H11" s="13"/>
      <c r="I11" s="13" t="s">
        <v>285</v>
      </c>
      <c r="L11" s="28">
        <v>2010</v>
      </c>
      <c r="M11" s="28">
        <v>127</v>
      </c>
      <c r="N11" s="28">
        <v>66</v>
      </c>
      <c r="O11" s="28">
        <v>1</v>
      </c>
      <c r="P11" s="18">
        <f t="shared" si="0"/>
        <v>0.65463917525773196</v>
      </c>
      <c r="Q11" s="18">
        <f t="shared" si="0"/>
        <v>0.34020618556701032</v>
      </c>
      <c r="R11" s="18">
        <f t="shared" si="0"/>
        <v>5.1546391752577319E-3</v>
      </c>
      <c r="T11" s="74"/>
      <c r="U11" s="74"/>
      <c r="V11" s="74"/>
      <c r="X11" s="44">
        <v>2014</v>
      </c>
      <c r="Y11" s="112">
        <v>0.40350000000000003</v>
      </c>
    </row>
    <row r="12" spans="1:26" ht="16.2">
      <c r="A12" s="6" t="s">
        <v>283</v>
      </c>
      <c r="B12" s="6" t="s">
        <v>284</v>
      </c>
      <c r="C12" s="6">
        <v>2011</v>
      </c>
      <c r="D12" s="6">
        <v>2252</v>
      </c>
      <c r="E12" s="434">
        <v>1.95E-2</v>
      </c>
      <c r="F12" s="67">
        <v>1.46E-2</v>
      </c>
      <c r="G12" s="67">
        <v>2.5099999999999997E-2</v>
      </c>
      <c r="H12" s="6" t="s">
        <v>286</v>
      </c>
      <c r="I12" s="6" t="s">
        <v>285</v>
      </c>
      <c r="L12" s="23" t="s">
        <v>297</v>
      </c>
      <c r="M12" s="23">
        <v>28</v>
      </c>
      <c r="N12" s="23">
        <v>16</v>
      </c>
      <c r="O12" s="53">
        <f>(M12+N12)*(AVERAGE(R5:R11)/(1-AVERAGE(R5:R11)))</f>
        <v>0.12195048106081205</v>
      </c>
      <c r="P12" s="54">
        <f t="shared" si="0"/>
        <v>0.63460476462886417</v>
      </c>
      <c r="Q12" s="54">
        <f t="shared" si="0"/>
        <v>0.3626312940736367</v>
      </c>
      <c r="R12" s="55">
        <f t="shared" si="0"/>
        <v>2.7639412974990499E-3</v>
      </c>
      <c r="T12" s="74"/>
      <c r="U12" s="74"/>
      <c r="V12" s="74"/>
    </row>
    <row r="13" spans="1:26">
      <c r="E13" s="415">
        <f>STDEV(E5:E12)/AVERAGE(E5:E12)</f>
        <v>0.53570834495436181</v>
      </c>
      <c r="L13" t="s">
        <v>345</v>
      </c>
      <c r="P13" s="73">
        <f>AVERAGE(P5:P12)</f>
        <v>0.64990232945322135</v>
      </c>
      <c r="Q13" s="73">
        <f>AVERAGE(Q5:Q12)</f>
        <v>0.34733372924927952</v>
      </c>
      <c r="R13" s="73">
        <f>AVERAGE(R5:R12)</f>
        <v>2.7639412974990499E-3</v>
      </c>
    </row>
    <row r="14" spans="1:26" ht="18">
      <c r="A14" s="56" t="s">
        <v>335</v>
      </c>
      <c r="L14" t="s">
        <v>298</v>
      </c>
    </row>
    <row r="15" spans="1:26">
      <c r="A15" s="61" t="s">
        <v>315</v>
      </c>
      <c r="H15" s="39"/>
      <c r="L15" t="s">
        <v>300</v>
      </c>
    </row>
    <row r="16" spans="1:26">
      <c r="A16" s="130"/>
      <c r="B16" s="134" t="s">
        <v>373</v>
      </c>
      <c r="C16" s="632" t="s">
        <v>316</v>
      </c>
      <c r="D16" s="632"/>
      <c r="E16" s="632"/>
      <c r="F16" s="632" t="s">
        <v>317</v>
      </c>
      <c r="G16" s="632"/>
      <c r="H16" s="632"/>
      <c r="L16" t="s">
        <v>289</v>
      </c>
    </row>
    <row r="17" spans="1:25">
      <c r="A17" s="131" t="s">
        <v>318</v>
      </c>
      <c r="B17" s="135" t="s">
        <v>237</v>
      </c>
      <c r="C17" s="48">
        <v>1</v>
      </c>
      <c r="D17" s="48">
        <v>2</v>
      </c>
      <c r="E17" s="48">
        <v>3</v>
      </c>
      <c r="F17" s="48">
        <v>1</v>
      </c>
      <c r="G17" s="48">
        <v>2</v>
      </c>
      <c r="H17" s="48">
        <v>3</v>
      </c>
      <c r="L17" t="s">
        <v>290</v>
      </c>
    </row>
    <row r="18" spans="1:25">
      <c r="A18" s="132">
        <v>2008</v>
      </c>
      <c r="B18" s="28">
        <v>2007</v>
      </c>
      <c r="C18" s="10" t="s">
        <v>319</v>
      </c>
      <c r="D18" s="10" t="s">
        <v>319</v>
      </c>
      <c r="E18" s="10" t="s">
        <v>319</v>
      </c>
      <c r="F18" s="10" t="s">
        <v>319</v>
      </c>
      <c r="G18" s="10" t="s">
        <v>319</v>
      </c>
      <c r="H18" s="10" t="s">
        <v>319</v>
      </c>
      <c r="L18" t="s">
        <v>346</v>
      </c>
    </row>
    <row r="19" spans="1:25">
      <c r="A19" s="132">
        <v>2009</v>
      </c>
      <c r="B19" s="28">
        <v>2008</v>
      </c>
      <c r="C19" s="10" t="s">
        <v>319</v>
      </c>
      <c r="D19" s="10" t="s">
        <v>319</v>
      </c>
      <c r="E19" s="10" t="s">
        <v>319</v>
      </c>
      <c r="F19" s="10" t="s">
        <v>319</v>
      </c>
      <c r="G19" s="10" t="s">
        <v>319</v>
      </c>
      <c r="H19" s="10" t="s">
        <v>319</v>
      </c>
    </row>
    <row r="20" spans="1:25" ht="18">
      <c r="A20" s="132">
        <v>2010</v>
      </c>
      <c r="B20" s="28">
        <v>2009</v>
      </c>
      <c r="C20" s="10">
        <v>59.04</v>
      </c>
      <c r="D20" s="10">
        <v>73.19</v>
      </c>
      <c r="E20" s="10">
        <v>84.55</v>
      </c>
      <c r="F20" s="10">
        <v>3.29</v>
      </c>
      <c r="G20" s="10">
        <v>5.95</v>
      </c>
      <c r="H20" s="10">
        <v>3.81</v>
      </c>
      <c r="L20" s="56" t="s">
        <v>371</v>
      </c>
      <c r="M20" s="74"/>
      <c r="N20" s="74"/>
      <c r="O20" s="74"/>
      <c r="P20" s="74"/>
      <c r="Q20" s="74"/>
      <c r="R20" s="74"/>
      <c r="V20" s="56" t="s">
        <v>375</v>
      </c>
    </row>
    <row r="21" spans="1:25">
      <c r="A21" s="132">
        <v>2011</v>
      </c>
      <c r="B21" s="28">
        <v>2010</v>
      </c>
      <c r="C21" s="10">
        <v>58.01</v>
      </c>
      <c r="D21" s="10">
        <v>73.34</v>
      </c>
      <c r="E21" s="10">
        <v>85.25</v>
      </c>
      <c r="F21" s="10">
        <v>3.36</v>
      </c>
      <c r="G21" s="10">
        <v>5.83</v>
      </c>
      <c r="H21" s="10">
        <v>3.75</v>
      </c>
      <c r="L21" s="61" t="s">
        <v>372</v>
      </c>
      <c r="M21" s="74"/>
      <c r="N21" s="74"/>
      <c r="O21" s="74"/>
      <c r="P21" s="74"/>
      <c r="Q21" s="74"/>
      <c r="R21" s="74"/>
      <c r="V21" s="138" t="s">
        <v>374</v>
      </c>
    </row>
    <row r="22" spans="1:25">
      <c r="A22" s="132">
        <v>2012</v>
      </c>
      <c r="B22" s="28">
        <v>2011</v>
      </c>
      <c r="C22" s="10">
        <v>57.96</v>
      </c>
      <c r="D22" s="10">
        <v>70.88</v>
      </c>
      <c r="E22" s="10">
        <v>82.77</v>
      </c>
      <c r="F22" s="10">
        <v>3.19</v>
      </c>
      <c r="G22" s="10">
        <v>4.91</v>
      </c>
      <c r="H22" s="10">
        <v>4.0999999999999996</v>
      </c>
      <c r="L22" s="126" t="s">
        <v>291</v>
      </c>
      <c r="M22" s="49" t="s">
        <v>266</v>
      </c>
      <c r="N22" s="49" t="s">
        <v>292</v>
      </c>
      <c r="O22" s="49" t="s">
        <v>292</v>
      </c>
      <c r="P22" s="49" t="s">
        <v>292</v>
      </c>
      <c r="Q22" s="49" t="s">
        <v>296</v>
      </c>
      <c r="R22" s="49" t="s">
        <v>296</v>
      </c>
      <c r="S22" s="49" t="s">
        <v>296</v>
      </c>
    </row>
    <row r="23" spans="1:25">
      <c r="A23" s="132">
        <v>2013</v>
      </c>
      <c r="B23" s="28">
        <v>2012</v>
      </c>
      <c r="C23" s="10">
        <v>58.05</v>
      </c>
      <c r="D23" s="10">
        <v>73.400000000000006</v>
      </c>
      <c r="E23" s="10">
        <v>87.23</v>
      </c>
      <c r="F23" s="10">
        <v>4.26</v>
      </c>
      <c r="G23" s="10">
        <v>5.97</v>
      </c>
      <c r="H23" s="10">
        <v>2.71</v>
      </c>
      <c r="L23" s="127" t="s">
        <v>237</v>
      </c>
      <c r="M23" s="48" t="s">
        <v>368</v>
      </c>
      <c r="N23" s="48" t="s">
        <v>293</v>
      </c>
      <c r="O23" s="48" t="s">
        <v>294</v>
      </c>
      <c r="P23" s="48" t="s">
        <v>295</v>
      </c>
      <c r="Q23" s="48" t="s">
        <v>293</v>
      </c>
      <c r="R23" s="48" t="s">
        <v>294</v>
      </c>
      <c r="S23" s="48" t="s">
        <v>295</v>
      </c>
      <c r="V23" s="137" t="s">
        <v>369</v>
      </c>
      <c r="W23" s="75" t="s">
        <v>359</v>
      </c>
      <c r="X23" s="75" t="s">
        <v>360</v>
      </c>
      <c r="Y23" s="75" t="s">
        <v>370</v>
      </c>
    </row>
    <row r="24" spans="1:25">
      <c r="A24" s="131">
        <v>2014</v>
      </c>
      <c r="B24" s="23">
        <v>2013</v>
      </c>
      <c r="C24" s="62">
        <v>56.54</v>
      </c>
      <c r="D24" s="62">
        <v>70.88</v>
      </c>
      <c r="E24" s="62">
        <v>81.459999999999994</v>
      </c>
      <c r="F24" s="62">
        <v>3.26</v>
      </c>
      <c r="G24" s="62">
        <v>6.51</v>
      </c>
      <c r="H24" s="62">
        <v>4.75</v>
      </c>
      <c r="L24" s="52">
        <v>2004</v>
      </c>
      <c r="M24" s="123">
        <f>S.smolt!O16*S.smolt!B7*(S.AdOcn!E5)</f>
        <v>603.07590900000002</v>
      </c>
      <c r="N24" s="26">
        <f t="shared" ref="N24:P25" si="1">$M24*P5</f>
        <v>361.84554539999999</v>
      </c>
      <c r="O24" s="26">
        <f t="shared" si="1"/>
        <v>235.74785533636367</v>
      </c>
      <c r="P24" s="26">
        <f t="shared" si="1"/>
        <v>5.4825082636363636</v>
      </c>
      <c r="Q24" s="18">
        <f t="shared" ref="Q24:Q31" si="2">N24/SUM($N24:$P24)</f>
        <v>0.59999999999999987</v>
      </c>
      <c r="R24" s="18">
        <f t="shared" ref="R24:S26" si="3">O24/SUM($N24:$P24)</f>
        <v>0.39090909090909087</v>
      </c>
      <c r="S24" s="18">
        <f t="shared" si="3"/>
        <v>9.0909090909090887E-3</v>
      </c>
      <c r="V24">
        <v>2004</v>
      </c>
      <c r="W24" s="24"/>
      <c r="X24" s="24"/>
      <c r="Y24" s="24"/>
    </row>
    <row r="25" spans="1:25">
      <c r="A25" s="133"/>
      <c r="B25" t="s">
        <v>320</v>
      </c>
      <c r="C25" s="10">
        <f t="shared" ref="C25:H25" si="4">AVERAGE(C18:C24)</f>
        <v>57.92</v>
      </c>
      <c r="D25" s="10">
        <f t="shared" si="4"/>
        <v>72.337999999999994</v>
      </c>
      <c r="E25" s="10">
        <f t="shared" si="4"/>
        <v>84.251999999999995</v>
      </c>
      <c r="F25" s="10">
        <f t="shared" si="4"/>
        <v>3.472</v>
      </c>
      <c r="G25" s="10">
        <f t="shared" si="4"/>
        <v>5.8340000000000005</v>
      </c>
      <c r="H25" s="10">
        <f t="shared" si="4"/>
        <v>3.8240000000000003</v>
      </c>
      <c r="L25" s="52">
        <v>2005</v>
      </c>
      <c r="M25" s="123">
        <f>S.smolt!O17*S.smolt!B8*(S.AdOcn!E6)</f>
        <v>390.17524365526316</v>
      </c>
      <c r="N25" s="26">
        <f t="shared" si="1"/>
        <v>271.94032133548649</v>
      </c>
      <c r="O25" s="26">
        <f t="shared" si="1"/>
        <v>118.23492231977671</v>
      </c>
      <c r="P25" s="26">
        <f t="shared" si="1"/>
        <v>0</v>
      </c>
      <c r="Q25" s="18">
        <f t="shared" si="2"/>
        <v>0.69696969696969702</v>
      </c>
      <c r="R25" s="18">
        <f t="shared" si="3"/>
        <v>0.30303030303030298</v>
      </c>
      <c r="S25" s="18">
        <f t="shared" si="3"/>
        <v>0</v>
      </c>
      <c r="V25" s="25">
        <v>2005</v>
      </c>
      <c r="W25" s="24"/>
      <c r="X25" s="24"/>
      <c r="Y25" s="24"/>
    </row>
    <row r="26" spans="1:25">
      <c r="C26" s="10"/>
      <c r="D26" s="10"/>
      <c r="E26" s="10"/>
      <c r="F26" s="10"/>
      <c r="G26" s="10"/>
      <c r="H26" s="10"/>
      <c r="L26" s="28">
        <v>2006</v>
      </c>
      <c r="M26" s="26">
        <f>S.smolt!O18*S.smolt!B9*(S.AdOcn!E7)</f>
        <v>675.09542944285727</v>
      </c>
      <c r="N26" s="26">
        <f t="shared" ref="N26:P31" si="5">$M26*P7</f>
        <v>443.03137557187506</v>
      </c>
      <c r="O26" s="26">
        <f t="shared" si="5"/>
        <v>232.06405387098218</v>
      </c>
      <c r="P26" s="26">
        <f t="shared" si="5"/>
        <v>0</v>
      </c>
      <c r="Q26" s="18">
        <f t="shared" si="2"/>
        <v>0.65625</v>
      </c>
      <c r="R26" s="18">
        <f t="shared" si="3"/>
        <v>0.34375</v>
      </c>
      <c r="S26" s="18">
        <f t="shared" si="3"/>
        <v>0</v>
      </c>
      <c r="U26" s="131" t="s">
        <v>318</v>
      </c>
      <c r="V26">
        <v>2006</v>
      </c>
      <c r="W26" s="27">
        <f>N25/(O24+N25+AVERAGE(P24:P31))</f>
        <v>0.53333742643430304</v>
      </c>
      <c r="X26" s="27">
        <f>O24/(O24+N25+AVERAGE(P24:P31))</f>
        <v>0.4623556883180574</v>
      </c>
      <c r="Y26" s="139">
        <f>+AVERAGE(P24:P31)/(O24+N25+AVERAGE(P24:P31))</f>
        <v>4.3068852476395867E-3</v>
      </c>
    </row>
    <row r="27" spans="1:25" ht="18">
      <c r="A27" s="56" t="s">
        <v>336</v>
      </c>
      <c r="L27" s="28">
        <v>2007</v>
      </c>
      <c r="M27" s="26">
        <f>S.smolt!O19*S.smolt!B10*(S.AdOcn!E8)</f>
        <v>1574.6109923076924</v>
      </c>
      <c r="N27" s="26">
        <f t="shared" si="5"/>
        <v>1151.395389632107</v>
      </c>
      <c r="O27" s="26">
        <f t="shared" si="5"/>
        <v>423.21560267558533</v>
      </c>
      <c r="P27" s="26">
        <f t="shared" si="5"/>
        <v>0</v>
      </c>
      <c r="Q27" s="18">
        <f t="shared" si="2"/>
        <v>0.73122529644268774</v>
      </c>
      <c r="R27" s="18">
        <f t="shared" ref="R27:S31" si="6">O27/SUM($N27:$P27)</f>
        <v>0.26877470355731226</v>
      </c>
      <c r="S27" s="18">
        <f t="shared" si="6"/>
        <v>0</v>
      </c>
      <c r="U27" s="132">
        <v>2008</v>
      </c>
      <c r="V27">
        <v>2007</v>
      </c>
      <c r="W27" s="27">
        <f t="shared" ref="W27:W32" si="7">N26/(P24+O25+N26)</f>
        <v>0.78170676454938193</v>
      </c>
      <c r="X27" s="27">
        <f t="shared" ref="X27:X32" si="8">O25/(P24+O25+N26)</f>
        <v>0.20861962307756599</v>
      </c>
      <c r="Y27" s="27">
        <f t="shared" ref="Y27:Y32" si="9">P24/(P24+O25+N26)</f>
        <v>9.6736123730522105E-3</v>
      </c>
    </row>
    <row r="28" spans="1:25">
      <c r="A28" s="130"/>
      <c r="B28" s="134" t="s">
        <v>373</v>
      </c>
      <c r="C28" s="632" t="s">
        <v>321</v>
      </c>
      <c r="D28" s="632"/>
      <c r="E28" s="632"/>
      <c r="F28" s="66"/>
      <c r="G28" s="66"/>
      <c r="L28" s="28">
        <v>2008</v>
      </c>
      <c r="M28" s="26">
        <f>S.smolt!O20*S.smolt!B11*(S.AdOcn!E9)</f>
        <v>609.75294652800005</v>
      </c>
      <c r="N28" s="26">
        <f t="shared" si="5"/>
        <v>417.50599841885349</v>
      </c>
      <c r="O28" s="26">
        <f t="shared" si="5"/>
        <v>192.2469481091465</v>
      </c>
      <c r="P28" s="26">
        <f t="shared" si="5"/>
        <v>0</v>
      </c>
      <c r="Q28" s="18">
        <f t="shared" si="2"/>
        <v>0.68471337579617841</v>
      </c>
      <c r="R28" s="18">
        <f t="shared" si="6"/>
        <v>0.3152866242038217</v>
      </c>
      <c r="S28" s="18">
        <f t="shared" si="6"/>
        <v>0</v>
      </c>
      <c r="U28" s="132">
        <v>2009</v>
      </c>
      <c r="V28">
        <v>2008</v>
      </c>
      <c r="W28" s="27">
        <f t="shared" si="7"/>
        <v>0.83225814463822123</v>
      </c>
      <c r="X28" s="27">
        <f t="shared" si="8"/>
        <v>0.1677418553617788</v>
      </c>
      <c r="Y28" s="27">
        <f t="shared" si="9"/>
        <v>0</v>
      </c>
    </row>
    <row r="29" spans="1:25">
      <c r="A29" s="131" t="s">
        <v>318</v>
      </c>
      <c r="B29" s="135" t="s">
        <v>237</v>
      </c>
      <c r="C29" s="48">
        <v>1</v>
      </c>
      <c r="D29" s="48">
        <v>2</v>
      </c>
      <c r="E29" s="48">
        <v>3</v>
      </c>
      <c r="F29" s="50" t="s">
        <v>322</v>
      </c>
      <c r="G29" s="50" t="s">
        <v>323</v>
      </c>
      <c r="L29" s="28">
        <v>2009</v>
      </c>
      <c r="M29" s="26">
        <f>S.smolt!O21*S.smolt!B12*(S.AdOcn!E10)</f>
        <v>855.4188764160001</v>
      </c>
      <c r="N29" s="26">
        <f t="shared" si="5"/>
        <v>462.62449438824501</v>
      </c>
      <c r="O29" s="26">
        <f t="shared" si="5"/>
        <v>388.43000000522454</v>
      </c>
      <c r="P29" s="26">
        <f t="shared" si="5"/>
        <v>4.364382022530612</v>
      </c>
      <c r="Q29" s="18">
        <f t="shared" si="2"/>
        <v>0.54081632653061229</v>
      </c>
      <c r="R29" s="18">
        <f t="shared" si="6"/>
        <v>0.45408163265306117</v>
      </c>
      <c r="S29" s="18">
        <f t="shared" si="6"/>
        <v>5.1020408163265293E-3</v>
      </c>
      <c r="U29" s="132">
        <v>2010</v>
      </c>
      <c r="V29">
        <v>2009</v>
      </c>
      <c r="W29" s="27">
        <f t="shared" si="7"/>
        <v>0.49660434307308199</v>
      </c>
      <c r="X29" s="27">
        <f t="shared" si="8"/>
        <v>0.50339565692691801</v>
      </c>
      <c r="Y29" s="27">
        <f t="shared" si="9"/>
        <v>0</v>
      </c>
    </row>
    <row r="30" spans="1:25">
      <c r="A30" s="132">
        <v>2008</v>
      </c>
      <c r="B30" s="28">
        <v>2007</v>
      </c>
      <c r="C30" s="63">
        <v>0.68367346938775508</v>
      </c>
      <c r="D30" s="63">
        <v>0.28367346938775512</v>
      </c>
      <c r="E30" s="63">
        <v>3.2653061224489792E-2</v>
      </c>
      <c r="F30" s="63">
        <v>0.88900000000000001</v>
      </c>
      <c r="G30" s="28" t="s">
        <v>319</v>
      </c>
      <c r="L30" s="28">
        <v>2010</v>
      </c>
      <c r="M30" s="26">
        <f>S.smolt!O22*S.smolt!B13*(S.AdOcn!E11)</f>
        <v>1339.2993889523809</v>
      </c>
      <c r="N30" s="26">
        <f t="shared" si="5"/>
        <v>876.757847406971</v>
      </c>
      <c r="O30" s="26">
        <f t="shared" si="5"/>
        <v>455.63793644771727</v>
      </c>
      <c r="P30" s="26">
        <f t="shared" si="5"/>
        <v>6.9036050976926848</v>
      </c>
      <c r="Q30" s="18">
        <f t="shared" si="2"/>
        <v>0.65463917525773196</v>
      </c>
      <c r="R30" s="18">
        <f t="shared" si="6"/>
        <v>0.34020618556701032</v>
      </c>
      <c r="S30" s="18">
        <f t="shared" si="6"/>
        <v>5.1546391752577319E-3</v>
      </c>
      <c r="U30" s="132">
        <v>2011</v>
      </c>
      <c r="V30">
        <v>2010</v>
      </c>
      <c r="W30" s="27">
        <f t="shared" si="7"/>
        <v>0.70643559081458607</v>
      </c>
      <c r="X30" s="27">
        <f t="shared" si="8"/>
        <v>0.29356440918541393</v>
      </c>
      <c r="Y30" s="27">
        <f t="shared" si="9"/>
        <v>0</v>
      </c>
    </row>
    <row r="31" spans="1:25" ht="16.2">
      <c r="A31" s="132">
        <v>2009</v>
      </c>
      <c r="B31" s="28">
        <v>2008</v>
      </c>
      <c r="C31" s="63">
        <v>0.51600000000000001</v>
      </c>
      <c r="D31" s="63">
        <v>0.45900000000000002</v>
      </c>
      <c r="E31" s="63">
        <v>2.5000000000000001E-2</v>
      </c>
      <c r="F31" s="63">
        <v>0.73</v>
      </c>
      <c r="G31" s="28" t="s">
        <v>319</v>
      </c>
      <c r="L31" s="23" t="s">
        <v>297</v>
      </c>
      <c r="M31" s="124">
        <f>S.smolt!O23*S.smolt!B14*(S.AdOcn!E12)</f>
        <v>295.81169554054048</v>
      </c>
      <c r="N31" s="124">
        <f t="shared" si="5"/>
        <v>187.72351142296992</v>
      </c>
      <c r="O31" s="124">
        <f t="shared" si="5"/>
        <v>107.27057795598282</v>
      </c>
      <c r="P31" s="125">
        <f t="shared" si="5"/>
        <v>0.81760616158771537</v>
      </c>
      <c r="Q31" s="54">
        <f t="shared" si="2"/>
        <v>0.63460476462886428</v>
      </c>
      <c r="R31" s="54">
        <f t="shared" si="6"/>
        <v>0.36263129407363676</v>
      </c>
      <c r="S31" s="55">
        <f t="shared" si="6"/>
        <v>2.7639412974990504E-3</v>
      </c>
      <c r="U31" s="132">
        <v>2012</v>
      </c>
      <c r="V31">
        <v>2011</v>
      </c>
      <c r="W31" s="27">
        <f t="shared" si="7"/>
        <v>0.6929863017577067</v>
      </c>
      <c r="X31" s="27">
        <f t="shared" si="8"/>
        <v>0.30701369824229341</v>
      </c>
      <c r="Y31" s="27">
        <f t="shared" si="9"/>
        <v>0</v>
      </c>
    </row>
    <row r="32" spans="1:25">
      <c r="A32" s="132">
        <v>2010</v>
      </c>
      <c r="B32" s="28">
        <v>2009</v>
      </c>
      <c r="C32" s="63">
        <v>0.67800000000000005</v>
      </c>
      <c r="D32" s="63">
        <v>0.308</v>
      </c>
      <c r="E32" s="63">
        <v>1.4E-2</v>
      </c>
      <c r="F32" s="63">
        <v>0.92200000000000004</v>
      </c>
      <c r="G32" s="28">
        <v>0.26200000000000001</v>
      </c>
      <c r="U32" s="132">
        <v>2013</v>
      </c>
      <c r="V32">
        <v>2012</v>
      </c>
      <c r="W32" s="27">
        <f t="shared" si="7"/>
        <v>0.28981940005992579</v>
      </c>
      <c r="X32" s="27">
        <f t="shared" si="8"/>
        <v>0.7034425916329945</v>
      </c>
      <c r="Y32" s="27">
        <f t="shared" si="9"/>
        <v>6.7380083070797273E-3</v>
      </c>
    </row>
    <row r="33" spans="1:24">
      <c r="A33" s="132">
        <v>2011</v>
      </c>
      <c r="B33" s="28">
        <v>2010</v>
      </c>
      <c r="C33" s="63">
        <v>0.35764235764235769</v>
      </c>
      <c r="D33" s="63">
        <v>0.60139860139860146</v>
      </c>
      <c r="E33" s="63">
        <v>4.0959040959040967E-2</v>
      </c>
      <c r="F33" s="63">
        <v>0.80200000000000005</v>
      </c>
      <c r="G33" s="28">
        <v>0.35899999999999999</v>
      </c>
      <c r="Q33" s="141">
        <f>AVERAGE(Q24:Q31)</f>
        <v>0.64990232945322146</v>
      </c>
      <c r="R33" s="141">
        <f>AVERAGE(R24:R31)</f>
        <v>0.34733372924927952</v>
      </c>
      <c r="S33" s="141">
        <f>AVERAGE(S24:S31)</f>
        <v>2.7639412974990504E-3</v>
      </c>
      <c r="U33" s="22"/>
      <c r="V33" s="27"/>
      <c r="W33" s="27"/>
      <c r="X33" s="27"/>
    </row>
    <row r="34" spans="1:24">
      <c r="A34" s="132">
        <v>2012</v>
      </c>
      <c r="B34" s="28">
        <v>2011</v>
      </c>
      <c r="C34" s="63">
        <v>0.59</v>
      </c>
      <c r="D34" s="63">
        <v>0.35299999999999998</v>
      </c>
      <c r="E34" s="63">
        <v>5.7000000000000002E-2</v>
      </c>
      <c r="F34" s="63">
        <v>0.90700000000000003</v>
      </c>
      <c r="G34" s="28">
        <v>0.30199999999999999</v>
      </c>
    </row>
    <row r="35" spans="1:24">
      <c r="A35" s="132">
        <v>2013</v>
      </c>
      <c r="B35" s="28">
        <v>2012</v>
      </c>
      <c r="C35" s="63">
        <v>0.42099999999999999</v>
      </c>
      <c r="D35" s="63">
        <v>0.57299999999999995</v>
      </c>
      <c r="E35" s="63">
        <v>6.0000000000000001E-3</v>
      </c>
      <c r="F35" s="63">
        <v>0.85299999999999998</v>
      </c>
      <c r="G35" s="28">
        <v>0.35199999999999998</v>
      </c>
    </row>
    <row r="36" spans="1:24">
      <c r="A36" s="131">
        <v>2014</v>
      </c>
      <c r="B36" s="23">
        <v>2013</v>
      </c>
      <c r="C36" s="64">
        <v>0.70600000000000007</v>
      </c>
      <c r="D36" s="64">
        <v>0.29100000000000004</v>
      </c>
      <c r="E36" s="64">
        <v>3.0000000000000005E-3</v>
      </c>
      <c r="F36" s="64">
        <v>0.95499999999999996</v>
      </c>
      <c r="G36" s="23">
        <v>0.36299999999999999</v>
      </c>
    </row>
    <row r="37" spans="1:24">
      <c r="A37" s="133"/>
      <c r="B37" t="s">
        <v>320</v>
      </c>
      <c r="C37" s="63">
        <f>AVERAGE(C30:C36)</f>
        <v>0.56461654671858752</v>
      </c>
      <c r="D37" s="63">
        <f>AVERAGE(D30:D36)</f>
        <v>0.40986743868376518</v>
      </c>
      <c r="E37" s="63">
        <f>AVERAGE(E30:E36)</f>
        <v>2.5516014597647251E-2</v>
      </c>
      <c r="F37" s="63">
        <f>AVERAGE(F30:F36)</f>
        <v>0.86542857142857144</v>
      </c>
      <c r="G37" s="65">
        <f>AVERAGE(G30:G36)</f>
        <v>0.3276</v>
      </c>
    </row>
  </sheetData>
  <mergeCells count="3">
    <mergeCell ref="C16:E16"/>
    <mergeCell ref="F16:H16"/>
    <mergeCell ref="C28:E28"/>
  </mergeCells>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7" tint="0.39997558519241921"/>
  </sheetPr>
  <dimension ref="A1:T15"/>
  <sheetViews>
    <sheetView zoomScaleNormal="100" workbookViewId="0">
      <selection activeCell="D35" sqref="D35"/>
    </sheetView>
  </sheetViews>
  <sheetFormatPr defaultRowHeight="14.4"/>
  <cols>
    <col min="4" max="4" width="10.6640625" customWidth="1"/>
    <col min="8" max="8" width="13.44140625" customWidth="1"/>
    <col min="19" max="19" width="9.88671875" customWidth="1"/>
  </cols>
  <sheetData>
    <row r="1" spans="1:20" ht="18.600000000000001" thickBot="1">
      <c r="A1" s="56" t="s">
        <v>333</v>
      </c>
    </row>
    <row r="2" spans="1:20">
      <c r="R2" s="604" t="s">
        <v>1056</v>
      </c>
      <c r="S2" s="605"/>
      <c r="T2" s="606"/>
    </row>
    <row r="3" spans="1:20" ht="15.6">
      <c r="A3" s="69" t="s">
        <v>341</v>
      </c>
      <c r="R3" s="595" t="s">
        <v>237</v>
      </c>
      <c r="S3" s="593" t="s">
        <v>1057</v>
      </c>
      <c r="T3" s="596"/>
    </row>
    <row r="4" spans="1:20" ht="15" thickBot="1">
      <c r="A4" s="51" t="s">
        <v>334</v>
      </c>
      <c r="B4" s="51" t="s">
        <v>337</v>
      </c>
      <c r="C4" s="51" t="s">
        <v>338</v>
      </c>
      <c r="D4" s="70" t="s">
        <v>339</v>
      </c>
      <c r="F4" s="71" t="s">
        <v>342</v>
      </c>
      <c r="H4" t="s">
        <v>343</v>
      </c>
      <c r="R4" s="597">
        <v>2012</v>
      </c>
      <c r="S4" s="594">
        <v>0.7</v>
      </c>
      <c r="T4" s="596"/>
    </row>
    <row r="5" spans="1:20" ht="18.600000000000001" thickBot="1">
      <c r="A5" s="30">
        <v>2013</v>
      </c>
      <c r="B5" s="30">
        <v>241</v>
      </c>
      <c r="C5" s="30">
        <v>203</v>
      </c>
      <c r="D5" s="41">
        <f>C5/B5</f>
        <v>0.84232365145228216</v>
      </c>
      <c r="F5" s="27">
        <f>(145+616)/1113</f>
        <v>0.68373764600179698</v>
      </c>
      <c r="H5" s="418">
        <f>F5*D5</f>
        <v>0.57592839061562151</v>
      </c>
      <c r="R5" s="597">
        <v>2013</v>
      </c>
      <c r="S5" s="594">
        <v>0.56999999999999995</v>
      </c>
      <c r="T5" s="596"/>
    </row>
    <row r="6" spans="1:20">
      <c r="A6" s="6">
        <v>2012</v>
      </c>
      <c r="B6" s="6">
        <v>261</v>
      </c>
      <c r="C6" s="6">
        <v>220</v>
      </c>
      <c r="D6" s="67">
        <f>C6/B6</f>
        <v>0.84291187739463602</v>
      </c>
      <c r="R6" s="597">
        <v>2014</v>
      </c>
      <c r="S6" s="594">
        <v>0.61</v>
      </c>
      <c r="T6" s="596"/>
    </row>
    <row r="7" spans="1:20">
      <c r="A7" s="68" t="s">
        <v>340</v>
      </c>
      <c r="B7" s="68">
        <v>502</v>
      </c>
      <c r="C7" s="68">
        <v>423</v>
      </c>
      <c r="D7" s="72">
        <f>C7/B7</f>
        <v>0.84262948207171318</v>
      </c>
      <c r="R7" s="598"/>
      <c r="S7" s="599">
        <f>AVERAGE(S4:S6)</f>
        <v>0.62666666666666659</v>
      </c>
      <c r="T7" s="596" t="s">
        <v>1058</v>
      </c>
    </row>
    <row r="8" spans="1:20">
      <c r="R8" s="598"/>
      <c r="S8" s="600">
        <f>STDEV(S4:S6)</f>
        <v>6.6583281184793924E-2</v>
      </c>
      <c r="T8" s="596" t="s">
        <v>1059</v>
      </c>
    </row>
    <row r="9" spans="1:20" ht="16.2" thickBot="1">
      <c r="A9" s="607" t="s">
        <v>344</v>
      </c>
      <c r="R9" s="601"/>
      <c r="S9" s="602">
        <f>S8/S7</f>
        <v>0.10624991678424564</v>
      </c>
      <c r="T9" s="603" t="s">
        <v>1060</v>
      </c>
    </row>
    <row r="12" spans="1:20">
      <c r="R12" s="250" t="s">
        <v>1064</v>
      </c>
      <c r="S12" t="s">
        <v>1061</v>
      </c>
    </row>
    <row r="13" spans="1:20">
      <c r="R13" t="s">
        <v>1062</v>
      </c>
      <c r="S13">
        <v>0.7</v>
      </c>
    </row>
    <row r="14" spans="1:20">
      <c r="R14" t="s">
        <v>1063</v>
      </c>
      <c r="S14">
        <v>0.6</v>
      </c>
    </row>
    <row r="15" spans="1:20">
      <c r="R15" t="s">
        <v>845</v>
      </c>
      <c r="S15">
        <f>0.1</f>
        <v>0.1</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sheetPr>
  <dimension ref="A1:R43"/>
  <sheetViews>
    <sheetView zoomScale="115" zoomScaleNormal="115" workbookViewId="0">
      <selection activeCell="E29" sqref="E29"/>
    </sheetView>
  </sheetViews>
  <sheetFormatPr defaultRowHeight="14.4"/>
  <cols>
    <col min="1" max="1" width="10.88671875" customWidth="1"/>
    <col min="6" max="6" width="9.6640625" bestFit="1" customWidth="1"/>
    <col min="10" max="10" width="8.88671875" customWidth="1"/>
  </cols>
  <sheetData>
    <row r="1" spans="1:7" s="74" customFormat="1" ht="18">
      <c r="A1" s="270" t="s">
        <v>550</v>
      </c>
    </row>
    <row r="2" spans="1:7">
      <c r="A2" s="272" t="s">
        <v>549</v>
      </c>
    </row>
    <row r="3" spans="1:7">
      <c r="A3" t="s">
        <v>554</v>
      </c>
    </row>
    <row r="4" spans="1:7">
      <c r="A4" s="273" t="s">
        <v>527</v>
      </c>
      <c r="B4" s="273">
        <v>2001</v>
      </c>
      <c r="C4" s="273">
        <v>2002</v>
      </c>
      <c r="D4" s="273">
        <v>2003</v>
      </c>
      <c r="E4" s="273">
        <v>2004</v>
      </c>
      <c r="F4" s="273" t="s">
        <v>379</v>
      </c>
    </row>
    <row r="5" spans="1:7">
      <c r="A5" s="273" t="s">
        <v>525</v>
      </c>
      <c r="B5" s="273">
        <v>9.0700000000000003E-2</v>
      </c>
      <c r="C5" s="273">
        <v>5.3699999999999998E-2</v>
      </c>
      <c r="D5" s="273">
        <v>3.5700000000000003E-2</v>
      </c>
      <c r="E5" s="273">
        <v>5.4300000000000001E-2</v>
      </c>
      <c r="F5" s="273">
        <v>5.9799999999999999E-2</v>
      </c>
      <c r="G5" t="s">
        <v>526</v>
      </c>
    </row>
    <row r="6" spans="1:7" s="74" customFormat="1">
      <c r="A6" s="74" t="s">
        <v>528</v>
      </c>
    </row>
    <row r="7" spans="1:7" s="74" customFormat="1">
      <c r="A7" s="74" t="s">
        <v>529</v>
      </c>
      <c r="E7" s="265">
        <f>0.86</f>
        <v>0.86</v>
      </c>
      <c r="F7" s="265" t="s">
        <v>542</v>
      </c>
    </row>
    <row r="9" spans="1:7" s="74" customFormat="1">
      <c r="A9" s="272" t="s">
        <v>540</v>
      </c>
    </row>
    <row r="10" spans="1:7" s="74" customFormat="1">
      <c r="A10" s="74" t="s">
        <v>534</v>
      </c>
    </row>
    <row r="11" spans="1:7" s="74" customFormat="1">
      <c r="A11" s="74" t="s">
        <v>535</v>
      </c>
    </row>
    <row r="12" spans="1:7" s="74" customFormat="1">
      <c r="A12" s="274" t="s">
        <v>536</v>
      </c>
      <c r="B12" s="274">
        <v>1.54E-2</v>
      </c>
      <c r="C12" s="74" t="s">
        <v>541</v>
      </c>
    </row>
    <row r="13" spans="1:7" s="74" customFormat="1"/>
    <row r="14" spans="1:7" s="74" customFormat="1">
      <c r="A14" s="74" t="s">
        <v>537</v>
      </c>
    </row>
    <row r="15" spans="1:7" s="74" customFormat="1">
      <c r="A15" s="74" t="s">
        <v>538</v>
      </c>
    </row>
    <row r="16" spans="1:7" s="74" customFormat="1"/>
    <row r="17" spans="1:18" s="74" customFormat="1" ht="15" thickBot="1">
      <c r="A17" s="275" t="s">
        <v>237</v>
      </c>
      <c r="B17" s="275" t="s">
        <v>530</v>
      </c>
      <c r="C17" s="275" t="s">
        <v>531</v>
      </c>
      <c r="D17" s="544" t="s">
        <v>532</v>
      </c>
      <c r="E17" s="275" t="s">
        <v>533</v>
      </c>
      <c r="F17" s="276" t="s">
        <v>547</v>
      </c>
      <c r="G17" s="277" t="s">
        <v>547</v>
      </c>
    </row>
    <row r="18" spans="1:18" s="74" customFormat="1">
      <c r="A18" s="273">
        <v>2001</v>
      </c>
      <c r="B18" s="278">
        <f>B12</f>
        <v>1.54E-2</v>
      </c>
      <c r="C18" s="278">
        <f>S.AdRvr!H5</f>
        <v>0.57592839061562151</v>
      </c>
      <c r="D18" s="545">
        <f>B5</f>
        <v>9.0700000000000003E-2</v>
      </c>
      <c r="E18" s="278">
        <f>B18/(C18*D18*$A$29)</f>
        <v>0.58962371349795317</v>
      </c>
      <c r="F18" s="279">
        <f>E18*D18</f>
        <v>5.3478870814264355E-2</v>
      </c>
      <c r="G18" s="280">
        <f>B18/(C18*D18)*D18</f>
        <v>2.6739435407132178E-2</v>
      </c>
      <c r="H18" s="74">
        <f>B22/C22/A29</f>
        <v>5.3478870814264355E-2</v>
      </c>
      <c r="J18" s="386" t="s">
        <v>543</v>
      </c>
      <c r="K18" s="387"/>
      <c r="L18" s="387"/>
      <c r="M18" s="387"/>
      <c r="N18" s="387"/>
      <c r="O18" s="387"/>
      <c r="P18" s="387"/>
      <c r="Q18" s="387"/>
      <c r="R18" s="388"/>
    </row>
    <row r="19" spans="1:18" s="74" customFormat="1">
      <c r="A19" s="273">
        <v>2002</v>
      </c>
      <c r="B19" s="278">
        <f>B12</f>
        <v>1.54E-2</v>
      </c>
      <c r="C19" s="278">
        <f>S.AdRvr!H5</f>
        <v>0.57592839061562151</v>
      </c>
      <c r="D19" s="545">
        <f>C5</f>
        <v>5.3699999999999998E-2</v>
      </c>
      <c r="E19" s="278">
        <f>B19/(C19*D19*$A$29)</f>
        <v>0.99588213806823744</v>
      </c>
      <c r="F19" s="279">
        <f>E19*D19</f>
        <v>5.3478870814264348E-2</v>
      </c>
      <c r="G19" s="280">
        <f>B19/(C19*D19)*D19</f>
        <v>2.6739435407132174E-2</v>
      </c>
      <c r="J19" s="389">
        <f>1-f!I22</f>
        <v>0.59083333333333332</v>
      </c>
      <c r="K19" s="390" t="s">
        <v>545</v>
      </c>
      <c r="L19" s="390"/>
      <c r="M19" s="390"/>
      <c r="N19" s="390"/>
      <c r="O19" s="390"/>
      <c r="P19" s="390"/>
      <c r="Q19" s="390"/>
      <c r="R19" s="391"/>
    </row>
    <row r="20" spans="1:18">
      <c r="A20" s="273">
        <v>2003</v>
      </c>
      <c r="B20" s="278">
        <f>B12</f>
        <v>1.54E-2</v>
      </c>
      <c r="C20" s="278">
        <f>S.AdRvr!H5</f>
        <v>0.57592839061562151</v>
      </c>
      <c r="D20" s="545">
        <f>D5</f>
        <v>3.5700000000000003E-2</v>
      </c>
      <c r="E20" s="278">
        <f>B20/(C20*D20*$A$29)</f>
        <v>1.4980075858337354</v>
      </c>
      <c r="F20" s="279">
        <f>E20*D20</f>
        <v>5.3478870814264355E-2</v>
      </c>
      <c r="G20" s="280">
        <f>B20/(C20*D20)*D20</f>
        <v>2.6739435407132178E-2</v>
      </c>
      <c r="J20" s="389">
        <f>E7</f>
        <v>0.86</v>
      </c>
      <c r="K20" s="390" t="s">
        <v>546</v>
      </c>
      <c r="L20" s="390"/>
      <c r="M20" s="390"/>
      <c r="N20" s="390"/>
      <c r="O20" s="390"/>
      <c r="P20" s="390"/>
      <c r="Q20" s="390"/>
      <c r="R20" s="391"/>
    </row>
    <row r="21" spans="1:18" ht="15" thickBot="1">
      <c r="A21" s="273">
        <v>2004</v>
      </c>
      <c r="B21" s="278">
        <f>B12</f>
        <v>1.54E-2</v>
      </c>
      <c r="C21" s="278">
        <f>S.AdRvr!H5</f>
        <v>0.57592839061562151</v>
      </c>
      <c r="D21" s="545">
        <f>E5</f>
        <v>5.4300000000000001E-2</v>
      </c>
      <c r="E21" s="278">
        <f>B21/(C21*D21*$A$29)</f>
        <v>0.98487791554814641</v>
      </c>
      <c r="F21" s="279">
        <f>E21*D21</f>
        <v>5.3478870814264348E-2</v>
      </c>
      <c r="G21" s="280">
        <f>B21/(C21*D21)*D21</f>
        <v>2.6739435407132174E-2</v>
      </c>
      <c r="J21" s="392">
        <f>J20/J19</f>
        <v>1.4555712270803949</v>
      </c>
      <c r="K21" s="393" t="s">
        <v>544</v>
      </c>
      <c r="L21" s="393"/>
      <c r="M21" s="393"/>
      <c r="N21" s="393"/>
      <c r="O21" s="393"/>
      <c r="P21" s="393"/>
      <c r="Q21" s="393"/>
      <c r="R21" s="394"/>
    </row>
    <row r="22" spans="1:18" ht="18">
      <c r="A22" s="275" t="s">
        <v>539</v>
      </c>
      <c r="B22" s="281">
        <f>B12</f>
        <v>1.54E-2</v>
      </c>
      <c r="C22" s="275">
        <f>S.AdRvr!H5</f>
        <v>0.57592839061562151</v>
      </c>
      <c r="D22" s="546">
        <f>F5</f>
        <v>5.9799999999999999E-2</v>
      </c>
      <c r="E22" s="281">
        <f>B22/(C22*D22*$A$29)</f>
        <v>0.89429549856629353</v>
      </c>
      <c r="F22" s="425">
        <f>E22*D22</f>
        <v>5.3478870814264355E-2</v>
      </c>
      <c r="G22" s="424">
        <f>B22/(C22*D22)*D22</f>
        <v>2.6739435407132178E-2</v>
      </c>
    </row>
    <row r="23" spans="1:18">
      <c r="G23" s="263"/>
    </row>
    <row r="24" spans="1:18" s="297" customFormat="1">
      <c r="A24" s="14" t="s">
        <v>711</v>
      </c>
      <c r="G24" s="263"/>
    </row>
    <row r="25" spans="1:18" s="297" customFormat="1">
      <c r="G25" s="263"/>
    </row>
    <row r="26" spans="1:18" s="297" customFormat="1">
      <c r="A26" s="417" t="s">
        <v>712</v>
      </c>
      <c r="B26" s="417" t="s">
        <v>713</v>
      </c>
      <c r="C26" s="417" t="s">
        <v>714</v>
      </c>
      <c r="G26" s="263"/>
    </row>
    <row r="27" spans="1:18" s="297" customFormat="1">
      <c r="A27" s="496">
        <f>F22/'InputFile (determ)'!D117</f>
        <v>5.4227206260661485E-2</v>
      </c>
      <c r="B27" s="496">
        <f>F22/'InputFile (determ)'!D118</f>
        <v>5.3478870814264355E-2</v>
      </c>
      <c r="C27" s="496">
        <f>F22/'InputFile (determ)'!D119</f>
        <v>5.3478870814264355E-2</v>
      </c>
      <c r="E27" s="297">
        <f>A27*0.5759</f>
        <v>3.1229448085514949E-2</v>
      </c>
      <c r="F27" s="297">
        <f>B27*E27</f>
        <v>1.6701156197660293E-3</v>
      </c>
      <c r="G27" s="263"/>
    </row>
    <row r="29" spans="1:18">
      <c r="A29" s="279">
        <v>0.5</v>
      </c>
      <c r="B29" s="274" t="s">
        <v>548</v>
      </c>
      <c r="E29" s="610" t="s">
        <v>1066</v>
      </c>
      <c r="F29" s="5"/>
    </row>
    <row r="30" spans="1:18">
      <c r="A30" s="272" t="s">
        <v>1068</v>
      </c>
    </row>
    <row r="31" spans="1:18">
      <c r="A31" t="s">
        <v>555</v>
      </c>
    </row>
    <row r="32" spans="1:18" s="499" customFormat="1">
      <c r="A32" s="499" t="s">
        <v>1067</v>
      </c>
    </row>
    <row r="34" spans="1:16" ht="15.6">
      <c r="A34" s="271" t="s">
        <v>553</v>
      </c>
    </row>
    <row r="35" spans="1:16" ht="15.6">
      <c r="A35" s="271" t="s">
        <v>552</v>
      </c>
    </row>
    <row r="37" spans="1:16" ht="15" thickBot="1"/>
    <row r="38" spans="1:16">
      <c r="A38" s="384" t="s">
        <v>551</v>
      </c>
      <c r="B38" s="385"/>
      <c r="C38" s="385"/>
      <c r="D38" s="385"/>
      <c r="E38" s="385"/>
      <c r="F38" s="378"/>
      <c r="G38" s="378"/>
      <c r="H38" s="378"/>
      <c r="I38" s="378"/>
      <c r="J38" s="378"/>
      <c r="K38" s="20"/>
      <c r="L38" s="20"/>
      <c r="M38" s="20"/>
      <c r="N38" s="20"/>
      <c r="O38" s="20"/>
      <c r="P38" s="21"/>
    </row>
    <row r="39" spans="1:16" ht="18">
      <c r="A39" s="402">
        <v>0.9</v>
      </c>
      <c r="B39" s="379" t="s">
        <v>675</v>
      </c>
      <c r="C39" s="380"/>
      <c r="D39" s="379"/>
      <c r="E39" s="379"/>
      <c r="F39" s="379"/>
      <c r="G39" s="379"/>
      <c r="H39" s="379"/>
      <c r="I39" s="379"/>
      <c r="J39" s="379"/>
      <c r="K39" s="13"/>
      <c r="L39" s="13"/>
      <c r="M39" s="13"/>
      <c r="N39" s="13"/>
      <c r="O39" s="13"/>
      <c r="P39" s="97"/>
    </row>
    <row r="40" spans="1:16">
      <c r="A40" s="381" t="s">
        <v>676</v>
      </c>
      <c r="B40" s="379"/>
      <c r="C40" s="379"/>
      <c r="D40" s="379"/>
      <c r="E40" s="379"/>
      <c r="F40" s="379"/>
      <c r="G40" s="379"/>
      <c r="H40" s="379"/>
      <c r="I40" s="379"/>
      <c r="J40" s="379"/>
      <c r="K40" s="13"/>
      <c r="L40" s="13"/>
      <c r="M40" s="13"/>
      <c r="N40" s="13"/>
      <c r="O40" s="13"/>
      <c r="P40" s="97"/>
    </row>
    <row r="41" spans="1:16" ht="15" thickBot="1">
      <c r="A41" s="382"/>
      <c r="B41" s="383"/>
      <c r="C41" s="383"/>
      <c r="D41" s="383"/>
      <c r="E41" s="383"/>
      <c r="F41" s="383"/>
      <c r="G41" s="383"/>
      <c r="H41" s="383"/>
      <c r="I41" s="383"/>
      <c r="J41" s="383"/>
      <c r="K41" s="42"/>
      <c r="L41" s="42"/>
      <c r="M41" s="42"/>
      <c r="N41" s="42"/>
      <c r="O41" s="42"/>
      <c r="P41" s="102"/>
    </row>
    <row r="42" spans="1:16">
      <c r="A42" s="377"/>
      <c r="B42" s="377"/>
      <c r="C42" s="377"/>
      <c r="D42" s="377"/>
      <c r="E42" s="377"/>
      <c r="F42" s="377"/>
      <c r="G42" s="377"/>
      <c r="H42" s="377"/>
      <c r="I42" s="377"/>
      <c r="J42" s="377"/>
    </row>
    <row r="43" spans="1:16">
      <c r="A43" s="377"/>
      <c r="B43" s="377"/>
      <c r="C43" s="377"/>
      <c r="D43" s="377"/>
      <c r="E43" s="377"/>
      <c r="F43" s="377"/>
      <c r="G43" s="377"/>
      <c r="H43" s="377"/>
      <c r="I43" s="377"/>
      <c r="J43" s="377"/>
    </row>
  </sheetData>
  <pageMargins left="0.7" right="0.7" top="0.75" bottom="0.75" header="0.3" footer="0.3"/>
  <pageSetup orientation="portrait" horizontalDpi="360" verticalDpi="360"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sheetPr>
  <dimension ref="A1:AH37"/>
  <sheetViews>
    <sheetView zoomScale="115" zoomScaleNormal="115" workbookViewId="0">
      <selection activeCell="F17" sqref="F17"/>
    </sheetView>
  </sheetViews>
  <sheetFormatPr defaultColWidth="9.109375" defaultRowHeight="14.4"/>
  <cols>
    <col min="1" max="1" width="9.109375" style="297"/>
    <col min="2" max="2" width="11.5546875" style="297" customWidth="1"/>
    <col min="3" max="3" width="7.88671875" style="297" customWidth="1"/>
    <col min="4" max="8" width="7.33203125" style="297" customWidth="1"/>
    <col min="9" max="9" width="6.5546875" style="297" customWidth="1"/>
    <col min="10" max="14" width="6.5546875" style="28" customWidth="1"/>
    <col min="15" max="15" width="10.44140625" style="28" customWidth="1"/>
    <col min="16" max="16" width="11.109375" style="297" customWidth="1"/>
    <col min="17" max="17" width="8.6640625" style="297" customWidth="1"/>
    <col min="18" max="18" width="6.5546875" style="297" customWidth="1"/>
    <col min="19" max="19" width="8.6640625" style="28" customWidth="1"/>
    <col min="20" max="20" width="8.44140625" style="28" customWidth="1"/>
    <col min="21" max="21" width="7.33203125" style="28" customWidth="1"/>
    <col min="22" max="25" width="7.33203125" style="297" customWidth="1"/>
    <col min="26" max="26" width="8.6640625" style="297" customWidth="1"/>
    <col min="27" max="27" width="8.5546875" style="297" customWidth="1"/>
    <col min="28" max="16384" width="9.109375" style="297"/>
  </cols>
  <sheetData>
    <row r="1" spans="1:34" ht="18">
      <c r="A1" s="56" t="s">
        <v>441</v>
      </c>
      <c r="J1" s="297"/>
      <c r="K1" s="297"/>
      <c r="P1" s="28"/>
      <c r="Q1" s="28"/>
      <c r="S1" s="297"/>
      <c r="T1" s="297"/>
      <c r="V1" s="28"/>
      <c r="W1" s="28"/>
    </row>
    <row r="2" spans="1:34">
      <c r="A2" s="297" t="s">
        <v>448</v>
      </c>
      <c r="J2" s="297"/>
      <c r="K2" s="297"/>
      <c r="P2" s="28"/>
      <c r="Q2" s="28"/>
      <c r="S2" s="297"/>
      <c r="T2" s="297"/>
      <c r="V2" s="28"/>
      <c r="W2" s="28"/>
    </row>
    <row r="3" spans="1:34" ht="15" thickBot="1">
      <c r="A3" s="297" t="s">
        <v>577</v>
      </c>
      <c r="J3" s="297"/>
      <c r="K3" s="297"/>
      <c r="P3" s="28"/>
      <c r="Q3" s="28"/>
      <c r="S3" s="297"/>
      <c r="T3" s="297"/>
      <c r="V3" s="28"/>
      <c r="W3" s="28"/>
    </row>
    <row r="4" spans="1:34" ht="15" thickBot="1">
      <c r="D4" s="210" t="s">
        <v>408</v>
      </c>
      <c r="E4" s="223"/>
      <c r="F4" s="196" t="s">
        <v>409</v>
      </c>
      <c r="G4" s="197"/>
      <c r="H4" s="198"/>
      <c r="I4" s="196" t="s">
        <v>410</v>
      </c>
      <c r="J4" s="197"/>
      <c r="K4" s="198"/>
      <c r="L4" s="314" t="s">
        <v>411</v>
      </c>
      <c r="M4" s="315"/>
      <c r="N4" s="316"/>
      <c r="O4" s="196" t="s">
        <v>444</v>
      </c>
      <c r="P4" s="197"/>
      <c r="Q4" s="198"/>
      <c r="S4" s="297"/>
      <c r="T4" s="297"/>
      <c r="U4" s="297" t="s">
        <v>451</v>
      </c>
      <c r="V4" s="28"/>
      <c r="W4" s="28"/>
    </row>
    <row r="5" spans="1:34" ht="15" thickBot="1">
      <c r="C5" s="513" t="s">
        <v>452</v>
      </c>
      <c r="D5" s="177" t="s">
        <v>412</v>
      </c>
      <c r="E5" s="224"/>
      <c r="F5" s="225" t="s">
        <v>412</v>
      </c>
      <c r="G5" s="58"/>
      <c r="H5" s="199"/>
      <c r="I5" s="225" t="s">
        <v>412</v>
      </c>
      <c r="J5" s="58"/>
      <c r="K5" s="199"/>
      <c r="L5" s="317" t="s">
        <v>412</v>
      </c>
      <c r="M5" s="318"/>
      <c r="N5" s="319"/>
      <c r="O5" s="43" t="s">
        <v>413</v>
      </c>
      <c r="P5" s="58" t="s">
        <v>414</v>
      </c>
      <c r="Q5" s="199" t="s">
        <v>415</v>
      </c>
      <c r="R5" s="210" t="s">
        <v>439</v>
      </c>
      <c r="S5" s="20"/>
      <c r="T5" s="21"/>
      <c r="U5" s="196" t="s">
        <v>447</v>
      </c>
      <c r="V5" s="197"/>
      <c r="W5" s="198"/>
      <c r="X5" s="19" t="s">
        <v>445</v>
      </c>
      <c r="Y5" s="20"/>
      <c r="Z5" s="21"/>
      <c r="AB5" s="297" t="s">
        <v>440</v>
      </c>
      <c r="AD5" s="297" t="s">
        <v>267</v>
      </c>
      <c r="AE5" s="297" t="s">
        <v>267</v>
      </c>
    </row>
    <row r="6" spans="1:34" ht="15" thickBot="1">
      <c r="A6" s="217" t="s">
        <v>347</v>
      </c>
      <c r="B6" s="104" t="s">
        <v>443</v>
      </c>
      <c r="C6" s="348" t="s">
        <v>836</v>
      </c>
      <c r="D6" s="170" t="s">
        <v>416</v>
      </c>
      <c r="E6" s="347" t="s">
        <v>417</v>
      </c>
      <c r="F6" s="168" t="s">
        <v>418</v>
      </c>
      <c r="G6" s="170" t="s">
        <v>416</v>
      </c>
      <c r="H6" s="347" t="s">
        <v>417</v>
      </c>
      <c r="I6" s="168" t="s">
        <v>418</v>
      </c>
      <c r="J6" s="170" t="s">
        <v>416</v>
      </c>
      <c r="K6" s="347" t="s">
        <v>417</v>
      </c>
      <c r="L6" s="320" t="s">
        <v>418</v>
      </c>
      <c r="M6" s="321" t="s">
        <v>416</v>
      </c>
      <c r="N6" s="322" t="s">
        <v>417</v>
      </c>
      <c r="O6" s="168" t="s">
        <v>419</v>
      </c>
      <c r="P6" s="170" t="s">
        <v>420</v>
      </c>
      <c r="Q6" s="169" t="s">
        <v>421</v>
      </c>
      <c r="R6" s="211" t="s">
        <v>422</v>
      </c>
      <c r="S6" s="171" t="s">
        <v>423</v>
      </c>
      <c r="T6" s="212" t="s">
        <v>424</v>
      </c>
      <c r="U6" s="208" t="s">
        <v>425</v>
      </c>
      <c r="V6" s="129" t="s">
        <v>426</v>
      </c>
      <c r="W6" s="209" t="s">
        <v>427</v>
      </c>
      <c r="X6" s="206" t="s">
        <v>428</v>
      </c>
      <c r="Y6" s="128" t="s">
        <v>429</v>
      </c>
      <c r="Z6" s="207" t="s">
        <v>430</v>
      </c>
      <c r="AA6" s="189"/>
      <c r="AB6" s="189" t="s">
        <v>273</v>
      </c>
      <c r="AC6" s="189" t="s">
        <v>683</v>
      </c>
      <c r="AD6" s="189" t="s">
        <v>681</v>
      </c>
      <c r="AE6" s="189" t="s">
        <v>682</v>
      </c>
      <c r="AF6" s="299"/>
      <c r="AG6" s="299"/>
      <c r="AH6" s="299"/>
    </row>
    <row r="7" spans="1:34">
      <c r="A7" s="218">
        <v>2008</v>
      </c>
      <c r="B7" s="221">
        <f>S.egg!L4</f>
        <v>2163072.479216883</v>
      </c>
      <c r="C7" s="511">
        <v>9.1715713042661892E-2</v>
      </c>
      <c r="D7" s="341">
        <f>VLOOKUP($A7&amp;D$6,S.parr!$B$3:$G$22,6,FALSE)</f>
        <v>0.73299999999999998</v>
      </c>
      <c r="E7" s="337">
        <f>VLOOKUP($A7&amp;E$6,S.parr!$B$3:$G$22,6,FALSE)</f>
        <v>0.46657142857142853</v>
      </c>
      <c r="F7" s="331">
        <f>VLOOKUP($A7&amp;F$6,S.parr!$B$3:$F$22,5,FALSE)</f>
        <v>0.6683380790351936</v>
      </c>
      <c r="G7" s="338">
        <f>VLOOKUP($A7&amp;G$6,S.parr!$C$3:$F$22,4,FALSE)</f>
        <v>0.84632957837683753</v>
      </c>
      <c r="H7" s="333">
        <f>VLOOKUP($A7&amp;H$6,S.parr!$C$3:$F$22,4,FALSE)</f>
        <v>0.43613718964943582</v>
      </c>
      <c r="I7" s="329">
        <f>VLOOKUP($A7&amp;I$6,S.parr!$C$3:$F$22,4,FALSE)</f>
        <v>0.97812196392157791</v>
      </c>
      <c r="J7" s="334">
        <f>VLOOKUP($A7&amp;J$6,S.parr!$D$3:$F$22,3,FALSE)</f>
        <v>0.7111335070851762</v>
      </c>
      <c r="K7" s="172">
        <f>VLOOKUP($A7&amp;K$6,S.parr!$D$3:$F$22,3,FALSE)</f>
        <v>0.64883911144616646</v>
      </c>
      <c r="L7" s="323">
        <f>VLOOKUP($A7&amp;L$6,S.parr!$D$3:$F$22,3,FALSE)</f>
        <v>0.93926711679762176</v>
      </c>
      <c r="M7" s="324"/>
      <c r="N7" s="325"/>
      <c r="O7" s="200">
        <f>B7*C7*D7*E7^(1/2)</f>
        <v>99329.411746681712</v>
      </c>
      <c r="P7" s="201">
        <f>(O7-R7)*(E7^(1/2))*F7*G7*(H7^(1/2))</f>
        <v>25284.031279422459</v>
      </c>
      <c r="Q7" s="202">
        <f>(P7-S7)*I7*J7*(K7^(1/2))*(H7^(1/2))</f>
        <v>3242.8507981469434</v>
      </c>
      <c r="R7" s="213">
        <f>'S.smolt (sf)'!J11</f>
        <v>237.09938290737088</v>
      </c>
      <c r="S7" s="99">
        <f>'S.smolt (sf)'!K11</f>
        <v>16520.02372351976</v>
      </c>
      <c r="T7" s="214">
        <f>'S.smolt (sf)'!L11</f>
        <v>3242.8527487023921</v>
      </c>
      <c r="U7" s="304">
        <f>O7/(B7*C7)</f>
        <v>0.50068322948318755</v>
      </c>
      <c r="V7" s="59">
        <f>P7/(O7-R7)</f>
        <v>0.25515633530281473</v>
      </c>
      <c r="W7" s="111">
        <f>Q7/(P7-S7)</f>
        <v>0.37001916959357611</v>
      </c>
      <c r="X7" s="238">
        <f>R7/(O7)</f>
        <v>2.3870007758833994E-3</v>
      </c>
      <c r="Y7" s="303">
        <f t="shared" ref="Y7:Z10" si="0">S7/(P7)</f>
        <v>0.65337776009495241</v>
      </c>
      <c r="Z7" s="306">
        <f>T7/(Q7)</f>
        <v>1.0000006014940466</v>
      </c>
      <c r="AA7" s="190"/>
      <c r="AB7" s="17">
        <f>S.egg!B4</f>
        <v>769</v>
      </c>
      <c r="AC7" s="17">
        <f>SUM(R7:T7)</f>
        <v>19999.975855129524</v>
      </c>
      <c r="AD7" s="350">
        <f>(SUM(R7:T7)/AB7)</f>
        <v>26.007770942951264</v>
      </c>
      <c r="AE7" s="350">
        <f>('S.smolt (sf)'!G11/AB7)</f>
        <v>26.007770942951272</v>
      </c>
      <c r="AF7" s="350">
        <f>R7/SUM(R7:T7)/('S.smolt (sf)'!G27)</f>
        <v>1.0000000000000002</v>
      </c>
      <c r="AG7" s="350">
        <f>S7/SUM(R7:T7)/('S.smolt (sf)'!H27)</f>
        <v>1.0000000000000002</v>
      </c>
      <c r="AH7" s="350">
        <f>T7/SUM(R7:T7)/('S.smolt (sf)'!I27)</f>
        <v>1.0000000000000002</v>
      </c>
    </row>
    <row r="8" spans="1:34">
      <c r="A8" s="218">
        <v>2009</v>
      </c>
      <c r="B8" s="221">
        <f>S.egg!L5</f>
        <v>5723283.203721351</v>
      </c>
      <c r="C8" s="511">
        <v>2.7623671133191714E-2</v>
      </c>
      <c r="D8" s="341">
        <f>VLOOKUP($A8&amp;D$6,S.parr!$B$3:$G$22,6,FALSE)</f>
        <v>0.81699999999999995</v>
      </c>
      <c r="E8" s="337">
        <f>VLOOKUP($A8&amp;E$6,S.parr!$B$3:$G$22,6,FALSE)</f>
        <v>0.626</v>
      </c>
      <c r="F8" s="331">
        <f>VLOOKUP($A8&amp;F$6,S.parr!$B$3:$F$22,5,FALSE)</f>
        <v>0.97812196392157791</v>
      </c>
      <c r="G8" s="338">
        <f>VLOOKUP($A8&amp;G$6,S.parr!$C$3:$F$22,4,FALSE)</f>
        <v>0.7111335070851762</v>
      </c>
      <c r="H8" s="333">
        <f>VLOOKUP($A8&amp;H$6,S.parr!$C$3:$F$22,4,FALSE)</f>
        <v>0.64883911144616646</v>
      </c>
      <c r="I8" s="329">
        <f>VLOOKUP($A8&amp;I$6,S.parr!$C$3:$F$22,4,FALSE)</f>
        <v>0.93926711679762176</v>
      </c>
      <c r="J8" s="334">
        <f>VLOOKUP($A8&amp;J$6,S.parr!$D$3:$F$22,3,FALSE)</f>
        <v>0.79936092799251046</v>
      </c>
      <c r="K8" s="172">
        <f>VLOOKUP($A8&amp;K$6,S.parr!$D$3:$F$22,3,FALSE)</f>
        <v>0.5394511227433425</v>
      </c>
      <c r="L8" s="323">
        <f>VLOOKUP($A8&amp;L$6,S.parr!$D$3:$F$22,3,FALSE)</f>
        <v>0.92668318385829462</v>
      </c>
      <c r="M8" s="324"/>
      <c r="N8" s="325"/>
      <c r="O8" s="200">
        <f>B8*C8*D8*E8^(1/2)</f>
        <v>102196.46051362858</v>
      </c>
      <c r="P8" s="201">
        <f>(O8-R8)*(E8^(1/2))*F8*G8*(H8^(1/2))</f>
        <v>43055.903052535614</v>
      </c>
      <c r="Q8" s="202">
        <f>(P8-S8)*I8*J8*(K8^(1/2))*(H8^(1/2))</f>
        <v>5005.4656964257101</v>
      </c>
      <c r="R8" s="213">
        <f>'S.smolt (sf)'!J12</f>
        <v>5071.0489392269483</v>
      </c>
      <c r="S8" s="99">
        <f>'S.smolt (sf)'!K12</f>
        <v>31787.35674968105</v>
      </c>
      <c r="T8" s="214">
        <f>'S.smolt (sf)'!L12</f>
        <v>5005.4656964257138</v>
      </c>
      <c r="U8" s="304">
        <f>O8/(B8*C8)</f>
        <v>0.64641172173777905</v>
      </c>
      <c r="V8" s="59">
        <f t="shared" ref="V8:W10" si="1">P8/(O8-R8)</f>
        <v>0.44330214260717149</v>
      </c>
      <c r="W8" s="111">
        <f t="shared" si="1"/>
        <v>0.44419799696414425</v>
      </c>
      <c r="X8" s="238">
        <f>R8/(O8)</f>
        <v>4.9620592667695078E-2</v>
      </c>
      <c r="Y8" s="303">
        <f t="shared" si="0"/>
        <v>0.73828103688581337</v>
      </c>
      <c r="Z8" s="306">
        <f>T8/(Q8)</f>
        <v>1.0000000000000007</v>
      </c>
      <c r="AA8" s="190"/>
      <c r="AB8" s="17">
        <f>S.egg!B5</f>
        <v>2114</v>
      </c>
      <c r="AC8" s="17">
        <f>SUM(R8:T8)</f>
        <v>41863.87138533371</v>
      </c>
      <c r="AD8" s="350">
        <f>(SUM(R8:T8)/AB8)</f>
        <v>19.803155811416136</v>
      </c>
      <c r="AE8" s="350">
        <f>('S.smolt (sf)'!G12/AB8)</f>
        <v>19.803155811416136</v>
      </c>
      <c r="AF8" s="350">
        <f>R8/SUM(R8:T8)/('S.smolt (sf)'!G28)</f>
        <v>1</v>
      </c>
      <c r="AG8" s="350">
        <f>S8/SUM(R8:T8)/('S.smolt (sf)'!H28)</f>
        <v>1</v>
      </c>
      <c r="AH8" s="350">
        <f>T8/SUM(R8:T8)/('S.smolt (sf)'!I28)</f>
        <v>1</v>
      </c>
    </row>
    <row r="9" spans="1:34">
      <c r="A9" s="218">
        <v>2010</v>
      </c>
      <c r="B9" s="221">
        <f>S.egg!L6</f>
        <v>5984946.9643912744</v>
      </c>
      <c r="C9" s="511">
        <v>0.24823362599833612</v>
      </c>
      <c r="D9" s="341">
        <f>VLOOKUP($A9&amp;D$6,S.parr!$B$3:$G$22,6,FALSE)</f>
        <v>0.62379999999999991</v>
      </c>
      <c r="E9" s="337">
        <f>VLOOKUP($A9&amp;E$6,S.parr!$B$3:$G$22,6,FALSE)</f>
        <v>0.39</v>
      </c>
      <c r="F9" s="331">
        <f>VLOOKUP($A9&amp;F$6,S.parr!$B$3:$F$22,5,FALSE)</f>
        <v>0.93926711679762176</v>
      </c>
      <c r="G9" s="338">
        <f>VLOOKUP($A9&amp;G$6,S.parr!$C$3:$F$22,4,FALSE)</f>
        <v>0.79936092799251046</v>
      </c>
      <c r="H9" s="333">
        <f>VLOOKUP($A9&amp;H$6,S.parr!$C$3:$F$22,4,FALSE)</f>
        <v>0.5394511227433425</v>
      </c>
      <c r="I9" s="329">
        <f>VLOOKUP($A9&amp;I$6,S.parr!$C$3:$F$22,4,FALSE)</f>
        <v>0.92668318385829462</v>
      </c>
      <c r="J9" s="334">
        <f>VLOOKUP($A9&amp;J$6,S.parr!$D$3:$F$22,3,FALSE)</f>
        <v>0.74927858214127352</v>
      </c>
      <c r="K9" s="172">
        <f>VLOOKUP($A9&amp;K$6,S.parr!$D$3:$F$22,3,FALSE)</f>
        <v>0.52611097089419601</v>
      </c>
      <c r="L9" s="323">
        <f>VLOOKUP($A9&amp;L$6,S.parr!$D$3:$F$22,3,FALSE)</f>
        <v>0.67416511030792603</v>
      </c>
      <c r="M9" s="324"/>
      <c r="N9" s="325"/>
      <c r="O9" s="200">
        <f>B9*C9*D9*E9^(1/2)</f>
        <v>578760.1111114017</v>
      </c>
      <c r="P9" s="201">
        <f>(O9-R9)*(E9^(1/2))*F9*G9*(H9^(1/2))</f>
        <v>197379.04408099569</v>
      </c>
      <c r="Q9" s="202">
        <f>(P9-S9)*I9*J9*(K9^(1/2))*(H9^(1/2))</f>
        <v>38224.475914061972</v>
      </c>
      <c r="R9" s="213">
        <f>'S.smolt (sf)'!J13</f>
        <v>5620.1994491323449</v>
      </c>
      <c r="S9" s="99">
        <f>'S.smolt (sf)'!K13</f>
        <v>94042.91022348206</v>
      </c>
      <c r="T9" s="214">
        <f>'S.smolt (sf)'!L13</f>
        <v>38224.475914061972</v>
      </c>
      <c r="U9" s="304">
        <f>O9/(B9*C9)</f>
        <v>0.38956297514009203</v>
      </c>
      <c r="V9" s="59">
        <f>P9/(O9-R9)</f>
        <v>0.34438195642062358</v>
      </c>
      <c r="W9" s="111">
        <f>Q9/(P9-S9)</f>
        <v>0.3699042579507405</v>
      </c>
      <c r="X9" s="238">
        <f>R9/(O9)</f>
        <v>9.7107581210802377E-3</v>
      </c>
      <c r="Y9" s="303">
        <f>S9/(P9)</f>
        <v>0.47645843387959147</v>
      </c>
      <c r="Z9" s="306">
        <f>T9/(Q9)</f>
        <v>1</v>
      </c>
      <c r="AA9" s="190"/>
      <c r="AB9" s="17">
        <f>S.egg!B6</f>
        <v>1820</v>
      </c>
      <c r="AC9" s="17">
        <f>SUM(R9:T9)</f>
        <v>137887.58558667637</v>
      </c>
      <c r="AD9" s="350">
        <f>(SUM(R9:T9)/AB9)</f>
        <v>75.762409663008995</v>
      </c>
      <c r="AE9" s="350">
        <f>('S.smolt (sf)'!G13/AB9)</f>
        <v>75.762409663008995</v>
      </c>
      <c r="AF9" s="350">
        <f>R9/SUM(R9:T9)/('S.smolt (sf)'!G29)</f>
        <v>1</v>
      </c>
      <c r="AG9" s="350">
        <f>S9/SUM(R9:T9)/('S.smolt (sf)'!H29)</f>
        <v>1</v>
      </c>
      <c r="AH9" s="350">
        <f>T9/SUM(R9:T9)/('S.smolt (sf)'!I29)</f>
        <v>1</v>
      </c>
    </row>
    <row r="10" spans="1:34" ht="15" thickBot="1">
      <c r="A10" s="219">
        <v>2011</v>
      </c>
      <c r="B10" s="222">
        <f>S.egg!L7</f>
        <v>10799680.685689986</v>
      </c>
      <c r="C10" s="512">
        <v>0.16919758347838787</v>
      </c>
      <c r="D10" s="342">
        <f>VLOOKUP($A10&amp;D$6,S.parr!$B$3:$G$22,6,FALSE)</f>
        <v>0.63100000000000001</v>
      </c>
      <c r="E10" s="339">
        <f>VLOOKUP($A10&amp;E$6,S.parr!$B$3:$G$22,6,FALSE)</f>
        <v>0.432</v>
      </c>
      <c r="F10" s="332">
        <f>VLOOKUP($A10&amp;F$6,S.parr!$B$3:$F$22,5,FALSE)</f>
        <v>0.92668318385829462</v>
      </c>
      <c r="G10" s="340">
        <f>VLOOKUP($A10&amp;G$6,S.parr!$C$3:$F$22,4,FALSE)</f>
        <v>0.74927858214127352</v>
      </c>
      <c r="H10" s="335">
        <f>VLOOKUP($A10&amp;H$6,S.parr!$C$3:$F$22,4,FALSE)</f>
        <v>0.52611097089419601</v>
      </c>
      <c r="I10" s="330">
        <f>VLOOKUP($A10&amp;I$6,S.parr!$C$3:$F$22,4,FALSE)</f>
        <v>0.67416511030792603</v>
      </c>
      <c r="J10" s="336">
        <f>VLOOKUP($A10&amp;J$6,S.parr!$D$3:$F$22,3,FALSE)</f>
        <v>0.63326504494545621</v>
      </c>
      <c r="K10" s="173">
        <f>AVERAGE(K7:K9)</f>
        <v>0.57146706836123495</v>
      </c>
      <c r="L10" s="326">
        <f>AVERAGE(L7:L9)</f>
        <v>0.84670513698794758</v>
      </c>
      <c r="M10" s="327"/>
      <c r="N10" s="328"/>
      <c r="O10" s="203">
        <f>B10*C10*D10*E10^(1/2)</f>
        <v>757837.86986902216</v>
      </c>
      <c r="P10" s="204">
        <f>(O10-R10)*(E10^(1/2))*F10*G10*(H10^(1/2))</f>
        <v>242804.94070929926</v>
      </c>
      <c r="Q10" s="205">
        <f>(P10-S10)*I10*J10*(K10^(1/2))*(H10^(1/2))</f>
        <v>32702.090476191133</v>
      </c>
      <c r="R10" s="215">
        <f>'S.smolt (sf)'!J14</f>
        <v>24334.072590665779</v>
      </c>
      <c r="S10" s="101">
        <f>'S.smolt (sf)'!K14</f>
        <v>103107.18053048347</v>
      </c>
      <c r="T10" s="216">
        <f>'S.smolt (sf)'!L14</f>
        <v>32702.090476191133</v>
      </c>
      <c r="U10" s="305">
        <f>O10/(B10*C10)</f>
        <v>0.4147355205429118</v>
      </c>
      <c r="V10" s="112">
        <f t="shared" si="1"/>
        <v>0.33102070038385573</v>
      </c>
      <c r="W10" s="113">
        <f t="shared" si="1"/>
        <v>0.23409173085045767</v>
      </c>
      <c r="X10" s="307">
        <f>R10/(O10)</f>
        <v>3.2109866184005111E-2</v>
      </c>
      <c r="Y10" s="308">
        <f t="shared" si="0"/>
        <v>0.42465025723644401</v>
      </c>
      <c r="Z10" s="309">
        <f t="shared" si="0"/>
        <v>1</v>
      </c>
      <c r="AA10" s="190"/>
      <c r="AB10" s="422">
        <f>S.egg!B7</f>
        <v>3692</v>
      </c>
      <c r="AC10" s="422">
        <f>SUM(R10:T10)</f>
        <v>160143.34359734037</v>
      </c>
      <c r="AD10" s="423">
        <f>(SUM(R10:T10)/AB10)</f>
        <v>43.37577020513011</v>
      </c>
      <c r="AE10" s="423">
        <f>('S.smolt (sf)'!G14/AB10)</f>
        <v>43.375770205130117</v>
      </c>
      <c r="AF10" s="423">
        <f>R10/SUM(R10:T10)/('S.smolt (sf)'!G30)</f>
        <v>1.0000000000000002</v>
      </c>
      <c r="AG10" s="423">
        <f>S10/SUM(R10:T10)/('S.smolt (sf)'!H30)</f>
        <v>1.0000000000000002</v>
      </c>
      <c r="AH10" s="423">
        <f>T10/SUM(R10:T10)/('S.smolt (sf)'!I30)</f>
        <v>1.0000000000000002</v>
      </c>
    </row>
    <row r="11" spans="1:34" ht="15.6">
      <c r="B11" s="250" t="s">
        <v>585</v>
      </c>
      <c r="C11" s="28" t="s">
        <v>579</v>
      </c>
      <c r="D11" s="28" t="s">
        <v>579</v>
      </c>
      <c r="E11" s="28" t="s">
        <v>583</v>
      </c>
      <c r="F11" s="28" t="s">
        <v>580</v>
      </c>
      <c r="G11" s="28" t="s">
        <v>580</v>
      </c>
      <c r="H11" s="28" t="s">
        <v>582</v>
      </c>
      <c r="I11" s="28" t="s">
        <v>581</v>
      </c>
      <c r="J11" s="28" t="s">
        <v>581</v>
      </c>
      <c r="K11" s="28" t="s">
        <v>584</v>
      </c>
      <c r="P11" s="28"/>
      <c r="Q11" s="28"/>
      <c r="S11" s="297"/>
      <c r="T11" s="256" t="s">
        <v>446</v>
      </c>
      <c r="U11" s="399">
        <f t="shared" ref="U11:Z11" si="2">AVERAGE(U7:U10)</f>
        <v>0.48784836172599255</v>
      </c>
      <c r="V11" s="399">
        <f t="shared" si="2"/>
        <v>0.3434652836786164</v>
      </c>
      <c r="W11" s="399">
        <f t="shared" si="2"/>
        <v>0.35455328883972964</v>
      </c>
      <c r="X11" s="399">
        <f>AVERAGE(X7:X10)</f>
        <v>2.3457054437165954E-2</v>
      </c>
      <c r="Y11" s="399">
        <f t="shared" si="2"/>
        <v>0.5731918720242003</v>
      </c>
      <c r="Z11" s="400">
        <f t="shared" si="2"/>
        <v>1.0000001503735119</v>
      </c>
      <c r="AA11" s="192"/>
      <c r="AB11" s="16">
        <f>AVERAGE(AB7:AB10)</f>
        <v>2098.75</v>
      </c>
      <c r="AC11" s="16">
        <f>AVERAGE(AC7:AC10)</f>
        <v>89973.694106120005</v>
      </c>
      <c r="AD11" s="421">
        <f>AVERAGE(AD7:AD10)</f>
        <v>41.23727665562663</v>
      </c>
      <c r="AE11" s="421">
        <f>AVERAGE(AE7:AE10)</f>
        <v>41.23727665562663</v>
      </c>
      <c r="AF11" s="297" t="s">
        <v>685</v>
      </c>
    </row>
    <row r="12" spans="1:34">
      <c r="C12" s="27"/>
      <c r="D12" s="27"/>
      <c r="E12" s="27"/>
      <c r="F12" s="27"/>
      <c r="G12" s="27"/>
      <c r="H12" s="27"/>
      <c r="I12" s="27"/>
      <c r="J12" s="297"/>
      <c r="S12" s="297"/>
      <c r="T12" s="257" t="s">
        <v>449</v>
      </c>
      <c r="U12" s="310">
        <f t="shared" ref="U12:Z12" si="3">STDEV(U7:U10)</f>
        <v>0.11592034295264222</v>
      </c>
      <c r="V12" s="310">
        <f t="shared" si="3"/>
        <v>7.7290742667446663E-2</v>
      </c>
      <c r="W12" s="310">
        <f t="shared" si="3"/>
        <v>8.7601381967892161E-2</v>
      </c>
      <c r="X12" s="310">
        <f t="shared" si="3"/>
        <v>2.154305539739396E-2</v>
      </c>
      <c r="Y12" s="310">
        <f t="shared" si="3"/>
        <v>0.14731618872279573</v>
      </c>
      <c r="Z12" s="311">
        <f t="shared" si="3"/>
        <v>3.007470231741749E-7</v>
      </c>
      <c r="AA12" s="193"/>
      <c r="AB12" s="349">
        <f>AC11/AB11</f>
        <v>42.870134178020251</v>
      </c>
      <c r="AC12" s="299" t="s">
        <v>684</v>
      </c>
      <c r="AD12" s="194"/>
      <c r="AE12" s="194"/>
      <c r="AF12" s="191"/>
      <c r="AG12" s="191"/>
      <c r="AH12" s="191"/>
    </row>
    <row r="13" spans="1:34" ht="15" thickBot="1">
      <c r="C13" s="514">
        <f>AVERAGE(C7:C10)</f>
        <v>0.13419264841314441</v>
      </c>
      <c r="D13" s="514" t="s">
        <v>837</v>
      </c>
      <c r="E13" s="27"/>
      <c r="F13" s="27"/>
      <c r="G13" s="27"/>
      <c r="H13" s="27"/>
      <c r="I13" s="27"/>
      <c r="J13" s="297"/>
      <c r="K13" s="297"/>
      <c r="S13" s="297"/>
      <c r="T13" s="258" t="s">
        <v>450</v>
      </c>
      <c r="U13" s="312">
        <f t="shared" ref="U13:Z13" si="4">U12/U11</f>
        <v>0.23761552163979727</v>
      </c>
      <c r="V13" s="312">
        <f t="shared" si="4"/>
        <v>0.22503218328105706</v>
      </c>
      <c r="W13" s="312">
        <f t="shared" si="4"/>
        <v>0.2470753613781623</v>
      </c>
      <c r="X13" s="312">
        <f t="shared" si="4"/>
        <v>0.9184041182622058</v>
      </c>
      <c r="Y13" s="312">
        <f t="shared" si="4"/>
        <v>0.25701025417990575</v>
      </c>
      <c r="Z13" s="313">
        <f t="shared" si="4"/>
        <v>3.0074697794979566E-7</v>
      </c>
      <c r="AB13" s="428">
        <f>AB12*'S.smolt (sf)'!B18</f>
        <v>30.935478551351945</v>
      </c>
      <c r="AC13" s="297" t="s">
        <v>717</v>
      </c>
      <c r="AD13" s="39"/>
      <c r="AE13" s="39"/>
    </row>
    <row r="14" spans="1:34">
      <c r="C14" s="27">
        <f>STDEV(C7:C10)/C13</f>
        <v>0.71206877402704249</v>
      </c>
      <c r="D14" s="27"/>
      <c r="E14" s="27"/>
      <c r="F14" s="27"/>
      <c r="G14" s="27"/>
      <c r="H14" s="27"/>
      <c r="I14" s="27"/>
      <c r="J14" s="297"/>
      <c r="K14" s="297"/>
    </row>
    <row r="15" spans="1:34">
      <c r="C15" s="27"/>
      <c r="D15" s="27"/>
      <c r="E15" s="27"/>
      <c r="F15" s="27"/>
      <c r="G15" s="27"/>
      <c r="H15" s="27"/>
      <c r="I15" s="27"/>
      <c r="S15" s="250" t="s">
        <v>578</v>
      </c>
      <c r="T15" s="65">
        <f>(D7*E7^0.5)/U7</f>
        <v>1</v>
      </c>
      <c r="U15" s="65">
        <f>(E7^0.5*F7*G7*H7^0.5)/V7</f>
        <v>1</v>
      </c>
      <c r="V15" s="65">
        <f>(H7^0.5*I7*J7*K7^0.5)/W7</f>
        <v>1.0000000000000002</v>
      </c>
      <c r="W15" s="429">
        <f>SUM(Z7:Z10)</f>
        <v>4.0000006014940475</v>
      </c>
      <c r="X15" s="282" t="s">
        <v>517</v>
      </c>
      <c r="Y15" s="282"/>
      <c r="Z15" s="282"/>
    </row>
    <row r="16" spans="1:34">
      <c r="I16" s="28"/>
      <c r="T16" s="65">
        <f>(D8*E8^0.5)/U8</f>
        <v>1</v>
      </c>
      <c r="U16" s="65">
        <f>(E8^0.5*F8*G8*H8^0.5)/V8</f>
        <v>0.99999999999999989</v>
      </c>
      <c r="V16" s="65">
        <f>(H8^0.5*I8*J8*K8^0.5)/W8</f>
        <v>0.99999999999999978</v>
      </c>
      <c r="AE16" s="297">
        <f>STDEV(AE7:AE10)</f>
        <v>25.085967820379462</v>
      </c>
    </row>
    <row r="17" spans="2:31">
      <c r="I17" s="28"/>
      <c r="K17" s="46"/>
      <c r="T17" s="65">
        <f>(D9*E9^0.5)/U9</f>
        <v>1</v>
      </c>
      <c r="U17" s="65">
        <f>(E9^0.5*F9*G9*H9^0.5)/V9</f>
        <v>0.99999999999999967</v>
      </c>
      <c r="V17" s="65">
        <f>(H9^0.5*I9*J9*K9^0.5)/W9</f>
        <v>0.99999999999999989</v>
      </c>
      <c r="AE17" s="297">
        <f>AE16/AE11</f>
        <v>0.60833231131805598</v>
      </c>
    </row>
    <row r="18" spans="2:31">
      <c r="I18" s="28"/>
      <c r="O18" s="297"/>
      <c r="R18" s="28"/>
      <c r="T18" s="65">
        <f>(D10*E10^0.5)/U10</f>
        <v>1</v>
      </c>
      <c r="U18" s="65">
        <f>(E10^0.5*F10*G10*H10^0.5)/V10</f>
        <v>1</v>
      </c>
      <c r="V18" s="65">
        <f>(H10^0.5*I10*J10*K10^0.5)/W10</f>
        <v>1</v>
      </c>
    </row>
    <row r="19" spans="2:31" ht="15" thickBot="1">
      <c r="V19" s="28"/>
    </row>
    <row r="20" spans="2:31">
      <c r="B20" s="235" t="s">
        <v>575</v>
      </c>
      <c r="C20" s="20"/>
      <c r="D20" s="20"/>
      <c r="E20" s="20"/>
      <c r="F20" s="20"/>
      <c r="G20" s="20"/>
      <c r="H20" s="20"/>
      <c r="I20" s="197"/>
      <c r="J20" s="197"/>
      <c r="K20" s="197"/>
      <c r="L20" s="197"/>
      <c r="M20" s="197"/>
      <c r="N20" s="197"/>
      <c r="O20" s="20"/>
      <c r="P20" s="20"/>
      <c r="Q20" s="20"/>
      <c r="R20" s="21"/>
      <c r="U20" s="28">
        <f>V11^(1/12)</f>
        <v>0.91479455414602384</v>
      </c>
      <c r="V20" s="28">
        <f>W11^(1/12)</f>
        <v>0.91721988150391365</v>
      </c>
    </row>
    <row r="21" spans="2:31">
      <c r="B21" s="343" t="s">
        <v>272</v>
      </c>
      <c r="C21" s="30"/>
      <c r="D21" s="30"/>
      <c r="E21" s="427" t="s">
        <v>716</v>
      </c>
      <c r="F21" s="30"/>
      <c r="G21" s="30"/>
      <c r="H21" s="31"/>
      <c r="I21" s="13"/>
      <c r="J21" s="409"/>
      <c r="K21" s="409">
        <v>1000</v>
      </c>
      <c r="L21" s="409">
        <v>1000</v>
      </c>
      <c r="M21" s="409"/>
      <c r="N21" s="409"/>
      <c r="O21" s="409"/>
      <c r="P21" s="410"/>
      <c r="Q21" s="410"/>
      <c r="R21" s="97"/>
      <c r="U21" s="63">
        <f>U20^8</f>
        <v>0.4904430271887214</v>
      </c>
      <c r="V21" s="63">
        <f>V20^8</f>
        <v>0.50094226931103047</v>
      </c>
    </row>
    <row r="22" spans="2:31" ht="15.6">
      <c r="B22" s="93"/>
      <c r="C22" s="32" t="s">
        <v>589</v>
      </c>
      <c r="D22" s="403">
        <f>'e (sf)'!X11</f>
        <v>2.3457054437165954E-2</v>
      </c>
      <c r="E22" s="37">
        <f>1-f!K22</f>
        <v>0.59079999999999999</v>
      </c>
      <c r="F22" s="13" t="s">
        <v>271</v>
      </c>
      <c r="G22" s="13"/>
      <c r="H22" s="34"/>
      <c r="I22" s="13"/>
      <c r="J22" s="409"/>
      <c r="K22" s="410" t="s">
        <v>269</v>
      </c>
      <c r="L22" s="410" t="s">
        <v>270</v>
      </c>
      <c r="M22" s="410" t="s">
        <v>521</v>
      </c>
      <c r="N22" s="410" t="s">
        <v>522</v>
      </c>
      <c r="O22" s="410" t="s">
        <v>519</v>
      </c>
      <c r="P22" s="411" t="s">
        <v>524</v>
      </c>
      <c r="Q22" s="409"/>
      <c r="R22" s="97"/>
      <c r="V22" s="28"/>
    </row>
    <row r="23" spans="2:31" ht="15.6">
      <c r="B23" s="93"/>
      <c r="C23" s="13"/>
      <c r="D23" s="403">
        <f>'e (sf)'!Y11</f>
        <v>0.5731918720242003</v>
      </c>
      <c r="E23" s="82"/>
      <c r="F23" s="13">
        <f>(E22)/(1-E22)</f>
        <v>1.4437927663734116</v>
      </c>
      <c r="G23" s="13" t="s">
        <v>268</v>
      </c>
      <c r="H23" s="34"/>
      <c r="I23" s="13"/>
      <c r="J23" s="409">
        <v>1</v>
      </c>
      <c r="K23" s="412">
        <f>K21*U11</f>
        <v>487.84836172599256</v>
      </c>
      <c r="L23" s="412">
        <f>L21*U11</f>
        <v>487.84836172599256</v>
      </c>
      <c r="M23" s="412">
        <f>K23*'InputFile (determ)'!H101</f>
        <v>13.521622559069769</v>
      </c>
      <c r="N23" s="412">
        <f>L23*'InputFile (determ)'!O101</f>
        <v>9.3653485971079018</v>
      </c>
      <c r="O23" s="413">
        <f>1-N23/(N23+M23)</f>
        <v>0.5908000000000001</v>
      </c>
      <c r="P23" s="414">
        <f>(M23+N23)/(K23+L23)</f>
        <v>2.3457054437165958E-2</v>
      </c>
      <c r="Q23" s="409"/>
      <c r="R23" s="97"/>
      <c r="S23" s="26">
        <f t="shared" ref="S23:T25" si="5">K23-M23</f>
        <v>474.32673916692278</v>
      </c>
      <c r="T23" s="26">
        <f t="shared" si="5"/>
        <v>478.48301312888464</v>
      </c>
      <c r="V23" s="28"/>
    </row>
    <row r="24" spans="2:31" ht="15.6">
      <c r="B24" s="93"/>
      <c r="C24" s="13"/>
      <c r="D24" s="403">
        <v>0.95</v>
      </c>
      <c r="E24" s="404">
        <f>D24*(1/F23)</f>
        <v>0.65798916723087331</v>
      </c>
      <c r="F24" s="13">
        <f>1/F23</f>
        <v>0.69262017603249826</v>
      </c>
      <c r="G24" s="13"/>
      <c r="H24" s="34"/>
      <c r="I24" s="13"/>
      <c r="J24" s="409">
        <v>2</v>
      </c>
      <c r="K24" s="412">
        <f>(K23-M23)*V11</f>
        <v>162.91476802432021</v>
      </c>
      <c r="L24" s="412">
        <f>(L23-N23)*V11</f>
        <v>164.34230383971149</v>
      </c>
      <c r="M24" s="412">
        <f>K24*'InputFile (determ)'!H102</f>
        <v>110.82291013131648</v>
      </c>
      <c r="N24" s="412">
        <f>L24*'InputFile (determ)'!O102</f>
        <v>76.75818352358614</v>
      </c>
      <c r="O24" s="413">
        <f>1-N24/(N24+M24)</f>
        <v>0.59079999999999999</v>
      </c>
      <c r="P24" s="414">
        <f>(M24+N24)/(K24+L24)</f>
        <v>0.57319187202420041</v>
      </c>
      <c r="Q24" s="409"/>
      <c r="R24" s="97"/>
      <c r="S24" s="26">
        <f t="shared" si="5"/>
        <v>52.091857893003734</v>
      </c>
      <c r="T24" s="26">
        <f t="shared" si="5"/>
        <v>87.58412031612535</v>
      </c>
      <c r="V24" s="28"/>
    </row>
    <row r="25" spans="2:31">
      <c r="B25" s="93"/>
      <c r="C25" s="13"/>
      <c r="D25" s="33">
        <v>0</v>
      </c>
      <c r="E25" s="13"/>
      <c r="F25" s="13"/>
      <c r="G25" s="13"/>
      <c r="H25" s="34"/>
      <c r="I25" s="13"/>
      <c r="J25" s="409">
        <v>3</v>
      </c>
      <c r="K25" s="412">
        <f>(K24-M24)*W11</f>
        <v>18.469339537736303</v>
      </c>
      <c r="L25" s="412">
        <f>(L24-N24)*W11</f>
        <v>31.053237908216826</v>
      </c>
      <c r="M25" s="412">
        <f>K25*'InputFile (determ)'!H103</f>
        <v>17.545872560849489</v>
      </c>
      <c r="N25" s="412">
        <f>L25*'InputFile (determ)'!O103</f>
        <v>20.432694151049777</v>
      </c>
      <c r="O25" s="413">
        <f>1-N25/(N25+M25)</f>
        <v>0.46199406875857951</v>
      </c>
      <c r="P25" s="414">
        <f>(M25+N25)/(K25+L25)</f>
        <v>0.76689398392778485</v>
      </c>
      <c r="Q25" s="409" t="s">
        <v>520</v>
      </c>
      <c r="R25" s="97"/>
      <c r="S25" s="26">
        <f t="shared" si="5"/>
        <v>0.92346697688681445</v>
      </c>
      <c r="T25" s="26">
        <f t="shared" si="5"/>
        <v>10.620543757167049</v>
      </c>
      <c r="V25" s="28"/>
    </row>
    <row r="26" spans="2:31">
      <c r="B26" s="93"/>
      <c r="C26" s="13"/>
      <c r="D26" s="33">
        <v>0</v>
      </c>
      <c r="E26" s="13"/>
      <c r="F26" s="302">
        <v>0</v>
      </c>
      <c r="G26" s="13" t="s">
        <v>588</v>
      </c>
      <c r="H26" s="34"/>
      <c r="I26" s="13"/>
      <c r="J26" s="410"/>
      <c r="K26" s="409"/>
      <c r="L26" s="409"/>
      <c r="M26" s="410"/>
      <c r="N26" s="410"/>
      <c r="O26" s="413">
        <f>SUM(M23:M25)/SUM(M23:N25)</f>
        <v>0.57111019932710128</v>
      </c>
      <c r="P26" s="410" t="s">
        <v>523</v>
      </c>
      <c r="Q26" s="410"/>
      <c r="R26" s="97"/>
      <c r="V26" s="28"/>
    </row>
    <row r="27" spans="2:31">
      <c r="B27" s="93"/>
      <c r="C27" s="13"/>
      <c r="D27" s="33">
        <v>0</v>
      </c>
      <c r="E27" s="13"/>
      <c r="F27" s="13"/>
      <c r="G27" s="13"/>
      <c r="H27" s="34"/>
      <c r="I27" s="13"/>
      <c r="J27" s="410"/>
      <c r="K27" s="410"/>
      <c r="L27" s="410"/>
      <c r="M27" s="410"/>
      <c r="N27" s="410"/>
      <c r="O27" s="410"/>
      <c r="P27" s="410"/>
      <c r="Q27" s="410"/>
      <c r="R27" s="97"/>
      <c r="V27" s="28"/>
    </row>
    <row r="28" spans="2:31">
      <c r="B28" s="344"/>
      <c r="C28" s="6"/>
      <c r="D28" s="35">
        <v>0</v>
      </c>
      <c r="E28" s="6"/>
      <c r="F28" s="6"/>
      <c r="G28" s="6"/>
      <c r="H28" s="36"/>
      <c r="I28" s="13"/>
      <c r="J28" s="410"/>
      <c r="K28" s="410"/>
      <c r="L28" s="410"/>
      <c r="M28" s="410"/>
      <c r="N28" s="410"/>
      <c r="O28" s="410"/>
      <c r="P28" s="410"/>
      <c r="Q28" s="410"/>
      <c r="R28" s="97"/>
      <c r="V28" s="28"/>
    </row>
    <row r="29" spans="2:31" ht="15" thickBot="1">
      <c r="B29" s="227"/>
      <c r="C29" s="42"/>
      <c r="D29" s="42"/>
      <c r="E29" s="42"/>
      <c r="F29" s="42"/>
      <c r="G29" s="42"/>
      <c r="H29" s="42"/>
      <c r="I29" s="242"/>
      <c r="J29" s="242"/>
      <c r="K29" s="242"/>
      <c r="L29" s="242"/>
      <c r="M29" s="242"/>
      <c r="N29" s="242"/>
      <c r="O29" s="42"/>
      <c r="P29" s="42"/>
      <c r="Q29" s="42"/>
      <c r="R29" s="243"/>
      <c r="V29" s="28"/>
    </row>
    <row r="30" spans="2:31">
      <c r="B30" s="76"/>
      <c r="C30" s="76"/>
      <c r="R30" s="16"/>
      <c r="S30" s="16"/>
      <c r="T30" s="16"/>
      <c r="V30" s="28"/>
    </row>
    <row r="31" spans="2:31">
      <c r="E31" s="297">
        <f>(1/F23)</f>
        <v>0.69262017603249826</v>
      </c>
      <c r="M31" s="26">
        <f>SUM(K25:L25)</f>
        <v>49.522577445953132</v>
      </c>
      <c r="N31" s="26"/>
      <c r="O31" s="26">
        <f>SUM(M25:N25)</f>
        <v>37.978566711899262</v>
      </c>
      <c r="Q31" s="25">
        <f>M31-O31</f>
        <v>11.54401073405387</v>
      </c>
      <c r="R31" s="27"/>
      <c r="S31" s="73"/>
      <c r="T31" s="567">
        <f>K25-M25</f>
        <v>0.92346697688681445</v>
      </c>
      <c r="U31" s="567">
        <f>L25-N25</f>
        <v>10.620543757167049</v>
      </c>
      <c r="V31" s="28">
        <f>U31/T31</f>
        <v>11.500729341693358</v>
      </c>
    </row>
    <row r="32" spans="2:31">
      <c r="Q32" s="566">
        <f>Q31/(K23+L23)</f>
        <v>1.1831556319274614E-2</v>
      </c>
      <c r="R32" s="297" t="s">
        <v>966</v>
      </c>
      <c r="V32" s="28"/>
    </row>
    <row r="33" spans="4:22">
      <c r="K33" s="26">
        <f>SUM(K25:L25)</f>
        <v>49.522577445953132</v>
      </c>
      <c r="Q33" s="27">
        <f>Q31/(K25+L25)</f>
        <v>0.23310601607221515</v>
      </c>
      <c r="R33" s="297" t="s">
        <v>967</v>
      </c>
      <c r="V33" s="28"/>
    </row>
    <row r="34" spans="4:22">
      <c r="E34" s="297">
        <f>(1-E22)/E22</f>
        <v>0.69262017603249837</v>
      </c>
      <c r="Q34" s="297">
        <f>K33/SUM(K23:L23)</f>
        <v>5.0756117403719235E-2</v>
      </c>
      <c r="V34" s="28"/>
    </row>
    <row r="35" spans="4:22">
      <c r="Q35" s="297">
        <f>Q34*Q33</f>
        <v>1.1831556319274615E-2</v>
      </c>
    </row>
    <row r="37" spans="4:22">
      <c r="D37" s="76"/>
      <c r="E37" s="76"/>
      <c r="F37" s="76"/>
    </row>
  </sheetData>
  <pageMargins left="0.7" right="0.7" top="0.75" bottom="0.75" header="0.3" footer="0.3"/>
  <pageSetup orientation="portrait" horizontalDpi="360" verticalDpi="360"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sheetPr>
  <dimension ref="A1:BN170"/>
  <sheetViews>
    <sheetView topLeftCell="J76" zoomScale="115" zoomScaleNormal="115" workbookViewId="0">
      <selection activeCell="S100" sqref="S99:S100"/>
    </sheetView>
  </sheetViews>
  <sheetFormatPr defaultRowHeight="14.4"/>
  <cols>
    <col min="3" max="3" width="8.5546875" customWidth="1"/>
    <col min="10" max="13" width="8" customWidth="1"/>
    <col min="14" max="14" width="8.6640625" customWidth="1"/>
    <col min="15" max="15" width="8" customWidth="1"/>
    <col min="17" max="18" width="11.5546875" bestFit="1" customWidth="1"/>
    <col min="19" max="19" width="11.33203125" bestFit="1" customWidth="1"/>
    <col min="20" max="20" width="12.33203125" bestFit="1" customWidth="1"/>
    <col min="21" max="21" width="10.33203125" customWidth="1"/>
    <col min="22" max="22" width="10.33203125" bestFit="1" customWidth="1"/>
    <col min="24" max="24" width="9.5546875" customWidth="1"/>
    <col min="25" max="25" width="4.6640625" customWidth="1"/>
    <col min="26" max="26" width="6.33203125" customWidth="1"/>
    <col min="27" max="27" width="11" bestFit="1" customWidth="1"/>
    <col min="28" max="29" width="12" bestFit="1" customWidth="1"/>
    <col min="30" max="30" width="7.6640625" customWidth="1"/>
    <col min="31" max="63" width="4.6640625" customWidth="1"/>
  </cols>
  <sheetData>
    <row r="1" spans="1:24" ht="18">
      <c r="A1" s="56" t="s">
        <v>471</v>
      </c>
    </row>
    <row r="4" spans="1:24">
      <c r="A4" s="1" t="s">
        <v>470</v>
      </c>
      <c r="B4" s="74"/>
      <c r="C4" s="74" t="s">
        <v>476</v>
      </c>
      <c r="E4" s="74"/>
      <c r="F4" s="74"/>
      <c r="H4" s="74"/>
      <c r="I4" s="74"/>
      <c r="J4" s="74"/>
      <c r="K4" s="74"/>
      <c r="L4" s="74"/>
      <c r="M4" s="74"/>
      <c r="N4" s="74"/>
      <c r="O4" s="74"/>
    </row>
    <row r="5" spans="1:24">
      <c r="A5" s="74" t="s">
        <v>504</v>
      </c>
      <c r="B5" s="74"/>
      <c r="C5" s="74" t="s">
        <v>510</v>
      </c>
      <c r="E5" s="74"/>
      <c r="F5" s="74"/>
      <c r="H5" s="74"/>
      <c r="I5" s="74"/>
      <c r="J5" s="74"/>
      <c r="K5" s="1"/>
      <c r="L5" s="74"/>
      <c r="M5" s="74"/>
      <c r="N5" s="74"/>
      <c r="O5" s="1"/>
    </row>
    <row r="6" spans="1:24">
      <c r="A6" s="74" t="s">
        <v>505</v>
      </c>
      <c r="B6" s="74"/>
      <c r="C6" s="74" t="s">
        <v>556</v>
      </c>
      <c r="D6" s="74"/>
      <c r="E6" s="74"/>
      <c r="F6" s="74"/>
      <c r="G6" s="74"/>
      <c r="H6" s="74"/>
      <c r="I6" s="74"/>
      <c r="J6" s="74"/>
      <c r="K6" s="74"/>
      <c r="L6" s="74"/>
      <c r="M6" s="74"/>
      <c r="N6" s="74"/>
      <c r="O6" s="74"/>
    </row>
    <row r="7" spans="1:24">
      <c r="A7" t="s">
        <v>509</v>
      </c>
      <c r="B7" s="74"/>
      <c r="C7" s="74"/>
      <c r="D7" s="74"/>
      <c r="E7" s="74"/>
      <c r="F7" s="74"/>
      <c r="G7" s="74"/>
      <c r="H7" s="74"/>
      <c r="I7" s="74"/>
      <c r="J7" s="74"/>
      <c r="K7" s="74"/>
      <c r="L7" s="74"/>
      <c r="M7" s="74"/>
      <c r="N7" s="74"/>
      <c r="O7" s="74"/>
    </row>
    <row r="8" spans="1:24">
      <c r="A8" s="74" t="s">
        <v>511</v>
      </c>
      <c r="B8" s="74"/>
      <c r="C8" s="74"/>
      <c r="D8" s="74"/>
      <c r="E8" s="74"/>
      <c r="F8" s="74"/>
      <c r="G8" s="74"/>
      <c r="H8" s="74"/>
      <c r="I8" s="74"/>
      <c r="J8" s="74"/>
      <c r="K8" s="74"/>
      <c r="L8" s="74"/>
      <c r="M8" s="74"/>
      <c r="N8" s="74"/>
      <c r="O8" s="74"/>
    </row>
    <row r="9" spans="1:24">
      <c r="A9" s="74"/>
      <c r="B9" s="74"/>
      <c r="C9" s="74"/>
      <c r="D9" s="74"/>
      <c r="E9" s="74"/>
      <c r="F9" s="74"/>
      <c r="G9" s="74"/>
      <c r="H9" s="74"/>
      <c r="I9" s="74"/>
      <c r="J9" s="74"/>
      <c r="K9" s="74"/>
      <c r="L9" s="74"/>
      <c r="M9" s="74"/>
      <c r="N9" s="74"/>
      <c r="O9" s="74"/>
    </row>
    <row r="10" spans="1:24">
      <c r="A10" s="74"/>
    </row>
    <row r="12" spans="1:24" ht="18">
      <c r="A12" s="56" t="s">
        <v>371</v>
      </c>
      <c r="B12" s="74"/>
      <c r="C12" s="74"/>
      <c r="D12" s="74"/>
      <c r="E12" s="74"/>
      <c r="F12" s="74"/>
      <c r="G12" s="74"/>
      <c r="H12" s="74"/>
    </row>
    <row r="13" spans="1:24">
      <c r="A13" s="61" t="s">
        <v>372</v>
      </c>
      <c r="B13" s="74"/>
      <c r="C13" s="74"/>
      <c r="D13" s="74"/>
      <c r="E13" s="74"/>
      <c r="F13" s="74"/>
      <c r="G13" s="74"/>
      <c r="H13" s="74"/>
      <c r="J13" s="252" t="s">
        <v>503</v>
      </c>
      <c r="K13" s="252"/>
      <c r="L13" s="252"/>
      <c r="M13" s="252"/>
      <c r="N13" s="252"/>
      <c r="O13" s="253" t="s">
        <v>513</v>
      </c>
      <c r="P13" s="255" t="s">
        <v>514</v>
      </c>
      <c r="Q13" s="282" t="s">
        <v>515</v>
      </c>
      <c r="R13" s="282"/>
      <c r="S13" s="282"/>
      <c r="T13" s="282"/>
      <c r="U13" s="282"/>
      <c r="V13" s="282"/>
    </row>
    <row r="14" spans="1:24">
      <c r="A14" s="126" t="s">
        <v>66</v>
      </c>
      <c r="B14" s="126" t="s">
        <v>472</v>
      </c>
      <c r="C14" s="49" t="s">
        <v>292</v>
      </c>
      <c r="D14" s="49" t="s">
        <v>292</v>
      </c>
      <c r="E14" s="247" t="s">
        <v>292</v>
      </c>
      <c r="F14" s="49" t="s">
        <v>266</v>
      </c>
      <c r="G14" s="49" t="s">
        <v>296</v>
      </c>
      <c r="H14" s="49" t="s">
        <v>296</v>
      </c>
      <c r="I14" s="49" t="s">
        <v>296</v>
      </c>
      <c r="J14" s="138" t="s">
        <v>474</v>
      </c>
      <c r="M14" s="1" t="s">
        <v>475</v>
      </c>
      <c r="Q14" s="1" t="s">
        <v>501</v>
      </c>
      <c r="R14" s="1"/>
      <c r="S14" s="1"/>
      <c r="T14" s="1" t="s">
        <v>502</v>
      </c>
      <c r="U14" s="1"/>
      <c r="V14" s="1"/>
      <c r="X14" t="s">
        <v>557</v>
      </c>
    </row>
    <row r="15" spans="1:24">
      <c r="A15" s="127" t="s">
        <v>302</v>
      </c>
      <c r="B15" s="127" t="s">
        <v>473</v>
      </c>
      <c r="C15" s="48" t="s">
        <v>293</v>
      </c>
      <c r="D15" s="48" t="s">
        <v>294</v>
      </c>
      <c r="E15" s="248" t="s">
        <v>295</v>
      </c>
      <c r="F15" s="48" t="s">
        <v>368</v>
      </c>
      <c r="G15" s="48" t="s">
        <v>293</v>
      </c>
      <c r="H15" s="48" t="s">
        <v>294</v>
      </c>
      <c r="I15" s="48" t="s">
        <v>295</v>
      </c>
      <c r="J15" s="75" t="s">
        <v>464</v>
      </c>
      <c r="K15" s="75" t="s">
        <v>465</v>
      </c>
      <c r="L15" s="75" t="s">
        <v>466</v>
      </c>
      <c r="M15" s="75" t="s">
        <v>467</v>
      </c>
      <c r="N15" s="75" t="s">
        <v>468</v>
      </c>
      <c r="O15" s="75" t="s">
        <v>469</v>
      </c>
      <c r="P15" s="75" t="s">
        <v>506</v>
      </c>
      <c r="Q15" s="75" t="s">
        <v>263</v>
      </c>
      <c r="R15" s="249" t="s">
        <v>264</v>
      </c>
      <c r="S15" s="75" t="s">
        <v>265</v>
      </c>
      <c r="T15" s="75" t="s">
        <v>263</v>
      </c>
      <c r="U15" s="249" t="s">
        <v>264</v>
      </c>
      <c r="V15" s="75" t="s">
        <v>265</v>
      </c>
      <c r="X15" s="75" t="s">
        <v>512</v>
      </c>
    </row>
    <row r="16" spans="1:24">
      <c r="A16" s="52">
        <v>2004</v>
      </c>
      <c r="B16" s="244">
        <f>S.smolt!B7*S.smolt!O16</f>
        <v>13863.814</v>
      </c>
      <c r="C16" s="26">
        <f>S.AdOcn!N24</f>
        <v>361.84554539999999</v>
      </c>
      <c r="D16" s="26">
        <f>S.AdOcn!O24</f>
        <v>235.74785533636367</v>
      </c>
      <c r="E16" s="26">
        <f>S.AdOcn!P24</f>
        <v>5.4825082636363636</v>
      </c>
      <c r="F16" s="123">
        <f>S.AdOcn!M24</f>
        <v>603.07590900000002</v>
      </c>
      <c r="G16" s="18">
        <f>C16/SUM($C16:$E16)</f>
        <v>0.59999999999999987</v>
      </c>
      <c r="H16" s="18">
        <f>D16/SUM($C16:$E16)</f>
        <v>0.39090909090909087</v>
      </c>
      <c r="I16" s="18">
        <f>E16/SUM($C16:$E16)</f>
        <v>9.0909090909090887E-3</v>
      </c>
      <c r="J16" s="251">
        <v>0.10330746045360135</v>
      </c>
      <c r="K16" s="251">
        <v>0.23105114516382433</v>
      </c>
      <c r="L16" s="251">
        <v>0.47472396288714719</v>
      </c>
      <c r="M16" s="251">
        <v>0.2526568298543635</v>
      </c>
      <c r="N16" s="251">
        <v>0.95330696495719924</v>
      </c>
      <c r="O16" s="254">
        <v>1</v>
      </c>
      <c r="P16">
        <f>IF(AND(J16&lt;K16,K16&lt;L16),1,0)</f>
        <v>1</v>
      </c>
      <c r="Q16" s="38">
        <f>B16*J16*M16</f>
        <v>361.86405994841431</v>
      </c>
      <c r="R16" s="38">
        <f>(B16*J16-Q16)*K16*N16</f>
        <v>235.76284855534962</v>
      </c>
      <c r="S16" s="38">
        <f>((B16*J16-Q16)*K16-R16)*L16*O16</f>
        <v>5.4819600015641221</v>
      </c>
      <c r="T16" s="38">
        <f>Q16/C16</f>
        <v>1.0000511669927947</v>
      </c>
      <c r="U16" s="38">
        <f>R16/D16</f>
        <v>1.0000635985382118</v>
      </c>
      <c r="V16" s="38">
        <f>S16/E16</f>
        <v>0.99989999794877138</v>
      </c>
      <c r="X16" s="38">
        <f>SUM(Q16:S16)/B16/S.AdOcn!E5</f>
        <v>1.0000546523328762</v>
      </c>
    </row>
    <row r="17" spans="1:30">
      <c r="A17" s="52">
        <v>2005</v>
      </c>
      <c r="B17" s="244">
        <f>S.smolt!B8*S.smolt!O17</f>
        <v>14085.748868421053</v>
      </c>
      <c r="C17" s="26">
        <f>S.AdOcn!N25</f>
        <v>271.94032133548649</v>
      </c>
      <c r="D17" s="26">
        <f>S.AdOcn!O25</f>
        <v>118.23492231977671</v>
      </c>
      <c r="E17" s="246">
        <v>1E-4</v>
      </c>
      <c r="F17" s="123">
        <f>S.AdOcn!M25</f>
        <v>390.17524365526316</v>
      </c>
      <c r="G17" s="18">
        <f t="shared" ref="G17:G23" si="0">C17/SUM($C17:$E17)</f>
        <v>0.69696951833983012</v>
      </c>
      <c r="H17" s="18">
        <f t="shared" ref="H17:H23" si="1">D17/SUM($C17:$E17)</f>
        <v>0.30303022536514351</v>
      </c>
      <c r="I17" s="18">
        <f t="shared" ref="I17:I23" si="2">E17/SUM($C17:$E17)</f>
        <v>2.5629502639293974E-7</v>
      </c>
      <c r="J17" s="251">
        <v>6.7263301300171677E-2</v>
      </c>
      <c r="K17" s="251">
        <v>0.17500543485156755</v>
      </c>
      <c r="L17" s="251">
        <v>0.45430339712749412</v>
      </c>
      <c r="M17" s="251">
        <v>0.28699349610945618</v>
      </c>
      <c r="N17" s="296">
        <v>0.99999813793732195</v>
      </c>
      <c r="O17" s="254">
        <v>1</v>
      </c>
      <c r="P17" s="74">
        <f t="shared" ref="P17:P23" si="3">IF(AND(J17&lt;K17,K17&lt;L17),1,0)</f>
        <v>1</v>
      </c>
      <c r="Q17" s="38">
        <f t="shared" ref="Q17:Q23" si="4">B17*J17*M17</f>
        <v>271.91312730335289</v>
      </c>
      <c r="R17" s="38">
        <f t="shared" ref="R17:R23" si="5">(B17*J17-Q17)*K17*N17</f>
        <v>118.22309882754472</v>
      </c>
      <c r="S17" s="38">
        <f t="shared" ref="S17:S23" si="6">((B17*J17-Q17)*K17-R17)*L17*O17</f>
        <v>1.0000999999556884E-4</v>
      </c>
      <c r="T17" s="38">
        <f t="shared" ref="T17:T23" si="7">Q17/C17</f>
        <v>0.99989999999999979</v>
      </c>
      <c r="U17" s="38">
        <f t="shared" ref="U17:U23" si="8">R17/D17</f>
        <v>0.99989999999999979</v>
      </c>
      <c r="V17" s="38">
        <f t="shared" ref="V17:V23" si="9">S17/E17</f>
        <v>1.0000999999556883</v>
      </c>
      <c r="X17" s="38">
        <f>SUM(Q17:S17)/B17/S.AdOcn!E6</f>
        <v>0.99990025632072155</v>
      </c>
    </row>
    <row r="18" spans="1:30">
      <c r="A18" s="28">
        <v>2006</v>
      </c>
      <c r="B18" s="245">
        <f>S.smolt!B9*S.smolt!O18</f>
        <v>20152.102371428573</v>
      </c>
      <c r="C18" s="26">
        <f>S.AdOcn!N26</f>
        <v>443.03137557187506</v>
      </c>
      <c r="D18" s="26">
        <f>S.AdOcn!O26</f>
        <v>232.06405387098218</v>
      </c>
      <c r="E18" s="246">
        <v>1E-4</v>
      </c>
      <c r="F18" s="26">
        <f>S.AdOcn!M26</f>
        <v>675.09542944285727</v>
      </c>
      <c r="G18" s="18">
        <f t="shared" si="0"/>
        <v>0.65624990279153517</v>
      </c>
      <c r="H18" s="18">
        <f t="shared" si="1"/>
        <v>0.34374994908128037</v>
      </c>
      <c r="I18" s="18">
        <f t="shared" si="2"/>
        <v>1.4812718443348009E-7</v>
      </c>
      <c r="J18" s="251">
        <v>7.5625986573451709E-2</v>
      </c>
      <c r="K18" s="251">
        <v>0.21464702584722145</v>
      </c>
      <c r="L18" s="251">
        <v>0.45796835128270419</v>
      </c>
      <c r="M18" s="251">
        <v>0.29066961713153744</v>
      </c>
      <c r="N18" s="296">
        <v>0.99999905888410345</v>
      </c>
      <c r="O18" s="254">
        <v>1</v>
      </c>
      <c r="P18" s="74">
        <f t="shared" si="3"/>
        <v>1</v>
      </c>
      <c r="Q18" s="38">
        <f t="shared" si="4"/>
        <v>442.98707243431784</v>
      </c>
      <c r="R18" s="38">
        <f t="shared" si="5"/>
        <v>232.04084746559505</v>
      </c>
      <c r="S18" s="38">
        <f t="shared" si="6"/>
        <v>1.0000999998286741E-4</v>
      </c>
      <c r="T18" s="38">
        <f t="shared" si="7"/>
        <v>0.9998999999999999</v>
      </c>
      <c r="U18" s="38">
        <f t="shared" si="8"/>
        <v>0.9998999999999999</v>
      </c>
      <c r="V18" s="38">
        <f t="shared" si="9"/>
        <v>1.0000999998286741</v>
      </c>
      <c r="X18" s="38">
        <f>SUM(Q18:S18)/B18/S.AdOcn!E7</f>
        <v>0.999900148142019</v>
      </c>
    </row>
    <row r="19" spans="1:30">
      <c r="A19" s="28">
        <v>2007</v>
      </c>
      <c r="B19" s="245">
        <f>S.smolt!B10*S.smolt!O19</f>
        <v>17893.306730769229</v>
      </c>
      <c r="C19" s="26">
        <f>S.AdOcn!N27</f>
        <v>1151.395389632107</v>
      </c>
      <c r="D19" s="26">
        <f>S.AdOcn!O27</f>
        <v>423.21560267558533</v>
      </c>
      <c r="E19" s="246">
        <v>1E-4</v>
      </c>
      <c r="F19" s="26">
        <f>S.AdOcn!M27</f>
        <v>1574.6109923076924</v>
      </c>
      <c r="G19" s="18">
        <f t="shared" si="0"/>
        <v>0.7312252500042179</v>
      </c>
      <c r="H19" s="18">
        <f t="shared" si="1"/>
        <v>0.26877468648803687</v>
      </c>
      <c r="I19" s="18">
        <f t="shared" si="2"/>
        <v>6.3507745174996613E-8</v>
      </c>
      <c r="J19" s="251">
        <v>0.1640932294064775</v>
      </c>
      <c r="K19" s="251">
        <v>0.23715889325049919</v>
      </c>
      <c r="L19" s="251">
        <v>0.47063339374648011</v>
      </c>
      <c r="M19" s="251">
        <v>0.39216613881221907</v>
      </c>
      <c r="N19" s="296">
        <v>0.99999949794058507</v>
      </c>
      <c r="O19" s="254">
        <v>1</v>
      </c>
      <c r="P19" s="74">
        <f t="shared" si="3"/>
        <v>1</v>
      </c>
      <c r="Q19" s="38">
        <f t="shared" si="4"/>
        <v>1151.4666424723846</v>
      </c>
      <c r="R19" s="38">
        <f t="shared" si="5"/>
        <v>423.25817586047845</v>
      </c>
      <c r="S19" s="38">
        <f t="shared" si="6"/>
        <v>1.0001000036157854E-4</v>
      </c>
      <c r="T19" s="38">
        <f t="shared" si="7"/>
        <v>1.0000618839027142</v>
      </c>
      <c r="U19" s="38">
        <f t="shared" si="8"/>
        <v>1.0001005945542272</v>
      </c>
      <c r="V19" s="38">
        <f t="shared" si="9"/>
        <v>1.0001000036157852</v>
      </c>
      <c r="X19" s="38">
        <f>SUM(Q19:S19)/B19/S.AdOcn!E8</f>
        <v>1.0000723518606993</v>
      </c>
      <c r="AD19" t="s">
        <v>680</v>
      </c>
    </row>
    <row r="20" spans="1:30">
      <c r="A20" s="28">
        <v>2008</v>
      </c>
      <c r="B20" s="245">
        <f>S.smolt!B11*S.smolt!O20</f>
        <v>5960.4393600000003</v>
      </c>
      <c r="C20" s="26">
        <f>S.AdOcn!N28</f>
        <v>417.50599841885349</v>
      </c>
      <c r="D20" s="26">
        <f>S.AdOcn!O28</f>
        <v>192.2469481091465</v>
      </c>
      <c r="E20" s="246">
        <v>1E-4</v>
      </c>
      <c r="F20" s="26">
        <f>S.AdOcn!M28</f>
        <v>609.75294652800005</v>
      </c>
      <c r="G20" s="18">
        <f t="shared" si="0"/>
        <v>0.68471326350262296</v>
      </c>
      <c r="H20" s="18">
        <f t="shared" si="1"/>
        <v>0.31528657249655662</v>
      </c>
      <c r="I20" s="18">
        <f t="shared" si="2"/>
        <v>1.6400082060993524E-7</v>
      </c>
      <c r="J20" s="251">
        <v>0.17867078999802163</v>
      </c>
      <c r="K20" s="251">
        <v>0.29693840430194512</v>
      </c>
      <c r="L20" s="251">
        <v>0.47310495997418683</v>
      </c>
      <c r="M20" s="251">
        <v>0.39200350265023026</v>
      </c>
      <c r="N20" s="296">
        <v>0.99999890052173901</v>
      </c>
      <c r="O20" s="254">
        <v>1</v>
      </c>
      <c r="P20" s="74">
        <f t="shared" si="3"/>
        <v>1</v>
      </c>
      <c r="Q20" s="38">
        <f t="shared" si="4"/>
        <v>417.46664257092084</v>
      </c>
      <c r="R20" s="38">
        <f t="shared" si="5"/>
        <v>192.26436670994568</v>
      </c>
      <c r="S20" s="38">
        <f t="shared" si="6"/>
        <v>1.0001000001231433E-4</v>
      </c>
      <c r="T20" s="38">
        <f t="shared" si="7"/>
        <v>0.99990573585030706</v>
      </c>
      <c r="U20" s="38">
        <f t="shared" si="8"/>
        <v>1.0000906053436505</v>
      </c>
      <c r="V20" s="38">
        <f t="shared" si="9"/>
        <v>1.0001000001231433</v>
      </c>
      <c r="X20" s="38">
        <f>SUM(Q20:S20)/B20/S.AdOcn!E9</f>
        <v>0.99996418674602905</v>
      </c>
      <c r="AA20" t="s">
        <v>678</v>
      </c>
      <c r="AD20" t="s">
        <v>679</v>
      </c>
    </row>
    <row r="21" spans="1:30">
      <c r="A21" s="28">
        <v>2009</v>
      </c>
      <c r="B21" s="245">
        <f>S.smolt!B12*S.smolt!O21</f>
        <v>11152.788480000001</v>
      </c>
      <c r="C21" s="26">
        <f>S.AdOcn!N29</f>
        <v>462.62449438824501</v>
      </c>
      <c r="D21" s="26">
        <f>S.AdOcn!O29</f>
        <v>388.43000000522454</v>
      </c>
      <c r="E21" s="26">
        <f>S.AdOcn!P29</f>
        <v>4.364382022530612</v>
      </c>
      <c r="F21" s="26">
        <f>S.AdOcn!M29</f>
        <v>855.4188764160001</v>
      </c>
      <c r="G21" s="18">
        <f t="shared" si="0"/>
        <v>0.54081632653061229</v>
      </c>
      <c r="H21" s="18">
        <f t="shared" si="1"/>
        <v>0.45408163265306117</v>
      </c>
      <c r="I21" s="18">
        <f t="shared" si="2"/>
        <v>5.1020408163265293E-3</v>
      </c>
      <c r="J21" s="251">
        <v>0.15108155185406252</v>
      </c>
      <c r="K21" s="251">
        <v>0.32524692778012415</v>
      </c>
      <c r="L21" s="251">
        <v>0.48008440298778399</v>
      </c>
      <c r="M21" s="251">
        <v>0.27457990630377466</v>
      </c>
      <c r="N21" s="251">
        <v>0.97713537710962173</v>
      </c>
      <c r="O21" s="254">
        <v>1</v>
      </c>
      <c r="P21" s="74">
        <f t="shared" si="3"/>
        <v>1</v>
      </c>
      <c r="Q21" s="38">
        <f t="shared" si="4"/>
        <v>462.66181281652484</v>
      </c>
      <c r="R21" s="38">
        <f t="shared" si="5"/>
        <v>388.4654724658389</v>
      </c>
      <c r="S21" s="38">
        <f t="shared" si="6"/>
        <v>4.3639455835091017</v>
      </c>
      <c r="T21" s="38">
        <f t="shared" si="7"/>
        <v>1.0000806667799318</v>
      </c>
      <c r="U21" s="38">
        <f t="shared" si="8"/>
        <v>1.0000913226594597</v>
      </c>
      <c r="V21" s="38">
        <f t="shared" si="9"/>
        <v>0.99989999981228561</v>
      </c>
      <c r="X21" s="38">
        <f>SUM(Q21:S21)/B21/S.AdOcn!E10</f>
        <v>1.0000845836488621</v>
      </c>
      <c r="Z21">
        <v>1000</v>
      </c>
      <c r="AA21" s="26">
        <f>Z21*J25*M25</f>
        <v>35.072796095658227</v>
      </c>
      <c r="AB21" s="26">
        <f>Z21*J25*(1-M25)*K25*N25</f>
        <v>18.75560202934895</v>
      </c>
      <c r="AC21" s="26">
        <f>Z21*J25*(1-M25)*K25*(1-N25)*L25</f>
        <v>0.1301136891527491</v>
      </c>
      <c r="AD21" s="420">
        <f>SUM(AA21:AC21)/Z21</f>
        <v>5.3958511814159928E-2</v>
      </c>
    </row>
    <row r="22" spans="1:30">
      <c r="A22" s="28">
        <v>2010</v>
      </c>
      <c r="B22" s="245">
        <f>S.smolt!B13*S.smolt!O22</f>
        <v>22027.950476190475</v>
      </c>
      <c r="C22" s="26">
        <f>S.AdOcn!N30</f>
        <v>876.757847406971</v>
      </c>
      <c r="D22" s="26">
        <f>S.AdOcn!O30</f>
        <v>455.63793644771727</v>
      </c>
      <c r="E22" s="26">
        <f>S.AdOcn!P30</f>
        <v>6.9036050976926848</v>
      </c>
      <c r="F22" s="26">
        <f>S.AdOcn!M30</f>
        <v>1339.2993889523809</v>
      </c>
      <c r="G22" s="18">
        <f t="shared" si="0"/>
        <v>0.65463917525773196</v>
      </c>
      <c r="H22" s="18">
        <f t="shared" si="1"/>
        <v>0.34020618556701032</v>
      </c>
      <c r="I22" s="18">
        <f t="shared" si="2"/>
        <v>5.1546391752577319E-3</v>
      </c>
      <c r="J22" s="251">
        <v>0.1284481107193067</v>
      </c>
      <c r="K22" s="251">
        <v>0.24080779212933828</v>
      </c>
      <c r="L22" s="251">
        <v>0.47494341931196044</v>
      </c>
      <c r="M22" s="251">
        <v>0.30989327958764468</v>
      </c>
      <c r="N22" s="251">
        <v>0.9690897847478277</v>
      </c>
      <c r="O22" s="254">
        <v>1</v>
      </c>
      <c r="P22" s="74">
        <f t="shared" si="3"/>
        <v>1</v>
      </c>
      <c r="Q22" s="38">
        <f t="shared" si="4"/>
        <v>876.82711279874252</v>
      </c>
      <c r="R22" s="38">
        <f t="shared" si="5"/>
        <v>455.67229108192339</v>
      </c>
      <c r="S22" s="38">
        <f t="shared" si="6"/>
        <v>6.9029147311061578</v>
      </c>
      <c r="T22" s="38">
        <f t="shared" si="7"/>
        <v>1.000079001735743</v>
      </c>
      <c r="U22" s="38">
        <f t="shared" si="8"/>
        <v>1.0000753989768147</v>
      </c>
      <c r="V22" s="38">
        <f t="shared" si="9"/>
        <v>0.99989999911977034</v>
      </c>
      <c r="X22" s="38">
        <f>SUM(Q22:S22)/B22/S.AdOcn!E11</f>
        <v>1.0000768533609736</v>
      </c>
      <c r="AA22" s="73">
        <f>AA21/SUM(AA21:AC21)</f>
        <v>0.64999561545458218</v>
      </c>
      <c r="AB22" s="73">
        <f>AB21/SUM(AA21:AC21)</f>
        <v>0.34759301913191493</v>
      </c>
      <c r="AC22" s="73">
        <f>1-AB22-AA22</f>
        <v>2.4113654135028417E-3</v>
      </c>
    </row>
    <row r="23" spans="1:30" ht="16.2">
      <c r="A23" s="23" t="s">
        <v>297</v>
      </c>
      <c r="B23" s="145">
        <f>S.smolt!B14*S.smolt!O23</f>
        <v>15169.830540540539</v>
      </c>
      <c r="C23" s="124">
        <f>S.AdOcn!N31</f>
        <v>187.72351142296992</v>
      </c>
      <c r="D23" s="124">
        <f>S.AdOcn!O31</f>
        <v>107.27057795598282</v>
      </c>
      <c r="E23" s="125">
        <f>S.AdOcn!P31</f>
        <v>0.81760616158771537</v>
      </c>
      <c r="F23" s="124">
        <f>S.AdOcn!M31</f>
        <v>295.81169554054048</v>
      </c>
      <c r="G23" s="54">
        <f t="shared" si="0"/>
        <v>0.63460476462886428</v>
      </c>
      <c r="H23" s="54">
        <f t="shared" si="1"/>
        <v>0.36263129407363676</v>
      </c>
      <c r="I23" s="55">
        <f t="shared" si="2"/>
        <v>2.7639412974990504E-3</v>
      </c>
      <c r="J23" s="251">
        <v>5.1183476618326201E-2</v>
      </c>
      <c r="K23" s="251">
        <v>0.18524625766635858</v>
      </c>
      <c r="L23" s="251">
        <v>0.45367174552315059</v>
      </c>
      <c r="M23" s="251">
        <v>0.2417490223112902</v>
      </c>
      <c r="N23" s="251">
        <v>0.98347710822288748</v>
      </c>
      <c r="O23" s="254">
        <v>1</v>
      </c>
      <c r="P23" s="74">
        <f t="shared" si="3"/>
        <v>1</v>
      </c>
      <c r="Q23" s="38">
        <f t="shared" si="4"/>
        <v>187.7047390718476</v>
      </c>
      <c r="R23" s="38">
        <f t="shared" si="5"/>
        <v>107.25985089821712</v>
      </c>
      <c r="S23" s="38">
        <f t="shared" si="6"/>
        <v>0.8175244009562912</v>
      </c>
      <c r="T23" s="38">
        <f t="shared" si="7"/>
        <v>0.99990000000010637</v>
      </c>
      <c r="U23" s="38">
        <f t="shared" si="8"/>
        <v>0.99990000000027879</v>
      </c>
      <c r="V23" s="38">
        <f t="shared" si="9"/>
        <v>0.99989999998132917</v>
      </c>
      <c r="X23" s="38">
        <f>SUM(Q23:S23)/B23/S.AdOcn!E12</f>
        <v>0.99990000000011692</v>
      </c>
    </row>
    <row r="25" spans="1:30" ht="18">
      <c r="I25" t="s">
        <v>320</v>
      </c>
      <c r="J25" s="397">
        <f t="shared" ref="J25:O25" si="10">AVERAGE(J16:J23)</f>
        <v>0.11495923836542742</v>
      </c>
      <c r="K25" s="397">
        <f t="shared" si="10"/>
        <v>0.23826273512385984</v>
      </c>
      <c r="L25" s="397">
        <f t="shared" si="10"/>
        <v>0.46742920410511341</v>
      </c>
      <c r="M25" s="397">
        <f t="shared" si="10"/>
        <v>0.30508897409506447</v>
      </c>
      <c r="N25" s="397">
        <f t="shared" si="10"/>
        <v>0.98537560379016065</v>
      </c>
      <c r="O25" s="397">
        <f t="shared" si="10"/>
        <v>1</v>
      </c>
      <c r="P25" s="295">
        <f>SUM(P16:P23)</f>
        <v>8</v>
      </c>
      <c r="Q25" s="295" t="s">
        <v>507</v>
      </c>
      <c r="R25" s="295"/>
      <c r="S25" s="250"/>
      <c r="T25" s="294">
        <f>SUM(T16:V23)</f>
        <v>23.999999975719689</v>
      </c>
      <c r="U25" s="295" t="s">
        <v>508</v>
      </c>
      <c r="V25" s="295"/>
      <c r="W25" s="295"/>
      <c r="X25" s="295"/>
    </row>
    <row r="26" spans="1:30">
      <c r="I26" t="s">
        <v>586</v>
      </c>
      <c r="J26" s="18">
        <f t="shared" ref="J26:O26" si="11">STDEV(J16:J23)</f>
        <v>4.7787028903845126E-2</v>
      </c>
      <c r="K26" s="18">
        <f t="shared" si="11"/>
        <v>5.1323513661216791E-2</v>
      </c>
      <c r="L26" s="18">
        <f t="shared" si="11"/>
        <v>1.0442866616167158E-2</v>
      </c>
      <c r="M26" s="18">
        <f t="shared" si="11"/>
        <v>5.7801255397047092E-2</v>
      </c>
      <c r="N26" s="18">
        <f t="shared" si="11"/>
        <v>1.7810487082599975E-2</v>
      </c>
      <c r="O26" s="18">
        <f t="shared" si="11"/>
        <v>0</v>
      </c>
    </row>
    <row r="27" spans="1:30">
      <c r="I27" t="s">
        <v>587</v>
      </c>
      <c r="J27" s="141">
        <f t="shared" ref="J27:O27" si="12">J26/J25</f>
        <v>0.41568672151377517</v>
      </c>
      <c r="K27" s="141">
        <f t="shared" si="12"/>
        <v>0.2154072210853136</v>
      </c>
      <c r="L27" s="141">
        <f t="shared" si="12"/>
        <v>2.2341065822277573E-2</v>
      </c>
      <c r="M27" s="141">
        <f t="shared" si="12"/>
        <v>0.18945704468178015</v>
      </c>
      <c r="N27" s="141">
        <f t="shared" si="12"/>
        <v>1.8074820417811749E-2</v>
      </c>
      <c r="O27" s="141">
        <f t="shared" si="12"/>
        <v>0</v>
      </c>
    </row>
    <row r="32" spans="1:30" s="7" customFormat="1">
      <c r="A32" s="7" t="s">
        <v>516</v>
      </c>
    </row>
    <row r="33" spans="1:66" s="7" customFormat="1">
      <c r="A33" s="7" t="s">
        <v>489</v>
      </c>
    </row>
    <row r="34" spans="1:66" s="7" customFormat="1">
      <c r="A34" s="7" t="s">
        <v>488</v>
      </c>
      <c r="N34" s="7" t="s">
        <v>495</v>
      </c>
      <c r="T34" s="7" t="s">
        <v>497</v>
      </c>
    </row>
    <row r="35" spans="1:66" s="7" customFormat="1">
      <c r="A35" s="283" t="s">
        <v>302</v>
      </c>
      <c r="B35" s="283" t="s">
        <v>485</v>
      </c>
      <c r="C35" s="284" t="s">
        <v>493</v>
      </c>
      <c r="D35" s="283" t="s">
        <v>477</v>
      </c>
      <c r="E35" s="283" t="s">
        <v>483</v>
      </c>
      <c r="F35" s="283" t="s">
        <v>484</v>
      </c>
      <c r="G35" s="283" t="s">
        <v>478</v>
      </c>
      <c r="H35" s="283" t="s">
        <v>479</v>
      </c>
      <c r="I35" s="283" t="s">
        <v>490</v>
      </c>
      <c r="J35" s="283" t="s">
        <v>480</v>
      </c>
      <c r="K35" s="283" t="s">
        <v>481</v>
      </c>
      <c r="L35" s="283" t="s">
        <v>482</v>
      </c>
      <c r="M35" s="283" t="s">
        <v>487</v>
      </c>
      <c r="N35" s="283" t="s">
        <v>486</v>
      </c>
      <c r="O35" s="283" t="s">
        <v>491</v>
      </c>
      <c r="P35" s="283" t="s">
        <v>492</v>
      </c>
      <c r="Q35" s="285" t="s">
        <v>498</v>
      </c>
      <c r="R35" s="285" t="s">
        <v>499</v>
      </c>
      <c r="S35" s="285" t="s">
        <v>500</v>
      </c>
      <c r="T35" s="286">
        <v>1</v>
      </c>
      <c r="U35" s="287">
        <v>2</v>
      </c>
      <c r="V35" s="287">
        <v>3</v>
      </c>
      <c r="W35" s="286">
        <v>4</v>
      </c>
      <c r="X35" s="287">
        <v>5</v>
      </c>
      <c r="Y35" s="287">
        <v>6</v>
      </c>
      <c r="Z35" s="286">
        <v>7</v>
      </c>
      <c r="AA35" s="287">
        <v>8</v>
      </c>
      <c r="AB35" s="287">
        <v>9</v>
      </c>
      <c r="AC35" s="286">
        <v>10</v>
      </c>
      <c r="AD35" s="287">
        <v>11</v>
      </c>
      <c r="AE35" s="287">
        <v>12</v>
      </c>
      <c r="AF35" s="286">
        <v>13</v>
      </c>
      <c r="AG35" s="287">
        <v>14</v>
      </c>
      <c r="AH35" s="287">
        <v>15</v>
      </c>
      <c r="AI35" s="286">
        <v>16</v>
      </c>
      <c r="AJ35" s="287">
        <v>17</v>
      </c>
      <c r="AK35" s="287">
        <v>18</v>
      </c>
      <c r="AL35" s="286">
        <v>19</v>
      </c>
      <c r="AM35" s="287">
        <v>20</v>
      </c>
      <c r="AN35" s="287">
        <v>21</v>
      </c>
      <c r="AO35" s="286">
        <v>22</v>
      </c>
      <c r="AP35" s="287">
        <v>23</v>
      </c>
      <c r="AQ35" s="287">
        <v>24</v>
      </c>
      <c r="AR35" s="286">
        <v>25</v>
      </c>
      <c r="AS35" s="287">
        <v>26</v>
      </c>
      <c r="AT35" s="287">
        <v>27</v>
      </c>
      <c r="AU35" s="286">
        <v>28</v>
      </c>
      <c r="AV35" s="287">
        <v>29</v>
      </c>
      <c r="AW35" s="287">
        <v>30</v>
      </c>
      <c r="AX35" s="286">
        <v>31</v>
      </c>
      <c r="AY35" s="287">
        <v>32</v>
      </c>
      <c r="AZ35" s="287">
        <v>33</v>
      </c>
      <c r="BA35" s="286">
        <v>34</v>
      </c>
      <c r="BB35" s="287">
        <v>35</v>
      </c>
      <c r="BC35" s="287">
        <v>36</v>
      </c>
      <c r="BD35" s="285"/>
      <c r="BG35" s="285"/>
      <c r="BN35" s="285"/>
    </row>
    <row r="36" spans="1:66" s="7" customFormat="1">
      <c r="A36" s="121">
        <f>A16</f>
        <v>2004</v>
      </c>
      <c r="B36" s="288">
        <f t="shared" ref="B36:B43" si="13">N36-O36-P36</f>
        <v>5.4830315677018007</v>
      </c>
      <c r="C36" s="289">
        <f>B36/D36</f>
        <v>1.0000954497540675</v>
      </c>
      <c r="D36" s="288">
        <f>E16</f>
        <v>5.4825082636363636</v>
      </c>
      <c r="E36" s="290">
        <f>D16</f>
        <v>235.74785533636367</v>
      </c>
      <c r="F36" s="290">
        <f>C16</f>
        <v>361.84554539999999</v>
      </c>
      <c r="G36" s="291">
        <f>B16</f>
        <v>13863.814</v>
      </c>
      <c r="H36" s="7">
        <v>0.22824433223572002</v>
      </c>
      <c r="I36" s="7">
        <v>0</v>
      </c>
      <c r="J36" s="7">
        <v>36</v>
      </c>
      <c r="K36" s="7">
        <v>24</v>
      </c>
      <c r="L36" s="7">
        <v>12</v>
      </c>
      <c r="M36" s="7">
        <f>1/(J36+I36)</f>
        <v>2.7777777777777776E-2</v>
      </c>
      <c r="N36" s="290">
        <f>G36*EXP(-H36*((J36/2)*(2-(J36-1)*M36)+I36*(1-J36*M36)))</f>
        <v>203.26636644548424</v>
      </c>
      <c r="O36" s="290">
        <f>F36*EXP(-H36*((1-I36)*(1-L36*M36)+((J36-L36-1)/2)*(2-(L36+J36)*M36)+I36*(1-J36*M36)))</f>
        <v>54.01065536354546</v>
      </c>
      <c r="P36" s="290">
        <f>E36*EXP(-H36*((1-I36)*(1-K36*M36)+(J36-K36-1)/2*(2-(K36+J36)*M36)+I36*(1-J36*M36)))</f>
        <v>143.77267951423698</v>
      </c>
      <c r="Q36" s="292">
        <f>F36/(G36*EXP(-H36*(L36/2*(2-(L36-1)*M36)+I36*(1-L36*M36))))</f>
        <v>0.26571368548584273</v>
      </c>
      <c r="R36" s="292">
        <f>E36/(G36*EXP(-H36*((K36/2)*(2-(K36-1)*M36)+I36*(1-K36*M36)))-F36*EXP(-H36*((1-I36)*(1-L36*M36)+((K36-L36-1)/2)*(2-(L36+K36)*M36+I36*(1-K36*M36)))))</f>
        <v>0.96326417576951773</v>
      </c>
      <c r="S36" s="12">
        <v>1</v>
      </c>
      <c r="T36" s="289">
        <f t="shared" ref="T36:AC43" si="14">$H36*(1-(T$35-1)*$M36)</f>
        <v>0.22824433223572002</v>
      </c>
      <c r="U36" s="289">
        <f t="shared" si="14"/>
        <v>0.22190421189583889</v>
      </c>
      <c r="V36" s="289">
        <f t="shared" si="14"/>
        <v>0.21556409155595779</v>
      </c>
      <c r="W36" s="289">
        <f t="shared" si="14"/>
        <v>0.20922397121607667</v>
      </c>
      <c r="X36" s="289">
        <f t="shared" si="14"/>
        <v>0.20288385087619557</v>
      </c>
      <c r="Y36" s="289">
        <f t="shared" si="14"/>
        <v>0.19654373053631446</v>
      </c>
      <c r="Z36" s="289">
        <f t="shared" si="14"/>
        <v>0.19020361019643336</v>
      </c>
      <c r="AA36" s="289">
        <f t="shared" si="14"/>
        <v>0.18386348985655224</v>
      </c>
      <c r="AB36" s="289">
        <f t="shared" si="14"/>
        <v>0.17752336951667114</v>
      </c>
      <c r="AC36" s="289">
        <f t="shared" si="14"/>
        <v>0.17118324917679001</v>
      </c>
      <c r="AD36" s="289">
        <f t="shared" ref="AD36:AM43" si="15">$H36*(1-(AD$35-1)*$M36)</f>
        <v>0.16484312883690891</v>
      </c>
      <c r="AE36" s="289">
        <f t="shared" si="15"/>
        <v>0.15850300849702778</v>
      </c>
      <c r="AF36" s="289">
        <f t="shared" si="15"/>
        <v>0.15216288815714671</v>
      </c>
      <c r="AG36" s="289">
        <f t="shared" si="15"/>
        <v>0.14582276781726555</v>
      </c>
      <c r="AH36" s="289">
        <f t="shared" si="15"/>
        <v>0.13948264747738448</v>
      </c>
      <c r="AI36" s="289">
        <f t="shared" si="15"/>
        <v>0.13314252713750335</v>
      </c>
      <c r="AJ36" s="289">
        <f t="shared" si="15"/>
        <v>0.12680240679762225</v>
      </c>
      <c r="AK36" s="289">
        <f t="shared" si="15"/>
        <v>0.12046228645774112</v>
      </c>
      <c r="AL36" s="289">
        <f t="shared" si="15"/>
        <v>0.11412216611786001</v>
      </c>
      <c r="AM36" s="289">
        <f t="shared" si="15"/>
        <v>0.1077820457779789</v>
      </c>
      <c r="AN36" s="289">
        <f t="shared" ref="AN36:AW43" si="16">$H36*(1-(AN$35-1)*$M36)</f>
        <v>0.10144192543809778</v>
      </c>
      <c r="AO36" s="289">
        <f t="shared" si="16"/>
        <v>9.5101805098216696E-2</v>
      </c>
      <c r="AP36" s="289">
        <f t="shared" si="16"/>
        <v>8.8761684758335582E-2</v>
      </c>
      <c r="AQ36" s="289">
        <f t="shared" si="16"/>
        <v>8.2421564418454468E-2</v>
      </c>
      <c r="AR36" s="289">
        <f t="shared" si="16"/>
        <v>7.6081444078573354E-2</v>
      </c>
      <c r="AS36" s="289">
        <f t="shared" si="16"/>
        <v>6.974132373869224E-2</v>
      </c>
      <c r="AT36" s="289">
        <f t="shared" si="16"/>
        <v>6.3401203398811126E-2</v>
      </c>
      <c r="AU36" s="289">
        <f t="shared" si="16"/>
        <v>5.7061083058930005E-2</v>
      </c>
      <c r="AV36" s="289">
        <f t="shared" si="16"/>
        <v>5.0720962719048919E-2</v>
      </c>
      <c r="AW36" s="289">
        <f t="shared" si="16"/>
        <v>4.4380842379167805E-2</v>
      </c>
      <c r="AX36" s="289">
        <f t="shared" ref="AX36:BC43" si="17">$H36*(1-(AX$35-1)*$M36)</f>
        <v>3.8040722039286684E-2</v>
      </c>
      <c r="AY36" s="289">
        <f t="shared" si="17"/>
        <v>3.170060169940557E-2</v>
      </c>
      <c r="AZ36" s="289">
        <f t="shared" si="17"/>
        <v>2.536048135952446E-2</v>
      </c>
      <c r="BA36" s="289">
        <f t="shared" si="17"/>
        <v>1.9020361019643342E-2</v>
      </c>
      <c r="BB36" s="289">
        <f t="shared" si="17"/>
        <v>1.268024067976223E-2</v>
      </c>
      <c r="BC36" s="289">
        <f t="shared" si="17"/>
        <v>6.3401203398811149E-3</v>
      </c>
      <c r="BD36" s="289"/>
      <c r="BE36" s="289"/>
      <c r="BF36" s="289"/>
      <c r="BG36" s="289"/>
    </row>
    <row r="37" spans="1:66" s="7" customFormat="1">
      <c r="A37" s="121">
        <f t="shared" ref="A37:A42" si="18">A17</f>
        <v>2005</v>
      </c>
      <c r="B37" s="288">
        <f t="shared" si="13"/>
        <v>9.9989999924332551E-5</v>
      </c>
      <c r="C37" s="289">
        <f t="shared" ref="C37:C43" si="19">B37/D37</f>
        <v>0.99989999924332551</v>
      </c>
      <c r="D37" s="288">
        <f t="shared" ref="D37:D43" si="20">E17</f>
        <v>1E-4</v>
      </c>
      <c r="E37" s="290">
        <f t="shared" ref="E37:E43" si="21">D17</f>
        <v>118.23492231977671</v>
      </c>
      <c r="F37" s="290">
        <f t="shared" ref="F37:F43" si="22">C17</f>
        <v>271.94032133548649</v>
      </c>
      <c r="G37" s="291">
        <f t="shared" ref="G37:G43" si="23">B17</f>
        <v>14085.748868421053</v>
      </c>
      <c r="H37" s="7">
        <v>0.27062096353500475</v>
      </c>
      <c r="I37" s="7">
        <v>0</v>
      </c>
      <c r="J37" s="7">
        <v>36</v>
      </c>
      <c r="K37" s="7">
        <v>24</v>
      </c>
      <c r="L37" s="7">
        <v>12</v>
      </c>
      <c r="M37" s="7">
        <f t="shared" ref="M37:M43" si="24">1/(J37+I37)</f>
        <v>2.7777777777777776E-2</v>
      </c>
      <c r="N37" s="290">
        <f t="shared" ref="N37:N43" si="25">G37*EXP(-H37*((J37/2)*(2-(J37-1)*M37)+I37*(1-J37*M37)))</f>
        <v>94.295269243936147</v>
      </c>
      <c r="O37" s="290">
        <f t="shared" ref="O37:O43" si="26">F37*EXP(-H37*((1-I37)*(1-L37*M37)+((J37-L37-1)/2)*(2-(L37+J37)*M37)+I37*(1-J37*M37)))</f>
        <v>28.514363399306717</v>
      </c>
      <c r="P37" s="290">
        <f t="shared" ref="P37:P43" si="27">E37*EXP(-H37*((1-I37)*(1-K37*M37)+(J37-K37-1)/2*(2-(K37+J37)*M37)+I37*(1-J37*M37)))</f>
        <v>65.780805854629506</v>
      </c>
      <c r="Q37" s="292">
        <f t="shared" ref="Q37:Q43" si="28">F37/(G37*EXP(-H37*(L37/2*(2-(L37-1)*M37)+I37*(1-L37*M37))))</f>
        <v>0.30239442156468932</v>
      </c>
      <c r="R37" s="292">
        <f t="shared" ref="R37:R43" si="29">E37/(G37*EXP(-H37*((K37/2)*(2-(K37-1)*M37)+I37*(1-K37*M37)))-F37*EXP(-H37*((1-I37)*(1-L37*M37)+((K37-L37-1)/2)*(2-(L37+K37)*M37+I37*(1-K37*M37)))))</f>
        <v>0.99999847995404489</v>
      </c>
      <c r="S37" s="12">
        <v>1</v>
      </c>
      <c r="T37" s="289">
        <f t="shared" si="14"/>
        <v>0.27062096353500475</v>
      </c>
      <c r="U37" s="289">
        <f t="shared" si="14"/>
        <v>0.26310371454792131</v>
      </c>
      <c r="V37" s="289">
        <f t="shared" si="14"/>
        <v>0.25558646556083781</v>
      </c>
      <c r="W37" s="289">
        <f t="shared" si="14"/>
        <v>0.24806921657375436</v>
      </c>
      <c r="X37" s="289">
        <f t="shared" si="14"/>
        <v>0.24055196758667088</v>
      </c>
      <c r="Y37" s="289">
        <f t="shared" si="14"/>
        <v>0.23303471859958744</v>
      </c>
      <c r="Z37" s="289">
        <f t="shared" si="14"/>
        <v>0.22551746961250396</v>
      </c>
      <c r="AA37" s="289">
        <f t="shared" si="14"/>
        <v>0.21800022062542052</v>
      </c>
      <c r="AB37" s="289">
        <f t="shared" si="14"/>
        <v>0.21048297163833704</v>
      </c>
      <c r="AC37" s="289">
        <f t="shared" si="14"/>
        <v>0.20296572265125357</v>
      </c>
      <c r="AD37" s="289">
        <f t="shared" si="15"/>
        <v>0.19544847366417009</v>
      </c>
      <c r="AE37" s="289">
        <f t="shared" si="15"/>
        <v>0.18793122467708662</v>
      </c>
      <c r="AF37" s="289">
        <f t="shared" si="15"/>
        <v>0.1804139756900032</v>
      </c>
      <c r="AG37" s="289">
        <f t="shared" si="15"/>
        <v>0.1728967267029197</v>
      </c>
      <c r="AH37" s="289">
        <f t="shared" si="15"/>
        <v>0.16537947771583625</v>
      </c>
      <c r="AI37" s="289">
        <f t="shared" si="15"/>
        <v>0.15786222872875277</v>
      </c>
      <c r="AJ37" s="289">
        <f t="shared" si="15"/>
        <v>0.15034497974166933</v>
      </c>
      <c r="AK37" s="289">
        <f t="shared" si="15"/>
        <v>0.14282773075458585</v>
      </c>
      <c r="AL37" s="289">
        <f t="shared" si="15"/>
        <v>0.13531048176750238</v>
      </c>
      <c r="AM37" s="289">
        <f t="shared" si="15"/>
        <v>0.1277932327804189</v>
      </c>
      <c r="AN37" s="289">
        <f t="shared" si="16"/>
        <v>0.12027598379333544</v>
      </c>
      <c r="AO37" s="289">
        <f t="shared" si="16"/>
        <v>0.112758734806252</v>
      </c>
      <c r="AP37" s="289">
        <f t="shared" si="16"/>
        <v>0.10524148581916853</v>
      </c>
      <c r="AQ37" s="289">
        <f t="shared" si="16"/>
        <v>9.772423683208506E-2</v>
      </c>
      <c r="AR37" s="289">
        <f t="shared" si="16"/>
        <v>9.0206987845001599E-2</v>
      </c>
      <c r="AS37" s="289">
        <f t="shared" si="16"/>
        <v>8.2689738857918124E-2</v>
      </c>
      <c r="AT37" s="289">
        <f t="shared" si="16"/>
        <v>7.5172489870834663E-2</v>
      </c>
      <c r="AU37" s="289">
        <f t="shared" si="16"/>
        <v>6.7655240883751189E-2</v>
      </c>
      <c r="AV37" s="289">
        <f t="shared" si="16"/>
        <v>6.0137991896667749E-2</v>
      </c>
      <c r="AW37" s="289">
        <f t="shared" si="16"/>
        <v>5.2620742909584281E-2</v>
      </c>
      <c r="AX37" s="289">
        <f t="shared" si="17"/>
        <v>4.5103493922500813E-2</v>
      </c>
      <c r="AY37" s="289">
        <f t="shared" si="17"/>
        <v>3.7586244935417346E-2</v>
      </c>
      <c r="AZ37" s="289">
        <f t="shared" si="17"/>
        <v>3.0068995948333874E-2</v>
      </c>
      <c r="BA37" s="289">
        <f t="shared" si="17"/>
        <v>2.2551746961250407E-2</v>
      </c>
      <c r="BB37" s="289">
        <f t="shared" si="17"/>
        <v>1.5034497974166937E-2</v>
      </c>
      <c r="BC37" s="289">
        <f t="shared" si="17"/>
        <v>7.5172489870834686E-3</v>
      </c>
      <c r="BD37" s="289"/>
      <c r="BE37" s="289"/>
      <c r="BF37" s="289"/>
      <c r="BG37" s="289"/>
    </row>
    <row r="38" spans="1:66" s="7" customFormat="1">
      <c r="A38" s="121">
        <f t="shared" si="18"/>
        <v>2006</v>
      </c>
      <c r="B38" s="288">
        <f t="shared" si="13"/>
        <v>9.9989999938543406E-5</v>
      </c>
      <c r="C38" s="289">
        <f t="shared" si="19"/>
        <v>0.99989999938543406</v>
      </c>
      <c r="D38" s="288">
        <f t="shared" si="20"/>
        <v>1E-4</v>
      </c>
      <c r="E38" s="290">
        <f t="shared" si="21"/>
        <v>232.06405387098218</v>
      </c>
      <c r="F38" s="290">
        <f t="shared" si="22"/>
        <v>443.03137557187506</v>
      </c>
      <c r="G38" s="291">
        <f t="shared" si="23"/>
        <v>20152.102371428573</v>
      </c>
      <c r="H38" s="7">
        <v>0.25261950536971062</v>
      </c>
      <c r="I38" s="7">
        <v>0</v>
      </c>
      <c r="J38" s="7">
        <v>36</v>
      </c>
      <c r="K38" s="7">
        <v>24</v>
      </c>
      <c r="L38" s="7">
        <v>12</v>
      </c>
      <c r="M38" s="7">
        <f t="shared" si="24"/>
        <v>2.7777777777777776E-2</v>
      </c>
      <c r="N38" s="290">
        <f t="shared" si="25"/>
        <v>188.21841090533147</v>
      </c>
      <c r="O38" s="290">
        <f t="shared" si="26"/>
        <v>53.972682989740811</v>
      </c>
      <c r="P38" s="290">
        <f t="shared" si="27"/>
        <v>134.24562792559072</v>
      </c>
      <c r="Q38" s="292">
        <f t="shared" si="28"/>
        <v>0.28675559808486301</v>
      </c>
      <c r="R38" s="292">
        <f t="shared" si="29"/>
        <v>0.99999925517183008</v>
      </c>
      <c r="S38" s="12">
        <v>1</v>
      </c>
      <c r="T38" s="289">
        <f t="shared" si="14"/>
        <v>0.25261950536971062</v>
      </c>
      <c r="U38" s="289">
        <f t="shared" si="14"/>
        <v>0.24560229688721866</v>
      </c>
      <c r="V38" s="289">
        <f t="shared" si="14"/>
        <v>0.2385850884047267</v>
      </c>
      <c r="W38" s="289">
        <f t="shared" si="14"/>
        <v>0.23156787992223471</v>
      </c>
      <c r="X38" s="289">
        <f t="shared" si="14"/>
        <v>0.22455067143974275</v>
      </c>
      <c r="Y38" s="289">
        <f t="shared" si="14"/>
        <v>0.21753346295725082</v>
      </c>
      <c r="Z38" s="289">
        <f t="shared" si="14"/>
        <v>0.21051625447475886</v>
      </c>
      <c r="AA38" s="289">
        <f t="shared" si="14"/>
        <v>0.2034990459922669</v>
      </c>
      <c r="AB38" s="289">
        <f t="shared" si="14"/>
        <v>0.19648183750977494</v>
      </c>
      <c r="AC38" s="289">
        <f t="shared" si="14"/>
        <v>0.18946462902728295</v>
      </c>
      <c r="AD38" s="289">
        <f t="shared" si="15"/>
        <v>0.18244742054479099</v>
      </c>
      <c r="AE38" s="289">
        <f t="shared" si="15"/>
        <v>0.17543021206229903</v>
      </c>
      <c r="AF38" s="289">
        <f t="shared" si="15"/>
        <v>0.1684130035798071</v>
      </c>
      <c r="AG38" s="289">
        <f t="shared" si="15"/>
        <v>0.16139579509731511</v>
      </c>
      <c r="AH38" s="289">
        <f t="shared" si="15"/>
        <v>0.15437858661482318</v>
      </c>
      <c r="AI38" s="289">
        <f t="shared" si="15"/>
        <v>0.14736137813233122</v>
      </c>
      <c r="AJ38" s="289">
        <f t="shared" si="15"/>
        <v>0.14034416964983923</v>
      </c>
      <c r="AK38" s="289">
        <f t="shared" si="15"/>
        <v>0.13332696116734727</v>
      </c>
      <c r="AL38" s="289">
        <f t="shared" si="15"/>
        <v>0.12630975268485531</v>
      </c>
      <c r="AM38" s="289">
        <f t="shared" si="15"/>
        <v>0.11929254420236335</v>
      </c>
      <c r="AN38" s="289">
        <f t="shared" si="16"/>
        <v>0.11227533571987137</v>
      </c>
      <c r="AO38" s="289">
        <f t="shared" si="16"/>
        <v>0.10525812723737944</v>
      </c>
      <c r="AP38" s="289">
        <f t="shared" si="16"/>
        <v>9.8240918754887482E-2</v>
      </c>
      <c r="AQ38" s="289">
        <f t="shared" si="16"/>
        <v>9.1223710272395508E-2</v>
      </c>
      <c r="AR38" s="289">
        <f t="shared" si="16"/>
        <v>8.4206501789903548E-2</v>
      </c>
      <c r="AS38" s="289">
        <f t="shared" si="16"/>
        <v>7.7189293307411588E-2</v>
      </c>
      <c r="AT38" s="289">
        <f t="shared" si="16"/>
        <v>7.0172084824919614E-2</v>
      </c>
      <c r="AU38" s="289">
        <f t="shared" si="16"/>
        <v>6.3154876342427654E-2</v>
      </c>
      <c r="AV38" s="289">
        <f t="shared" si="16"/>
        <v>5.6137667859935715E-2</v>
      </c>
      <c r="AW38" s="289">
        <f t="shared" si="16"/>
        <v>4.9120459377443755E-2</v>
      </c>
      <c r="AX38" s="289">
        <f t="shared" si="17"/>
        <v>4.2103250894951788E-2</v>
      </c>
      <c r="AY38" s="289">
        <f t="shared" si="17"/>
        <v>3.5086042412459821E-2</v>
      </c>
      <c r="AZ38" s="289">
        <f t="shared" si="17"/>
        <v>2.8068833929967858E-2</v>
      </c>
      <c r="BA38" s="289">
        <f t="shared" si="17"/>
        <v>2.1051625447475894E-2</v>
      </c>
      <c r="BB38" s="289">
        <f t="shared" si="17"/>
        <v>1.4034416964983929E-2</v>
      </c>
      <c r="BC38" s="289">
        <f t="shared" si="17"/>
        <v>7.0172084824919644E-3</v>
      </c>
      <c r="BD38" s="289"/>
      <c r="BE38" s="289"/>
      <c r="BF38" s="289"/>
      <c r="BG38" s="289"/>
    </row>
    <row r="39" spans="1:66" s="7" customFormat="1">
      <c r="A39" s="121">
        <f t="shared" si="18"/>
        <v>2007</v>
      </c>
      <c r="B39" s="288">
        <f t="shared" si="13"/>
        <v>9.9989999966965115E-5</v>
      </c>
      <c r="C39" s="289">
        <f t="shared" si="19"/>
        <v>0.99989999966965115</v>
      </c>
      <c r="D39" s="288">
        <f t="shared" si="20"/>
        <v>1E-4</v>
      </c>
      <c r="E39" s="290">
        <f t="shared" si="21"/>
        <v>423.21560267558533</v>
      </c>
      <c r="F39" s="290">
        <f t="shared" si="22"/>
        <v>1151.395389632107</v>
      </c>
      <c r="G39" s="291">
        <f t="shared" si="23"/>
        <v>17893.306730769229</v>
      </c>
      <c r="H39" s="7">
        <v>0.1921878138573424</v>
      </c>
      <c r="I39" s="7">
        <v>0</v>
      </c>
      <c r="J39" s="7">
        <v>36</v>
      </c>
      <c r="K39" s="7">
        <v>24</v>
      </c>
      <c r="L39" s="7">
        <v>12</v>
      </c>
      <c r="M39" s="7">
        <f t="shared" si="24"/>
        <v>2.7777777777777776E-2</v>
      </c>
      <c r="N39" s="290">
        <f t="shared" si="25"/>
        <v>511.17267035382758</v>
      </c>
      <c r="O39" s="290">
        <f t="shared" si="26"/>
        <v>232.09917357100764</v>
      </c>
      <c r="P39" s="290">
        <f t="shared" si="27"/>
        <v>279.07339679281995</v>
      </c>
      <c r="Q39" s="292">
        <f t="shared" si="28"/>
        <v>0.45405239174925233</v>
      </c>
      <c r="R39" s="292">
        <f t="shared" si="29"/>
        <v>0.99999964170728872</v>
      </c>
      <c r="S39" s="12">
        <v>1</v>
      </c>
      <c r="T39" s="289">
        <f t="shared" si="14"/>
        <v>0.1921878138573424</v>
      </c>
      <c r="U39" s="289">
        <f t="shared" si="14"/>
        <v>0.18684926347241623</v>
      </c>
      <c r="V39" s="289">
        <f t="shared" si="14"/>
        <v>0.18151071308749003</v>
      </c>
      <c r="W39" s="289">
        <f t="shared" si="14"/>
        <v>0.17617216270256386</v>
      </c>
      <c r="X39" s="289">
        <f t="shared" si="14"/>
        <v>0.17083361231763769</v>
      </c>
      <c r="Y39" s="289">
        <f t="shared" si="14"/>
        <v>0.16549506193271152</v>
      </c>
      <c r="Z39" s="289">
        <f t="shared" si="14"/>
        <v>0.16015651154778535</v>
      </c>
      <c r="AA39" s="289">
        <f t="shared" si="14"/>
        <v>0.15481796116285917</v>
      </c>
      <c r="AB39" s="289">
        <f t="shared" si="14"/>
        <v>0.14947941077793298</v>
      </c>
      <c r="AC39" s="289">
        <f t="shared" si="14"/>
        <v>0.1441408603930068</v>
      </c>
      <c r="AD39" s="289">
        <f t="shared" si="15"/>
        <v>0.13880231000808063</v>
      </c>
      <c r="AE39" s="289">
        <f t="shared" si="15"/>
        <v>0.13346375962315443</v>
      </c>
      <c r="AF39" s="289">
        <f t="shared" si="15"/>
        <v>0.12812520923822829</v>
      </c>
      <c r="AG39" s="289">
        <f t="shared" si="15"/>
        <v>0.12278665885330209</v>
      </c>
      <c r="AH39" s="289">
        <f t="shared" si="15"/>
        <v>0.11744810846837592</v>
      </c>
      <c r="AI39" s="289">
        <f t="shared" si="15"/>
        <v>0.11210955808344975</v>
      </c>
      <c r="AJ39" s="289">
        <f t="shared" si="15"/>
        <v>0.10677100769852356</v>
      </c>
      <c r="AK39" s="289">
        <f t="shared" si="15"/>
        <v>0.10143245731359739</v>
      </c>
      <c r="AL39" s="289">
        <f t="shared" si="15"/>
        <v>9.6093906928671202E-2</v>
      </c>
      <c r="AM39" s="289">
        <f t="shared" si="15"/>
        <v>9.0755356543745017E-2</v>
      </c>
      <c r="AN39" s="289">
        <f t="shared" si="16"/>
        <v>8.5416806158818845E-2</v>
      </c>
      <c r="AO39" s="289">
        <f t="shared" si="16"/>
        <v>8.0078255773892687E-2</v>
      </c>
      <c r="AP39" s="289">
        <f t="shared" si="16"/>
        <v>7.4739705388966501E-2</v>
      </c>
      <c r="AQ39" s="289">
        <f t="shared" si="16"/>
        <v>6.9401155004040316E-2</v>
      </c>
      <c r="AR39" s="289">
        <f t="shared" si="16"/>
        <v>6.4062604619114144E-2</v>
      </c>
      <c r="AS39" s="289">
        <f t="shared" si="16"/>
        <v>5.8724054234187958E-2</v>
      </c>
      <c r="AT39" s="289">
        <f t="shared" si="16"/>
        <v>5.338550384926178E-2</v>
      </c>
      <c r="AU39" s="289">
        <f t="shared" si="16"/>
        <v>4.8046953464335601E-2</v>
      </c>
      <c r="AV39" s="289">
        <f t="shared" si="16"/>
        <v>4.2708403079409443E-2</v>
      </c>
      <c r="AW39" s="289">
        <f t="shared" si="16"/>
        <v>3.7369852694483265E-2</v>
      </c>
      <c r="AX39" s="289">
        <f t="shared" si="17"/>
        <v>3.2031302309557079E-2</v>
      </c>
      <c r="AY39" s="289">
        <f t="shared" si="17"/>
        <v>2.66927519246309E-2</v>
      </c>
      <c r="AZ39" s="289">
        <f t="shared" si="17"/>
        <v>2.1354201539704722E-2</v>
      </c>
      <c r="BA39" s="289">
        <f t="shared" si="17"/>
        <v>1.6015651154778539E-2</v>
      </c>
      <c r="BB39" s="289">
        <f t="shared" si="17"/>
        <v>1.0677100769852361E-2</v>
      </c>
      <c r="BC39" s="289">
        <f t="shared" si="17"/>
        <v>5.3385503849261804E-3</v>
      </c>
      <c r="BD39" s="289"/>
      <c r="BE39" s="289"/>
      <c r="BF39" s="289"/>
      <c r="BG39" s="289"/>
    </row>
    <row r="40" spans="1:66" s="7" customFormat="1">
      <c r="A40" s="121">
        <f t="shared" si="18"/>
        <v>2008</v>
      </c>
      <c r="B40" s="288">
        <f t="shared" si="13"/>
        <v>1.0001001410842036E-4</v>
      </c>
      <c r="C40" s="289">
        <f t="shared" si="19"/>
        <v>1.0001001410842036</v>
      </c>
      <c r="D40" s="288">
        <f t="shared" si="20"/>
        <v>1E-4</v>
      </c>
      <c r="E40" s="290">
        <f t="shared" si="21"/>
        <v>192.2469481091465</v>
      </c>
      <c r="F40" s="290">
        <f t="shared" si="22"/>
        <v>417.50599841885349</v>
      </c>
      <c r="G40" s="291">
        <f t="shared" si="23"/>
        <v>5960.4393600000003</v>
      </c>
      <c r="H40" s="7">
        <v>0.17667469569995289</v>
      </c>
      <c r="I40" s="7">
        <v>0</v>
      </c>
      <c r="J40" s="7">
        <v>36</v>
      </c>
      <c r="K40" s="7">
        <v>24</v>
      </c>
      <c r="L40" s="7">
        <v>12</v>
      </c>
      <c r="M40" s="7">
        <f t="shared" si="24"/>
        <v>2.7777777777777776E-2</v>
      </c>
      <c r="N40" s="290">
        <f t="shared" si="25"/>
        <v>226.87917453725075</v>
      </c>
      <c r="O40" s="290">
        <f t="shared" si="26"/>
        <v>95.775774845712618</v>
      </c>
      <c r="P40" s="290">
        <f t="shared" si="27"/>
        <v>131.10329968152402</v>
      </c>
      <c r="Q40" s="292">
        <f t="shared" si="28"/>
        <v>0.42214440810206399</v>
      </c>
      <c r="R40" s="292">
        <f t="shared" si="29"/>
        <v>0.99999923716689043</v>
      </c>
      <c r="S40" s="12">
        <v>1</v>
      </c>
      <c r="T40" s="289">
        <f t="shared" si="14"/>
        <v>0.17667469569995289</v>
      </c>
      <c r="U40" s="289">
        <f t="shared" si="14"/>
        <v>0.17176706526384308</v>
      </c>
      <c r="V40" s="289">
        <f t="shared" si="14"/>
        <v>0.16685943482773327</v>
      </c>
      <c r="W40" s="289">
        <f t="shared" si="14"/>
        <v>0.16195180439162349</v>
      </c>
      <c r="X40" s="289">
        <f t="shared" si="14"/>
        <v>0.15704417395551368</v>
      </c>
      <c r="Y40" s="289">
        <f t="shared" si="14"/>
        <v>0.15213654351940389</v>
      </c>
      <c r="Z40" s="289">
        <f t="shared" si="14"/>
        <v>0.14722891308329408</v>
      </c>
      <c r="AA40" s="289">
        <f t="shared" si="14"/>
        <v>0.14232128264718427</v>
      </c>
      <c r="AB40" s="289">
        <f t="shared" si="14"/>
        <v>0.13741365221107449</v>
      </c>
      <c r="AC40" s="289">
        <f t="shared" si="14"/>
        <v>0.13250602177496468</v>
      </c>
      <c r="AD40" s="289">
        <f t="shared" si="15"/>
        <v>0.12759839133885487</v>
      </c>
      <c r="AE40" s="289">
        <f t="shared" si="15"/>
        <v>0.12269076090274506</v>
      </c>
      <c r="AF40" s="289">
        <f t="shared" si="15"/>
        <v>0.11778313046663527</v>
      </c>
      <c r="AG40" s="289">
        <f t="shared" si="15"/>
        <v>0.11287550003052545</v>
      </c>
      <c r="AH40" s="289">
        <f t="shared" si="15"/>
        <v>0.10796786959441566</v>
      </c>
      <c r="AI40" s="289">
        <f t="shared" si="15"/>
        <v>0.10306023915830587</v>
      </c>
      <c r="AJ40" s="289">
        <f t="shared" si="15"/>
        <v>9.8152608722196055E-2</v>
      </c>
      <c r="AK40" s="289">
        <f t="shared" si="15"/>
        <v>9.3244978286086258E-2</v>
      </c>
      <c r="AL40" s="289">
        <f t="shared" si="15"/>
        <v>8.8337347849976447E-2</v>
      </c>
      <c r="AM40" s="289">
        <f t="shared" si="15"/>
        <v>8.3429717413866636E-2</v>
      </c>
      <c r="AN40" s="289">
        <f t="shared" si="16"/>
        <v>7.8522086977756839E-2</v>
      </c>
      <c r="AO40" s="289">
        <f t="shared" si="16"/>
        <v>7.3614456541647055E-2</v>
      </c>
      <c r="AP40" s="289">
        <f t="shared" si="16"/>
        <v>6.8706826105537244E-2</v>
      </c>
      <c r="AQ40" s="289">
        <f t="shared" si="16"/>
        <v>6.3799195669427447E-2</v>
      </c>
      <c r="AR40" s="289">
        <f t="shared" si="16"/>
        <v>5.8891565233317636E-2</v>
      </c>
      <c r="AS40" s="289">
        <f t="shared" si="16"/>
        <v>5.3983934797207832E-2</v>
      </c>
      <c r="AT40" s="289">
        <f t="shared" si="16"/>
        <v>4.9076304361098028E-2</v>
      </c>
      <c r="AU40" s="289">
        <f t="shared" si="16"/>
        <v>4.4168673924988223E-2</v>
      </c>
      <c r="AV40" s="289">
        <f t="shared" si="16"/>
        <v>3.926104348887844E-2</v>
      </c>
      <c r="AW40" s="289">
        <f t="shared" si="16"/>
        <v>3.4353413052768636E-2</v>
      </c>
      <c r="AX40" s="289">
        <f t="shared" si="17"/>
        <v>2.9445782616658828E-2</v>
      </c>
      <c r="AY40" s="289">
        <f t="shared" si="17"/>
        <v>2.4538152180549024E-2</v>
      </c>
      <c r="AZ40" s="289">
        <f t="shared" si="17"/>
        <v>1.963052174443922E-2</v>
      </c>
      <c r="BA40" s="289">
        <f t="shared" si="17"/>
        <v>1.4722891308329414E-2</v>
      </c>
      <c r="BB40" s="289">
        <f t="shared" si="17"/>
        <v>9.81526087221961E-3</v>
      </c>
      <c r="BC40" s="289">
        <f t="shared" si="17"/>
        <v>4.907630436109805E-3</v>
      </c>
      <c r="BD40" s="289"/>
      <c r="BE40" s="289"/>
      <c r="BF40" s="289"/>
      <c r="BG40" s="289"/>
    </row>
    <row r="41" spans="1:66" s="7" customFormat="1">
      <c r="A41" s="121">
        <f t="shared" si="18"/>
        <v>2009</v>
      </c>
      <c r="B41" s="288">
        <f t="shared" si="13"/>
        <v>4.364825351959837</v>
      </c>
      <c r="C41" s="289">
        <f t="shared" si="19"/>
        <v>1.0001015789696999</v>
      </c>
      <c r="D41" s="288">
        <f t="shared" si="20"/>
        <v>4.364382022530612</v>
      </c>
      <c r="E41" s="290">
        <f t="shared" si="21"/>
        <v>388.43000000522454</v>
      </c>
      <c r="F41" s="290">
        <f t="shared" si="22"/>
        <v>462.62449438824501</v>
      </c>
      <c r="G41" s="291">
        <f t="shared" si="23"/>
        <v>11152.788480000001</v>
      </c>
      <c r="H41" s="7">
        <v>0.18507318503001002</v>
      </c>
      <c r="I41" s="7">
        <v>0</v>
      </c>
      <c r="J41" s="7">
        <v>36</v>
      </c>
      <c r="K41" s="7">
        <v>24</v>
      </c>
      <c r="L41" s="7">
        <v>12</v>
      </c>
      <c r="M41" s="7">
        <f t="shared" si="24"/>
        <v>2.7777777777777776E-2</v>
      </c>
      <c r="N41" s="290">
        <f t="shared" si="25"/>
        <v>363.43152795164815</v>
      </c>
      <c r="O41" s="290">
        <f t="shared" si="26"/>
        <v>98.952422703763773</v>
      </c>
      <c r="P41" s="290">
        <f t="shared" si="27"/>
        <v>260.11427989592454</v>
      </c>
      <c r="Q41" s="292">
        <f t="shared" si="28"/>
        <v>0.27227253304487287</v>
      </c>
      <c r="R41" s="292">
        <f t="shared" si="29"/>
        <v>0.9834965210281218</v>
      </c>
      <c r="S41" s="12">
        <v>1</v>
      </c>
      <c r="T41" s="289">
        <f t="shared" si="14"/>
        <v>0.18507318503001002</v>
      </c>
      <c r="U41" s="289">
        <f t="shared" si="14"/>
        <v>0.17993226322362085</v>
      </c>
      <c r="V41" s="289">
        <f t="shared" si="14"/>
        <v>0.17479134141723168</v>
      </c>
      <c r="W41" s="289">
        <f t="shared" si="14"/>
        <v>0.16965041961084251</v>
      </c>
      <c r="X41" s="289">
        <f t="shared" si="14"/>
        <v>0.16450949780445334</v>
      </c>
      <c r="Y41" s="289">
        <f t="shared" si="14"/>
        <v>0.1593685759980642</v>
      </c>
      <c r="Z41" s="289">
        <f t="shared" si="14"/>
        <v>0.15422765419167503</v>
      </c>
      <c r="AA41" s="289">
        <f t="shared" si="14"/>
        <v>0.14908673238528586</v>
      </c>
      <c r="AB41" s="289">
        <f t="shared" si="14"/>
        <v>0.14394581057889669</v>
      </c>
      <c r="AC41" s="289">
        <f t="shared" si="14"/>
        <v>0.13880488877250752</v>
      </c>
      <c r="AD41" s="289">
        <f t="shared" si="15"/>
        <v>0.13366396696611835</v>
      </c>
      <c r="AE41" s="289">
        <f t="shared" si="15"/>
        <v>0.12852304515972918</v>
      </c>
      <c r="AF41" s="289">
        <f t="shared" si="15"/>
        <v>0.12338212335334003</v>
      </c>
      <c r="AG41" s="289">
        <f t="shared" si="15"/>
        <v>0.11824120154695084</v>
      </c>
      <c r="AH41" s="289">
        <f t="shared" si="15"/>
        <v>0.11310027974056169</v>
      </c>
      <c r="AI41" s="289">
        <f t="shared" si="15"/>
        <v>0.10795935793417252</v>
      </c>
      <c r="AJ41" s="289">
        <f t="shared" si="15"/>
        <v>0.10281843612778335</v>
      </c>
      <c r="AK41" s="289">
        <f t="shared" si="15"/>
        <v>9.7677514321394182E-2</v>
      </c>
      <c r="AL41" s="289">
        <f t="shared" si="15"/>
        <v>9.2536592515005012E-2</v>
      </c>
      <c r="AM41" s="289">
        <f t="shared" si="15"/>
        <v>8.7395670708615841E-2</v>
      </c>
      <c r="AN41" s="289">
        <f t="shared" si="16"/>
        <v>8.2254748902226671E-2</v>
      </c>
      <c r="AO41" s="289">
        <f t="shared" si="16"/>
        <v>7.7113827095837528E-2</v>
      </c>
      <c r="AP41" s="289">
        <f t="shared" si="16"/>
        <v>7.1972905289448358E-2</v>
      </c>
      <c r="AQ41" s="289">
        <f t="shared" si="16"/>
        <v>6.6831983483059187E-2</v>
      </c>
      <c r="AR41" s="289">
        <f t="shared" si="16"/>
        <v>6.1691061676670017E-2</v>
      </c>
      <c r="AS41" s="289">
        <f t="shared" si="16"/>
        <v>5.6550139870280847E-2</v>
      </c>
      <c r="AT41" s="289">
        <f t="shared" si="16"/>
        <v>5.1409218063891676E-2</v>
      </c>
      <c r="AU41" s="289">
        <f t="shared" si="16"/>
        <v>4.6268296257502506E-2</v>
      </c>
      <c r="AV41" s="289">
        <f t="shared" si="16"/>
        <v>4.1127374451113356E-2</v>
      </c>
      <c r="AW41" s="289">
        <f t="shared" si="16"/>
        <v>3.5986452644724186E-2</v>
      </c>
      <c r="AX41" s="289">
        <f t="shared" si="17"/>
        <v>3.0845530838335019E-2</v>
      </c>
      <c r="AY41" s="289">
        <f t="shared" si="17"/>
        <v>2.5704609031945849E-2</v>
      </c>
      <c r="AZ41" s="289">
        <f t="shared" si="17"/>
        <v>2.0563687225556678E-2</v>
      </c>
      <c r="BA41" s="289">
        <f t="shared" si="17"/>
        <v>1.5422765419167509E-2</v>
      </c>
      <c r="BB41" s="289">
        <f t="shared" si="17"/>
        <v>1.0281843612778339E-2</v>
      </c>
      <c r="BC41" s="289">
        <f t="shared" si="17"/>
        <v>5.1409218063891695E-3</v>
      </c>
      <c r="BD41" s="289"/>
      <c r="BE41" s="289"/>
      <c r="BF41" s="289"/>
      <c r="BG41" s="289"/>
    </row>
    <row r="42" spans="1:66" s="7" customFormat="1">
      <c r="A42" s="121">
        <f t="shared" si="18"/>
        <v>2010</v>
      </c>
      <c r="B42" s="288">
        <f t="shared" si="13"/>
        <v>6.9031980574612817</v>
      </c>
      <c r="C42" s="289">
        <f t="shared" si="19"/>
        <v>0.99994103946769219</v>
      </c>
      <c r="D42" s="288">
        <f t="shared" si="20"/>
        <v>6.9036050976926848</v>
      </c>
      <c r="E42" s="290">
        <f t="shared" si="21"/>
        <v>455.63793644771727</v>
      </c>
      <c r="F42" s="290">
        <f t="shared" si="22"/>
        <v>876.757847406971</v>
      </c>
      <c r="G42" s="291">
        <f t="shared" si="23"/>
        <v>22027.950476190475</v>
      </c>
      <c r="H42" s="7">
        <v>0.21066672235365</v>
      </c>
      <c r="I42" s="7">
        <v>0</v>
      </c>
      <c r="J42" s="7">
        <v>36</v>
      </c>
      <c r="K42" s="7">
        <v>24</v>
      </c>
      <c r="L42" s="7">
        <v>12</v>
      </c>
      <c r="M42" s="7">
        <f t="shared" si="24"/>
        <v>2.7777777777777776E-2</v>
      </c>
      <c r="N42" s="290">
        <f t="shared" si="25"/>
        <v>447.07798327094304</v>
      </c>
      <c r="O42" s="290">
        <f t="shared" si="26"/>
        <v>151.51351364229302</v>
      </c>
      <c r="P42" s="290">
        <f t="shared" si="27"/>
        <v>288.66127157118876</v>
      </c>
      <c r="Q42" s="292">
        <f t="shared" si="28"/>
        <v>0.33889728260331525</v>
      </c>
      <c r="R42" s="292">
        <f t="shared" si="29"/>
        <v>0.97664401926884437</v>
      </c>
      <c r="S42" s="12">
        <v>1</v>
      </c>
      <c r="T42" s="289">
        <f t="shared" si="14"/>
        <v>0.21066672235365</v>
      </c>
      <c r="U42" s="289">
        <f t="shared" si="14"/>
        <v>0.2048148689549375</v>
      </c>
      <c r="V42" s="289">
        <f t="shared" si="14"/>
        <v>0.198963015556225</v>
      </c>
      <c r="W42" s="289">
        <f t="shared" si="14"/>
        <v>0.19311116215751248</v>
      </c>
      <c r="X42" s="289">
        <f t="shared" si="14"/>
        <v>0.18725930875879998</v>
      </c>
      <c r="Y42" s="289">
        <f t="shared" si="14"/>
        <v>0.18140745536008751</v>
      </c>
      <c r="Z42" s="289">
        <f t="shared" si="14"/>
        <v>0.17555560196137501</v>
      </c>
      <c r="AA42" s="289">
        <f t="shared" si="14"/>
        <v>0.16970374856266252</v>
      </c>
      <c r="AB42" s="289">
        <f t="shared" si="14"/>
        <v>0.16385189516394999</v>
      </c>
      <c r="AC42" s="289">
        <f t="shared" si="14"/>
        <v>0.15800004176523749</v>
      </c>
      <c r="AD42" s="289">
        <f t="shared" si="15"/>
        <v>0.15214818836652499</v>
      </c>
      <c r="AE42" s="289">
        <f t="shared" si="15"/>
        <v>0.1462963349678125</v>
      </c>
      <c r="AF42" s="289">
        <f t="shared" si="15"/>
        <v>0.14044448156910003</v>
      </c>
      <c r="AG42" s="289">
        <f t="shared" si="15"/>
        <v>0.1345926281703875</v>
      </c>
      <c r="AH42" s="289">
        <f t="shared" si="15"/>
        <v>0.128740774771675</v>
      </c>
      <c r="AI42" s="289">
        <f t="shared" si="15"/>
        <v>0.12288892137296251</v>
      </c>
      <c r="AJ42" s="289">
        <f t="shared" si="15"/>
        <v>0.11703706797425001</v>
      </c>
      <c r="AK42" s="289">
        <f t="shared" si="15"/>
        <v>0.1111852145755375</v>
      </c>
      <c r="AL42" s="289">
        <f t="shared" si="15"/>
        <v>0.105333361176825</v>
      </c>
      <c r="AM42" s="289">
        <f t="shared" si="15"/>
        <v>9.9481507778112502E-2</v>
      </c>
      <c r="AN42" s="289">
        <f t="shared" si="16"/>
        <v>9.362965437939999E-2</v>
      </c>
      <c r="AO42" s="289">
        <f t="shared" si="16"/>
        <v>8.777780098068752E-2</v>
      </c>
      <c r="AP42" s="289">
        <f t="shared" si="16"/>
        <v>8.1925947581975009E-2</v>
      </c>
      <c r="AQ42" s="289">
        <f t="shared" si="16"/>
        <v>7.6074094183262511E-2</v>
      </c>
      <c r="AR42" s="289">
        <f t="shared" si="16"/>
        <v>7.0222240784550014E-2</v>
      </c>
      <c r="AS42" s="289">
        <f t="shared" si="16"/>
        <v>6.4370387385837502E-2</v>
      </c>
      <c r="AT42" s="289">
        <f t="shared" si="16"/>
        <v>5.8518533987125004E-2</v>
      </c>
      <c r="AU42" s="289">
        <f t="shared" si="16"/>
        <v>5.26666805884125E-2</v>
      </c>
      <c r="AV42" s="289">
        <f t="shared" si="16"/>
        <v>4.6814827189700023E-2</v>
      </c>
      <c r="AW42" s="289">
        <f t="shared" si="16"/>
        <v>4.0962973790987518E-2</v>
      </c>
      <c r="AX42" s="289">
        <f t="shared" si="17"/>
        <v>3.5111120392275014E-2</v>
      </c>
      <c r="AY42" s="289">
        <f t="shared" si="17"/>
        <v>2.9259266993562513E-2</v>
      </c>
      <c r="AZ42" s="289">
        <f t="shared" si="17"/>
        <v>2.3407413594850011E-2</v>
      </c>
      <c r="BA42" s="289">
        <f t="shared" si="17"/>
        <v>1.7555560196137507E-2</v>
      </c>
      <c r="BB42" s="289">
        <f t="shared" si="17"/>
        <v>1.1703706797425006E-2</v>
      </c>
      <c r="BC42" s="289">
        <f t="shared" si="17"/>
        <v>5.8518533987125029E-3</v>
      </c>
      <c r="BD42" s="289"/>
      <c r="BE42" s="289"/>
      <c r="BF42" s="289"/>
      <c r="BG42" s="289"/>
    </row>
    <row r="43" spans="1:66" s="7" customFormat="1">
      <c r="A43" s="121" t="str">
        <f>A23</f>
        <v>2011A</v>
      </c>
      <c r="B43" s="288">
        <f t="shared" si="13"/>
        <v>0.81770223165768385</v>
      </c>
      <c r="C43" s="289">
        <f t="shared" si="19"/>
        <v>1.0001175016462474</v>
      </c>
      <c r="D43" s="288">
        <f t="shared" si="20"/>
        <v>0.81760616158771537</v>
      </c>
      <c r="E43" s="290">
        <f t="shared" si="21"/>
        <v>107.27057795598282</v>
      </c>
      <c r="F43" s="290">
        <f t="shared" si="22"/>
        <v>187.72351142296992</v>
      </c>
      <c r="G43" s="291">
        <f t="shared" si="23"/>
        <v>15169.830540540539</v>
      </c>
      <c r="H43" s="7">
        <v>0.28648105571142646</v>
      </c>
      <c r="I43" s="7">
        <v>0</v>
      </c>
      <c r="J43" s="7">
        <v>36</v>
      </c>
      <c r="K43" s="7">
        <v>24</v>
      </c>
      <c r="L43" s="7">
        <v>12</v>
      </c>
      <c r="M43" s="7">
        <f t="shared" si="24"/>
        <v>2.7777777777777776E-2</v>
      </c>
      <c r="N43" s="290">
        <f t="shared" si="25"/>
        <v>75.729241779661734</v>
      </c>
      <c r="O43" s="290">
        <f t="shared" si="26"/>
        <v>17.246824946506006</v>
      </c>
      <c r="P43" s="290">
        <f t="shared" si="27"/>
        <v>57.664714601498041</v>
      </c>
      <c r="Q43" s="292">
        <f t="shared" si="28"/>
        <v>0.22774326721356278</v>
      </c>
      <c r="R43" s="292">
        <f t="shared" si="29"/>
        <v>0.98601798154152176</v>
      </c>
      <c r="S43" s="12">
        <v>1</v>
      </c>
      <c r="T43" s="289">
        <f t="shared" si="14"/>
        <v>0.28648105571142646</v>
      </c>
      <c r="U43" s="289">
        <f t="shared" si="14"/>
        <v>0.27852324860833128</v>
      </c>
      <c r="V43" s="289">
        <f t="shared" si="14"/>
        <v>0.27056544150523609</v>
      </c>
      <c r="W43" s="289">
        <f t="shared" si="14"/>
        <v>0.26260763440214091</v>
      </c>
      <c r="X43" s="289">
        <f t="shared" si="14"/>
        <v>0.25464982729904573</v>
      </c>
      <c r="Y43" s="289">
        <f t="shared" si="14"/>
        <v>0.24669202019595057</v>
      </c>
      <c r="Z43" s="289">
        <f t="shared" si="14"/>
        <v>0.23873421309285539</v>
      </c>
      <c r="AA43" s="289">
        <f t="shared" si="14"/>
        <v>0.23077640598976021</v>
      </c>
      <c r="AB43" s="289">
        <f t="shared" si="14"/>
        <v>0.22281859888666503</v>
      </c>
      <c r="AC43" s="289">
        <f t="shared" si="14"/>
        <v>0.21486079178356984</v>
      </c>
      <c r="AD43" s="289">
        <f t="shared" si="15"/>
        <v>0.20690298468047466</v>
      </c>
      <c r="AE43" s="289">
        <f t="shared" si="15"/>
        <v>0.19894517757737948</v>
      </c>
      <c r="AF43" s="289">
        <f t="shared" si="15"/>
        <v>0.19098737047428432</v>
      </c>
      <c r="AG43" s="289">
        <f t="shared" si="15"/>
        <v>0.18302956337118911</v>
      </c>
      <c r="AH43" s="289">
        <f t="shared" si="15"/>
        <v>0.17507175626809396</v>
      </c>
      <c r="AI43" s="289">
        <f t="shared" si="15"/>
        <v>0.16711394916499878</v>
      </c>
      <c r="AJ43" s="289">
        <f t="shared" si="15"/>
        <v>0.15915614206190359</v>
      </c>
      <c r="AK43" s="289">
        <f t="shared" si="15"/>
        <v>0.15119833495880841</v>
      </c>
      <c r="AL43" s="289">
        <f t="shared" si="15"/>
        <v>0.14324052785571323</v>
      </c>
      <c r="AM43" s="289">
        <f t="shared" si="15"/>
        <v>0.13528272075261805</v>
      </c>
      <c r="AN43" s="289">
        <f t="shared" si="16"/>
        <v>0.12732491364952286</v>
      </c>
      <c r="AO43" s="289">
        <f t="shared" si="16"/>
        <v>0.11936710654642771</v>
      </c>
      <c r="AP43" s="289">
        <f t="shared" si="16"/>
        <v>0.11140929944333253</v>
      </c>
      <c r="AQ43" s="289">
        <f t="shared" si="16"/>
        <v>0.10345149234023734</v>
      </c>
      <c r="AR43" s="289">
        <f t="shared" si="16"/>
        <v>9.5493685237142162E-2</v>
      </c>
      <c r="AS43" s="289">
        <f t="shared" si="16"/>
        <v>8.7535878134046979E-2</v>
      </c>
      <c r="AT43" s="289">
        <f t="shared" si="16"/>
        <v>7.9578071030951797E-2</v>
      </c>
      <c r="AU43" s="289">
        <f t="shared" si="16"/>
        <v>7.1620263927856614E-2</v>
      </c>
      <c r="AV43" s="289">
        <f t="shared" si="16"/>
        <v>6.366245682476146E-2</v>
      </c>
      <c r="AW43" s="289">
        <f t="shared" si="16"/>
        <v>5.5704649721666277E-2</v>
      </c>
      <c r="AX43" s="289">
        <f t="shared" si="17"/>
        <v>4.7746842618571095E-2</v>
      </c>
      <c r="AY43" s="289">
        <f t="shared" si="17"/>
        <v>3.9789035515475912E-2</v>
      </c>
      <c r="AZ43" s="289">
        <f t="shared" si="17"/>
        <v>3.183122841238073E-2</v>
      </c>
      <c r="BA43" s="289">
        <f t="shared" si="17"/>
        <v>2.3873421309285547E-2</v>
      </c>
      <c r="BB43" s="289">
        <f t="shared" si="17"/>
        <v>1.5915614206190365E-2</v>
      </c>
      <c r="BC43" s="289">
        <f t="shared" si="17"/>
        <v>7.9578071030951825E-3</v>
      </c>
      <c r="BD43" s="289"/>
      <c r="BE43" s="289" t="s">
        <v>496</v>
      </c>
      <c r="BF43" s="289"/>
      <c r="BG43" s="289"/>
    </row>
    <row r="44" spans="1:66" s="7" customFormat="1">
      <c r="T44" s="289"/>
      <c r="U44" s="289"/>
      <c r="V44" s="289"/>
      <c r="W44" s="289"/>
      <c r="X44" s="289"/>
      <c r="Y44" s="289"/>
      <c r="Z44" s="289"/>
      <c r="AA44" s="289"/>
      <c r="AB44" s="289"/>
      <c r="AC44" s="289"/>
      <c r="AD44" s="289"/>
      <c r="AE44" s="289"/>
      <c r="AF44" s="289"/>
      <c r="AG44" s="289"/>
      <c r="AH44" s="289"/>
      <c r="AI44" s="289"/>
      <c r="AJ44" s="289"/>
      <c r="AK44" s="289"/>
      <c r="AL44" s="289"/>
      <c r="AM44" s="289"/>
      <c r="AN44" s="289"/>
      <c r="AO44" s="289"/>
      <c r="AP44" s="289"/>
      <c r="AQ44" s="289"/>
      <c r="AR44" s="289"/>
      <c r="AS44" s="289"/>
      <c r="AT44" s="289"/>
      <c r="AU44" s="289"/>
      <c r="AV44" s="289"/>
      <c r="AW44" s="289"/>
      <c r="AX44" s="289"/>
      <c r="AY44" s="289"/>
      <c r="AZ44" s="289"/>
      <c r="BA44" s="289"/>
      <c r="BB44" s="289"/>
      <c r="BC44" s="289"/>
      <c r="BD44" s="289"/>
      <c r="BE44" s="289" t="s">
        <v>464</v>
      </c>
      <c r="BF44" s="289" t="s">
        <v>465</v>
      </c>
      <c r="BG44" s="289" t="s">
        <v>466</v>
      </c>
    </row>
    <row r="45" spans="1:66" s="7" customFormat="1">
      <c r="C45" s="289">
        <f>SUM(C36:C43)</f>
        <v>8.0000557092203213</v>
      </c>
      <c r="D45" s="7" t="s">
        <v>494</v>
      </c>
      <c r="T45" s="289">
        <f>1-T36</f>
        <v>0.77175566776427995</v>
      </c>
      <c r="U45" s="289">
        <f t="shared" ref="U45:BC45" si="30">1-U36</f>
        <v>0.77809578810416113</v>
      </c>
      <c r="V45" s="289">
        <f t="shared" si="30"/>
        <v>0.78443590844404221</v>
      </c>
      <c r="W45" s="289">
        <f t="shared" si="30"/>
        <v>0.79077602878392339</v>
      </c>
      <c r="X45" s="289">
        <f t="shared" si="30"/>
        <v>0.79711614912380446</v>
      </c>
      <c r="Y45" s="289">
        <f t="shared" si="30"/>
        <v>0.80345626946368554</v>
      </c>
      <c r="Z45" s="289">
        <f t="shared" si="30"/>
        <v>0.80979638980356661</v>
      </c>
      <c r="AA45" s="289">
        <f t="shared" si="30"/>
        <v>0.81613651014344779</v>
      </c>
      <c r="AB45" s="289">
        <f t="shared" si="30"/>
        <v>0.82247663048332886</v>
      </c>
      <c r="AC45" s="289">
        <f t="shared" si="30"/>
        <v>0.82881675082321005</v>
      </c>
      <c r="AD45" s="289">
        <f t="shared" si="30"/>
        <v>0.83515687116309112</v>
      </c>
      <c r="AE45" s="289">
        <f t="shared" si="30"/>
        <v>0.84149699150297219</v>
      </c>
      <c r="AF45" s="289">
        <f t="shared" si="30"/>
        <v>0.84783711184285326</v>
      </c>
      <c r="AG45" s="289">
        <f t="shared" si="30"/>
        <v>0.85417723218273445</v>
      </c>
      <c r="AH45" s="289">
        <f t="shared" si="30"/>
        <v>0.86051735252261552</v>
      </c>
      <c r="AI45" s="289">
        <f t="shared" si="30"/>
        <v>0.8668574728624967</v>
      </c>
      <c r="AJ45" s="289">
        <f t="shared" si="30"/>
        <v>0.87319759320237778</v>
      </c>
      <c r="AK45" s="289">
        <f t="shared" si="30"/>
        <v>0.87953771354225885</v>
      </c>
      <c r="AL45" s="289">
        <f t="shared" si="30"/>
        <v>0.88587783388214003</v>
      </c>
      <c r="AM45" s="289">
        <f t="shared" si="30"/>
        <v>0.8922179542220211</v>
      </c>
      <c r="AN45" s="289">
        <f t="shared" si="30"/>
        <v>0.89855807456190218</v>
      </c>
      <c r="AO45" s="289">
        <f t="shared" si="30"/>
        <v>0.90489819490178336</v>
      </c>
      <c r="AP45" s="289">
        <f t="shared" si="30"/>
        <v>0.91123831524166443</v>
      </c>
      <c r="AQ45" s="289">
        <f t="shared" si="30"/>
        <v>0.9175784355815455</v>
      </c>
      <c r="AR45" s="289">
        <f t="shared" si="30"/>
        <v>0.92391855592142669</v>
      </c>
      <c r="AS45" s="289">
        <f t="shared" si="30"/>
        <v>0.93025867626130776</v>
      </c>
      <c r="AT45" s="289">
        <f t="shared" si="30"/>
        <v>0.93659879660118883</v>
      </c>
      <c r="AU45" s="289">
        <f t="shared" si="30"/>
        <v>0.94293891694107002</v>
      </c>
      <c r="AV45" s="289">
        <f t="shared" si="30"/>
        <v>0.94927903728095109</v>
      </c>
      <c r="AW45" s="289">
        <f t="shared" si="30"/>
        <v>0.95561915762083216</v>
      </c>
      <c r="AX45" s="289">
        <f t="shared" si="30"/>
        <v>0.96195927796071334</v>
      </c>
      <c r="AY45" s="289">
        <f t="shared" si="30"/>
        <v>0.96829939830059442</v>
      </c>
      <c r="AZ45" s="289">
        <f t="shared" si="30"/>
        <v>0.97463951864047549</v>
      </c>
      <c r="BA45" s="289">
        <f t="shared" si="30"/>
        <v>0.98097963898035667</v>
      </c>
      <c r="BB45" s="289">
        <f t="shared" si="30"/>
        <v>0.98731975932023774</v>
      </c>
      <c r="BC45" s="289">
        <f t="shared" si="30"/>
        <v>0.99365987966011893</v>
      </c>
      <c r="BD45" s="289"/>
      <c r="BE45" s="293">
        <f>PRODUCT(T45:AE45)</f>
        <v>7.5535143960332202E-2</v>
      </c>
      <c r="BF45" s="293">
        <f>PRODUCT(AF45:AQ45)</f>
        <v>0.22294645821478906</v>
      </c>
      <c r="BG45" s="293">
        <f>PRODUCT(AR45:BC45)</f>
        <v>0.60161583133838192</v>
      </c>
    </row>
    <row r="46" spans="1:66" s="7" customFormat="1">
      <c r="T46" s="289">
        <f t="shared" ref="T46:BC46" si="31">1-T37</f>
        <v>0.72937903646499525</v>
      </c>
      <c r="U46" s="289">
        <f t="shared" si="31"/>
        <v>0.73689628545207864</v>
      </c>
      <c r="V46" s="289">
        <f t="shared" si="31"/>
        <v>0.74441353443916225</v>
      </c>
      <c r="W46" s="289">
        <f t="shared" si="31"/>
        <v>0.75193078342624564</v>
      </c>
      <c r="X46" s="289">
        <f t="shared" si="31"/>
        <v>0.75944803241332914</v>
      </c>
      <c r="Y46" s="289">
        <f t="shared" si="31"/>
        <v>0.76696528140041254</v>
      </c>
      <c r="Z46" s="289">
        <f t="shared" si="31"/>
        <v>0.77448253038749604</v>
      </c>
      <c r="AA46" s="289">
        <f t="shared" si="31"/>
        <v>0.78199977937457943</v>
      </c>
      <c r="AB46" s="289">
        <f t="shared" si="31"/>
        <v>0.78951702836166293</v>
      </c>
      <c r="AC46" s="289">
        <f t="shared" si="31"/>
        <v>0.79703427734874643</v>
      </c>
      <c r="AD46" s="289">
        <f t="shared" si="31"/>
        <v>0.80455152633582994</v>
      </c>
      <c r="AE46" s="289">
        <f t="shared" si="31"/>
        <v>0.81206877532291344</v>
      </c>
      <c r="AF46" s="289">
        <f t="shared" si="31"/>
        <v>0.81958602430999683</v>
      </c>
      <c r="AG46" s="289">
        <f t="shared" si="31"/>
        <v>0.82710327329708033</v>
      </c>
      <c r="AH46" s="289">
        <f t="shared" si="31"/>
        <v>0.83462052228416372</v>
      </c>
      <c r="AI46" s="289">
        <f t="shared" si="31"/>
        <v>0.84213777127124723</v>
      </c>
      <c r="AJ46" s="289">
        <f t="shared" si="31"/>
        <v>0.84965502025833062</v>
      </c>
      <c r="AK46" s="289">
        <f t="shared" si="31"/>
        <v>0.85717226924541412</v>
      </c>
      <c r="AL46" s="289">
        <f t="shared" si="31"/>
        <v>0.86468951823249762</v>
      </c>
      <c r="AM46" s="289">
        <f t="shared" si="31"/>
        <v>0.87220676721958112</v>
      </c>
      <c r="AN46" s="289">
        <f t="shared" si="31"/>
        <v>0.87972401620666452</v>
      </c>
      <c r="AO46" s="289">
        <f t="shared" si="31"/>
        <v>0.88724126519374802</v>
      </c>
      <c r="AP46" s="289">
        <f t="shared" si="31"/>
        <v>0.89475851418083141</v>
      </c>
      <c r="AQ46" s="289">
        <f t="shared" si="31"/>
        <v>0.90227576316791491</v>
      </c>
      <c r="AR46" s="289">
        <f t="shared" si="31"/>
        <v>0.90979301215499842</v>
      </c>
      <c r="AS46" s="289">
        <f t="shared" si="31"/>
        <v>0.91731026114208192</v>
      </c>
      <c r="AT46" s="289">
        <f t="shared" si="31"/>
        <v>0.92482751012916531</v>
      </c>
      <c r="AU46" s="289">
        <f t="shared" si="31"/>
        <v>0.93234475911624881</v>
      </c>
      <c r="AV46" s="289">
        <f t="shared" si="31"/>
        <v>0.9398620081033322</v>
      </c>
      <c r="AW46" s="289">
        <f t="shared" si="31"/>
        <v>0.94737925709041571</v>
      </c>
      <c r="AX46" s="289">
        <f t="shared" si="31"/>
        <v>0.95489650607749921</v>
      </c>
      <c r="AY46" s="289">
        <f t="shared" si="31"/>
        <v>0.9624137550645826</v>
      </c>
      <c r="AZ46" s="289">
        <f t="shared" si="31"/>
        <v>0.9699310040516661</v>
      </c>
      <c r="BA46" s="289">
        <f t="shared" si="31"/>
        <v>0.9774482530387496</v>
      </c>
      <c r="BB46" s="289">
        <f t="shared" si="31"/>
        <v>0.98496550202583311</v>
      </c>
      <c r="BC46" s="289">
        <f t="shared" si="31"/>
        <v>0.9924827510129165</v>
      </c>
      <c r="BD46" s="289"/>
      <c r="BE46" s="293">
        <f t="shared" ref="BE46:BE52" si="32">PRODUCT(T46:AE46)</f>
        <v>4.3634395909183589E-2</v>
      </c>
      <c r="BF46" s="293">
        <f t="shared" ref="BF46:BF52" si="33">PRODUCT(AF46:AQ46)</f>
        <v>0.16491121381850515</v>
      </c>
      <c r="BG46" s="293">
        <f t="shared" ref="BG46:BG52" si="34">PRODUCT(AR46:BC46)</f>
        <v>0.54573375662529555</v>
      </c>
    </row>
    <row r="47" spans="1:66" s="7" customFormat="1">
      <c r="T47" s="289">
        <f t="shared" ref="T47:BC47" si="35">1-T38</f>
        <v>0.74738049463028933</v>
      </c>
      <c r="U47" s="289">
        <f t="shared" si="35"/>
        <v>0.75439770311278131</v>
      </c>
      <c r="V47" s="289">
        <f t="shared" si="35"/>
        <v>0.7614149115952733</v>
      </c>
      <c r="W47" s="289">
        <f t="shared" si="35"/>
        <v>0.76843212007776529</v>
      </c>
      <c r="X47" s="289">
        <f t="shared" si="35"/>
        <v>0.77544932856025728</v>
      </c>
      <c r="Y47" s="289">
        <f t="shared" si="35"/>
        <v>0.78246653704274916</v>
      </c>
      <c r="Z47" s="289">
        <f t="shared" si="35"/>
        <v>0.78948374552524114</v>
      </c>
      <c r="AA47" s="289">
        <f t="shared" si="35"/>
        <v>0.79650095400773313</v>
      </c>
      <c r="AB47" s="289">
        <f t="shared" si="35"/>
        <v>0.80351816249022501</v>
      </c>
      <c r="AC47" s="289">
        <f t="shared" si="35"/>
        <v>0.810535370972717</v>
      </c>
      <c r="AD47" s="289">
        <f t="shared" si="35"/>
        <v>0.81755257945520898</v>
      </c>
      <c r="AE47" s="289">
        <f t="shared" si="35"/>
        <v>0.82456978793770097</v>
      </c>
      <c r="AF47" s="289">
        <f t="shared" si="35"/>
        <v>0.83158699642019296</v>
      </c>
      <c r="AG47" s="289">
        <f t="shared" si="35"/>
        <v>0.83860420490268495</v>
      </c>
      <c r="AH47" s="289">
        <f t="shared" si="35"/>
        <v>0.84562141338517682</v>
      </c>
      <c r="AI47" s="289">
        <f t="shared" si="35"/>
        <v>0.85263862186766881</v>
      </c>
      <c r="AJ47" s="289">
        <f t="shared" si="35"/>
        <v>0.8596558303501608</v>
      </c>
      <c r="AK47" s="289">
        <f t="shared" si="35"/>
        <v>0.86667303883265268</v>
      </c>
      <c r="AL47" s="289">
        <f t="shared" si="35"/>
        <v>0.87369024731514466</v>
      </c>
      <c r="AM47" s="289">
        <f t="shared" si="35"/>
        <v>0.88070745579763665</v>
      </c>
      <c r="AN47" s="289">
        <f t="shared" si="35"/>
        <v>0.88772466428012864</v>
      </c>
      <c r="AO47" s="289">
        <f t="shared" si="35"/>
        <v>0.89474187276262052</v>
      </c>
      <c r="AP47" s="289">
        <f t="shared" si="35"/>
        <v>0.9017590812451125</v>
      </c>
      <c r="AQ47" s="289">
        <f t="shared" si="35"/>
        <v>0.90877628972760449</v>
      </c>
      <c r="AR47" s="289">
        <f t="shared" si="35"/>
        <v>0.91579349821009648</v>
      </c>
      <c r="AS47" s="289">
        <f t="shared" si="35"/>
        <v>0.92281070669258836</v>
      </c>
      <c r="AT47" s="289">
        <f t="shared" si="35"/>
        <v>0.92982791517508034</v>
      </c>
      <c r="AU47" s="289">
        <f t="shared" si="35"/>
        <v>0.93684512365757233</v>
      </c>
      <c r="AV47" s="289">
        <f t="shared" si="35"/>
        <v>0.94386233214006432</v>
      </c>
      <c r="AW47" s="289">
        <f t="shared" si="35"/>
        <v>0.9508795406225562</v>
      </c>
      <c r="AX47" s="289">
        <f t="shared" si="35"/>
        <v>0.95789674910504818</v>
      </c>
      <c r="AY47" s="289">
        <f t="shared" si="35"/>
        <v>0.96491395758754017</v>
      </c>
      <c r="AZ47" s="289">
        <f t="shared" si="35"/>
        <v>0.97193116607003216</v>
      </c>
      <c r="BA47" s="289">
        <f t="shared" si="35"/>
        <v>0.97894837455252415</v>
      </c>
      <c r="BB47" s="289">
        <f t="shared" si="35"/>
        <v>0.98596558303501602</v>
      </c>
      <c r="BC47" s="289">
        <f t="shared" si="35"/>
        <v>0.99298279151750801</v>
      </c>
      <c r="BD47" s="289"/>
      <c r="BE47" s="293">
        <f t="shared" si="32"/>
        <v>5.5262238969269142E-2</v>
      </c>
      <c r="BF47" s="293">
        <f t="shared" si="33"/>
        <v>0.18762828944444318</v>
      </c>
      <c r="BG47" s="293">
        <f t="shared" si="34"/>
        <v>0.56888015338697473</v>
      </c>
    </row>
    <row r="48" spans="1:66" s="7" customFormat="1">
      <c r="T48" s="289">
        <f t="shared" ref="T48:BC48" si="36">1-T39</f>
        <v>0.8078121861426576</v>
      </c>
      <c r="U48" s="289">
        <f t="shared" si="36"/>
        <v>0.81315073652758374</v>
      </c>
      <c r="V48" s="289">
        <f t="shared" si="36"/>
        <v>0.81848928691250999</v>
      </c>
      <c r="W48" s="289">
        <f t="shared" si="36"/>
        <v>0.82382783729743614</v>
      </c>
      <c r="X48" s="289">
        <f t="shared" si="36"/>
        <v>0.82916638768236228</v>
      </c>
      <c r="Y48" s="289">
        <f t="shared" si="36"/>
        <v>0.83450493806728843</v>
      </c>
      <c r="Z48" s="289">
        <f t="shared" si="36"/>
        <v>0.83984348845221468</v>
      </c>
      <c r="AA48" s="289">
        <f t="shared" si="36"/>
        <v>0.84518203883714083</v>
      </c>
      <c r="AB48" s="289">
        <f t="shared" si="36"/>
        <v>0.85052058922206708</v>
      </c>
      <c r="AC48" s="289">
        <f t="shared" si="36"/>
        <v>0.85585913960699322</v>
      </c>
      <c r="AD48" s="289">
        <f t="shared" si="36"/>
        <v>0.86119768999191937</v>
      </c>
      <c r="AE48" s="289">
        <f t="shared" si="36"/>
        <v>0.86653624037684551</v>
      </c>
      <c r="AF48" s="289">
        <f t="shared" si="36"/>
        <v>0.87187479076177166</v>
      </c>
      <c r="AG48" s="289">
        <f t="shared" si="36"/>
        <v>0.87721334114669791</v>
      </c>
      <c r="AH48" s="289">
        <f t="shared" si="36"/>
        <v>0.88255189153162406</v>
      </c>
      <c r="AI48" s="289">
        <f t="shared" si="36"/>
        <v>0.88789044191655031</v>
      </c>
      <c r="AJ48" s="289">
        <f t="shared" si="36"/>
        <v>0.89322899230147645</v>
      </c>
      <c r="AK48" s="289">
        <f t="shared" si="36"/>
        <v>0.8985675426864026</v>
      </c>
      <c r="AL48" s="289">
        <f t="shared" si="36"/>
        <v>0.90390609307132874</v>
      </c>
      <c r="AM48" s="289">
        <f t="shared" si="36"/>
        <v>0.909244643456255</v>
      </c>
      <c r="AN48" s="289">
        <f t="shared" si="36"/>
        <v>0.91458319384118114</v>
      </c>
      <c r="AO48" s="289">
        <f t="shared" si="36"/>
        <v>0.91992174422610729</v>
      </c>
      <c r="AP48" s="289">
        <f t="shared" si="36"/>
        <v>0.92526029461103354</v>
      </c>
      <c r="AQ48" s="289">
        <f t="shared" si="36"/>
        <v>0.93059884499595968</v>
      </c>
      <c r="AR48" s="289">
        <f t="shared" si="36"/>
        <v>0.93593739538088583</v>
      </c>
      <c r="AS48" s="289">
        <f t="shared" si="36"/>
        <v>0.94127594576581208</v>
      </c>
      <c r="AT48" s="289">
        <f t="shared" si="36"/>
        <v>0.94661449615073823</v>
      </c>
      <c r="AU48" s="289">
        <f t="shared" si="36"/>
        <v>0.95195304653566437</v>
      </c>
      <c r="AV48" s="289">
        <f t="shared" si="36"/>
        <v>0.95729159692059052</v>
      </c>
      <c r="AW48" s="289">
        <f t="shared" si="36"/>
        <v>0.96263014730551677</v>
      </c>
      <c r="AX48" s="289">
        <f t="shared" si="36"/>
        <v>0.96796869769044291</v>
      </c>
      <c r="AY48" s="289">
        <f t="shared" si="36"/>
        <v>0.97330724807536906</v>
      </c>
      <c r="AZ48" s="289">
        <f t="shared" si="36"/>
        <v>0.97864579846029531</v>
      </c>
      <c r="BA48" s="289">
        <f t="shared" si="36"/>
        <v>0.98398434884522146</v>
      </c>
      <c r="BB48" s="289">
        <f t="shared" si="36"/>
        <v>0.9893228992301476</v>
      </c>
      <c r="BC48" s="289">
        <f t="shared" si="36"/>
        <v>0.99466144961507386</v>
      </c>
      <c r="BD48" s="289"/>
      <c r="BE48" s="293">
        <f t="shared" si="32"/>
        <v>0.11817533747219064</v>
      </c>
      <c r="BF48" s="293">
        <f t="shared" si="33"/>
        <v>0.28640270741038626</v>
      </c>
      <c r="BG48" s="293">
        <f t="shared" si="34"/>
        <v>0.65312226571792475</v>
      </c>
    </row>
    <row r="49" spans="1:59" s="7" customFormat="1">
      <c r="T49" s="289">
        <f t="shared" ref="T49:BC49" si="37">1-T40</f>
        <v>0.82332530430004713</v>
      </c>
      <c r="U49" s="289">
        <f t="shared" si="37"/>
        <v>0.82823293473615689</v>
      </c>
      <c r="V49" s="289">
        <f t="shared" si="37"/>
        <v>0.83314056517226676</v>
      </c>
      <c r="W49" s="289">
        <f t="shared" si="37"/>
        <v>0.83804819560837651</v>
      </c>
      <c r="X49" s="289">
        <f t="shared" si="37"/>
        <v>0.84295582604448627</v>
      </c>
      <c r="Y49" s="289">
        <f t="shared" si="37"/>
        <v>0.84786345648059613</v>
      </c>
      <c r="Z49" s="289">
        <f t="shared" si="37"/>
        <v>0.85277108691670589</v>
      </c>
      <c r="AA49" s="289">
        <f t="shared" si="37"/>
        <v>0.85767871735281576</v>
      </c>
      <c r="AB49" s="289">
        <f t="shared" si="37"/>
        <v>0.86258634778892551</v>
      </c>
      <c r="AC49" s="289">
        <f t="shared" si="37"/>
        <v>0.86749397822503527</v>
      </c>
      <c r="AD49" s="289">
        <f t="shared" si="37"/>
        <v>0.87240160866114513</v>
      </c>
      <c r="AE49" s="289">
        <f t="shared" si="37"/>
        <v>0.877309239097255</v>
      </c>
      <c r="AF49" s="289">
        <f t="shared" si="37"/>
        <v>0.88221686953336476</v>
      </c>
      <c r="AG49" s="289">
        <f t="shared" si="37"/>
        <v>0.88712449996947451</v>
      </c>
      <c r="AH49" s="289">
        <f t="shared" si="37"/>
        <v>0.89203213040558438</v>
      </c>
      <c r="AI49" s="289">
        <f t="shared" si="37"/>
        <v>0.89693976084169413</v>
      </c>
      <c r="AJ49" s="289">
        <f t="shared" si="37"/>
        <v>0.901847391277804</v>
      </c>
      <c r="AK49" s="289">
        <f t="shared" si="37"/>
        <v>0.90675502171391376</v>
      </c>
      <c r="AL49" s="289">
        <f t="shared" si="37"/>
        <v>0.91166265215002351</v>
      </c>
      <c r="AM49" s="289">
        <f t="shared" si="37"/>
        <v>0.91657028258613338</v>
      </c>
      <c r="AN49" s="289">
        <f t="shared" si="37"/>
        <v>0.92147791302224313</v>
      </c>
      <c r="AO49" s="289">
        <f t="shared" si="37"/>
        <v>0.926385543458353</v>
      </c>
      <c r="AP49" s="289">
        <f t="shared" si="37"/>
        <v>0.93129317389446276</v>
      </c>
      <c r="AQ49" s="289">
        <f t="shared" si="37"/>
        <v>0.93620080433057251</v>
      </c>
      <c r="AR49" s="289">
        <f t="shared" si="37"/>
        <v>0.94110843476668238</v>
      </c>
      <c r="AS49" s="289">
        <f t="shared" si="37"/>
        <v>0.94601606520279213</v>
      </c>
      <c r="AT49" s="289">
        <f t="shared" si="37"/>
        <v>0.950923695638902</v>
      </c>
      <c r="AU49" s="289">
        <f t="shared" si="37"/>
        <v>0.95583132607501176</v>
      </c>
      <c r="AV49" s="289">
        <f t="shared" si="37"/>
        <v>0.96073895651112151</v>
      </c>
      <c r="AW49" s="289">
        <f t="shared" si="37"/>
        <v>0.96564658694723138</v>
      </c>
      <c r="AX49" s="289">
        <f t="shared" si="37"/>
        <v>0.97055421738334113</v>
      </c>
      <c r="AY49" s="289">
        <f t="shared" si="37"/>
        <v>0.975461847819451</v>
      </c>
      <c r="AZ49" s="289">
        <f t="shared" si="37"/>
        <v>0.98036947825556076</v>
      </c>
      <c r="BA49" s="289">
        <f t="shared" si="37"/>
        <v>0.98527710869167062</v>
      </c>
      <c r="BB49" s="289">
        <f t="shared" si="37"/>
        <v>0.99018473912778038</v>
      </c>
      <c r="BC49" s="289">
        <f t="shared" si="37"/>
        <v>0.99509236956389024</v>
      </c>
      <c r="BD49" s="289"/>
      <c r="BE49" s="293">
        <f t="shared" si="32"/>
        <v>0.14254017245748438</v>
      </c>
      <c r="BF49" s="293">
        <f t="shared" si="33"/>
        <v>0.3184628614184159</v>
      </c>
      <c r="BG49" s="293">
        <f t="shared" si="34"/>
        <v>0.67646698575107711</v>
      </c>
    </row>
    <row r="50" spans="1:59" s="7" customFormat="1">
      <c r="T50" s="289">
        <f t="shared" ref="T50:BC50" si="38">1-T41</f>
        <v>0.81492681496998998</v>
      </c>
      <c r="U50" s="289">
        <f t="shared" si="38"/>
        <v>0.82006773677637912</v>
      </c>
      <c r="V50" s="289">
        <f t="shared" si="38"/>
        <v>0.82520865858276826</v>
      </c>
      <c r="W50" s="289">
        <f t="shared" si="38"/>
        <v>0.83034958038915752</v>
      </c>
      <c r="X50" s="289">
        <f t="shared" si="38"/>
        <v>0.83549050219554666</v>
      </c>
      <c r="Y50" s="289">
        <f t="shared" si="38"/>
        <v>0.8406314240019358</v>
      </c>
      <c r="Z50" s="289">
        <f t="shared" si="38"/>
        <v>0.84577234580832494</v>
      </c>
      <c r="AA50" s="289">
        <f t="shared" si="38"/>
        <v>0.8509132676147142</v>
      </c>
      <c r="AB50" s="289">
        <f t="shared" si="38"/>
        <v>0.85605418942110334</v>
      </c>
      <c r="AC50" s="289">
        <f t="shared" si="38"/>
        <v>0.86119511122749248</v>
      </c>
      <c r="AD50" s="289">
        <f t="shared" si="38"/>
        <v>0.86633603303388163</v>
      </c>
      <c r="AE50" s="289">
        <f t="shared" si="38"/>
        <v>0.87147695484027077</v>
      </c>
      <c r="AF50" s="289">
        <f t="shared" si="38"/>
        <v>0.87661787664665991</v>
      </c>
      <c r="AG50" s="289">
        <f t="shared" si="38"/>
        <v>0.88175879845304916</v>
      </c>
      <c r="AH50" s="289">
        <f t="shared" si="38"/>
        <v>0.88689972025943831</v>
      </c>
      <c r="AI50" s="289">
        <f t="shared" si="38"/>
        <v>0.89204064206582745</v>
      </c>
      <c r="AJ50" s="289">
        <f t="shared" si="38"/>
        <v>0.8971815638722167</v>
      </c>
      <c r="AK50" s="289">
        <f t="shared" si="38"/>
        <v>0.90232248567860585</v>
      </c>
      <c r="AL50" s="289">
        <f t="shared" si="38"/>
        <v>0.90746340748499499</v>
      </c>
      <c r="AM50" s="289">
        <f t="shared" si="38"/>
        <v>0.91260432929138413</v>
      </c>
      <c r="AN50" s="289">
        <f t="shared" si="38"/>
        <v>0.91774525109777327</v>
      </c>
      <c r="AO50" s="289">
        <f t="shared" si="38"/>
        <v>0.92288617290416242</v>
      </c>
      <c r="AP50" s="289">
        <f t="shared" si="38"/>
        <v>0.92802709471055167</v>
      </c>
      <c r="AQ50" s="289">
        <f t="shared" si="38"/>
        <v>0.93316801651694081</v>
      </c>
      <c r="AR50" s="289">
        <f t="shared" si="38"/>
        <v>0.93830893832332996</v>
      </c>
      <c r="AS50" s="289">
        <f t="shared" si="38"/>
        <v>0.94344986012971921</v>
      </c>
      <c r="AT50" s="289">
        <f t="shared" si="38"/>
        <v>0.94859078193610835</v>
      </c>
      <c r="AU50" s="289">
        <f t="shared" si="38"/>
        <v>0.95373170374249749</v>
      </c>
      <c r="AV50" s="289">
        <f t="shared" si="38"/>
        <v>0.95887262554888664</v>
      </c>
      <c r="AW50" s="289">
        <f t="shared" si="38"/>
        <v>0.96401354735527578</v>
      </c>
      <c r="AX50" s="289">
        <f t="shared" si="38"/>
        <v>0.96915446916166503</v>
      </c>
      <c r="AY50" s="289">
        <f t="shared" si="38"/>
        <v>0.97429539096805418</v>
      </c>
      <c r="AZ50" s="289">
        <f t="shared" si="38"/>
        <v>0.97943631277444332</v>
      </c>
      <c r="BA50" s="289">
        <f t="shared" si="38"/>
        <v>0.98457723458083246</v>
      </c>
      <c r="BB50" s="289">
        <f t="shared" si="38"/>
        <v>0.98971815638722171</v>
      </c>
      <c r="BC50" s="289">
        <f t="shared" si="38"/>
        <v>0.99485907819361086</v>
      </c>
      <c r="BD50" s="289"/>
      <c r="BE50" s="293">
        <f t="shared" si="32"/>
        <v>0.1288321022042748</v>
      </c>
      <c r="BF50" s="293">
        <f t="shared" si="33"/>
        <v>0.30072105606821048</v>
      </c>
      <c r="BG50" s="293">
        <f t="shared" si="34"/>
        <v>0.6637378769453014</v>
      </c>
    </row>
    <row r="51" spans="1:59" s="7" customFormat="1">
      <c r="T51" s="289">
        <f>1-T42</f>
        <v>0.78933327764634997</v>
      </c>
      <c r="U51" s="289">
        <f t="shared" ref="U51:BC52" si="39">1-U42</f>
        <v>0.7951851310450625</v>
      </c>
      <c r="V51" s="289">
        <f t="shared" si="39"/>
        <v>0.80103698444377502</v>
      </c>
      <c r="W51" s="289">
        <f t="shared" si="39"/>
        <v>0.80688883784248755</v>
      </c>
      <c r="X51" s="289">
        <f t="shared" si="39"/>
        <v>0.81274069124120008</v>
      </c>
      <c r="Y51" s="289">
        <f t="shared" si="39"/>
        <v>0.81859254463991249</v>
      </c>
      <c r="Z51" s="289">
        <f t="shared" si="39"/>
        <v>0.82444439803862501</v>
      </c>
      <c r="AA51" s="289">
        <f t="shared" si="39"/>
        <v>0.83029625143733754</v>
      </c>
      <c r="AB51" s="289">
        <f t="shared" si="39"/>
        <v>0.83614810483604995</v>
      </c>
      <c r="AC51" s="289">
        <f t="shared" si="39"/>
        <v>0.84199995823476248</v>
      </c>
      <c r="AD51" s="289">
        <f t="shared" si="39"/>
        <v>0.84785181163347501</v>
      </c>
      <c r="AE51" s="289">
        <f t="shared" si="39"/>
        <v>0.85370366503218753</v>
      </c>
      <c r="AF51" s="289">
        <f t="shared" si="39"/>
        <v>0.85955551843089995</v>
      </c>
      <c r="AG51" s="289">
        <f t="shared" si="39"/>
        <v>0.86540737182961247</v>
      </c>
      <c r="AH51" s="289">
        <f t="shared" si="39"/>
        <v>0.871259225228325</v>
      </c>
      <c r="AI51" s="289">
        <f t="shared" si="39"/>
        <v>0.87711107862703752</v>
      </c>
      <c r="AJ51" s="289">
        <f t="shared" si="39"/>
        <v>0.88296293202574994</v>
      </c>
      <c r="AK51" s="289">
        <f t="shared" si="39"/>
        <v>0.88881478542446246</v>
      </c>
      <c r="AL51" s="289">
        <f t="shared" si="39"/>
        <v>0.89466663882317499</v>
      </c>
      <c r="AM51" s="289">
        <f t="shared" si="39"/>
        <v>0.90051849222188751</v>
      </c>
      <c r="AN51" s="289">
        <f t="shared" si="39"/>
        <v>0.90637034562060004</v>
      </c>
      <c r="AO51" s="289">
        <f t="shared" si="39"/>
        <v>0.91222219901931245</v>
      </c>
      <c r="AP51" s="289">
        <f t="shared" si="39"/>
        <v>0.91807405241802498</v>
      </c>
      <c r="AQ51" s="289">
        <f t="shared" si="39"/>
        <v>0.9239259058167375</v>
      </c>
      <c r="AR51" s="289">
        <f t="shared" si="39"/>
        <v>0.92977775921545003</v>
      </c>
      <c r="AS51" s="289">
        <f t="shared" si="39"/>
        <v>0.93562961261416255</v>
      </c>
      <c r="AT51" s="289">
        <f t="shared" si="39"/>
        <v>0.94148146601287497</v>
      </c>
      <c r="AU51" s="289">
        <f t="shared" si="39"/>
        <v>0.94733331941158749</v>
      </c>
      <c r="AV51" s="289">
        <f t="shared" si="39"/>
        <v>0.95318517281030002</v>
      </c>
      <c r="AW51" s="289">
        <f t="shared" si="39"/>
        <v>0.95903702620901243</v>
      </c>
      <c r="AX51" s="289">
        <f t="shared" si="39"/>
        <v>0.96488887960772496</v>
      </c>
      <c r="AY51" s="289">
        <f t="shared" si="39"/>
        <v>0.97074073300643748</v>
      </c>
      <c r="AZ51" s="289">
        <f t="shared" si="39"/>
        <v>0.97659258640515001</v>
      </c>
      <c r="BA51" s="289">
        <f t="shared" si="39"/>
        <v>0.98244443980386253</v>
      </c>
      <c r="BB51" s="289">
        <f t="shared" si="39"/>
        <v>0.98829629320257495</v>
      </c>
      <c r="BC51" s="289">
        <f t="shared" si="39"/>
        <v>0.99414814660128747</v>
      </c>
      <c r="BD51" s="289"/>
      <c r="BE51" s="293">
        <f t="shared" si="32"/>
        <v>9.415243469204336E-2</v>
      </c>
      <c r="BF51" s="293">
        <f t="shared" si="33"/>
        <v>0.25207240930101255</v>
      </c>
      <c r="BG51" s="293">
        <f t="shared" si="34"/>
        <v>0.62625412949328974</v>
      </c>
    </row>
    <row r="52" spans="1:59" s="7" customFormat="1">
      <c r="T52" s="289">
        <f>1-T43</f>
        <v>0.71351894428857354</v>
      </c>
      <c r="U52" s="289">
        <f t="shared" si="39"/>
        <v>0.72147675139166867</v>
      </c>
      <c r="V52" s="289">
        <f t="shared" si="39"/>
        <v>0.72943455849476391</v>
      </c>
      <c r="W52" s="289">
        <f t="shared" si="39"/>
        <v>0.73739236559785915</v>
      </c>
      <c r="X52" s="289">
        <f t="shared" si="39"/>
        <v>0.74535017270095427</v>
      </c>
      <c r="Y52" s="289">
        <f t="shared" si="39"/>
        <v>0.7533079798040494</v>
      </c>
      <c r="Z52" s="289">
        <f t="shared" si="39"/>
        <v>0.76126578690714464</v>
      </c>
      <c r="AA52" s="289">
        <f t="shared" si="39"/>
        <v>0.76922359401023976</v>
      </c>
      <c r="AB52" s="289">
        <f t="shared" si="39"/>
        <v>0.777181401113335</v>
      </c>
      <c r="AC52" s="289">
        <f t="shared" si="39"/>
        <v>0.78513920821643013</v>
      </c>
      <c r="AD52" s="289">
        <f t="shared" si="39"/>
        <v>0.79309701531952537</v>
      </c>
      <c r="AE52" s="289">
        <f t="shared" si="39"/>
        <v>0.80105482242262049</v>
      </c>
      <c r="AF52" s="289">
        <f t="shared" si="39"/>
        <v>0.80901262952571562</v>
      </c>
      <c r="AG52" s="289">
        <f t="shared" si="39"/>
        <v>0.81697043662881086</v>
      </c>
      <c r="AH52" s="289">
        <f t="shared" si="39"/>
        <v>0.8249282437319061</v>
      </c>
      <c r="AI52" s="289">
        <f t="shared" si="39"/>
        <v>0.83288605083500122</v>
      </c>
      <c r="AJ52" s="289">
        <f t="shared" si="39"/>
        <v>0.84084385793809635</v>
      </c>
      <c r="AK52" s="289">
        <f t="shared" si="39"/>
        <v>0.84880166504119159</v>
      </c>
      <c r="AL52" s="289">
        <f t="shared" si="39"/>
        <v>0.85675947214428683</v>
      </c>
      <c r="AM52" s="289">
        <f t="shared" si="39"/>
        <v>0.86471727924738195</v>
      </c>
      <c r="AN52" s="289">
        <f t="shared" si="39"/>
        <v>0.87267508635047708</v>
      </c>
      <c r="AO52" s="289">
        <f t="shared" si="39"/>
        <v>0.88063289345357232</v>
      </c>
      <c r="AP52" s="289">
        <f t="shared" si="39"/>
        <v>0.88859070055666745</v>
      </c>
      <c r="AQ52" s="289">
        <f t="shared" si="39"/>
        <v>0.89654850765976268</v>
      </c>
      <c r="AR52" s="289">
        <f t="shared" si="39"/>
        <v>0.90450631476285781</v>
      </c>
      <c r="AS52" s="289">
        <f t="shared" si="39"/>
        <v>0.91246412186595305</v>
      </c>
      <c r="AT52" s="289">
        <f t="shared" si="39"/>
        <v>0.92042192896904818</v>
      </c>
      <c r="AU52" s="289">
        <f t="shared" si="39"/>
        <v>0.92837973607214341</v>
      </c>
      <c r="AV52" s="289">
        <f t="shared" si="39"/>
        <v>0.93633754317523854</v>
      </c>
      <c r="AW52" s="289">
        <f t="shared" si="39"/>
        <v>0.94429535027833378</v>
      </c>
      <c r="AX52" s="289">
        <f t="shared" si="39"/>
        <v>0.95225315738142891</v>
      </c>
      <c r="AY52" s="289">
        <f t="shared" si="39"/>
        <v>0.96021096448452403</v>
      </c>
      <c r="AZ52" s="289">
        <f t="shared" si="39"/>
        <v>0.96816877158761927</v>
      </c>
      <c r="BA52" s="289">
        <f t="shared" si="39"/>
        <v>0.97612657869071451</v>
      </c>
      <c r="BB52" s="289">
        <f t="shared" si="39"/>
        <v>0.98408438579380964</v>
      </c>
      <c r="BC52" s="289">
        <f t="shared" si="39"/>
        <v>0.99204219289690476</v>
      </c>
      <c r="BD52" s="289"/>
      <c r="BE52" s="293">
        <f t="shared" si="32"/>
        <v>3.5293300491672563E-2</v>
      </c>
      <c r="BF52" s="293">
        <f t="shared" si="33"/>
        <v>0.1470080348196024</v>
      </c>
      <c r="BG52" s="293">
        <f t="shared" si="34"/>
        <v>0.52604036868089044</v>
      </c>
    </row>
    <row r="53" spans="1:59" s="7" customFormat="1"/>
    <row r="54" spans="1:59" s="7" customFormat="1">
      <c r="T54" s="289">
        <f>AVERAGE(T45:T52)</f>
        <v>0.77467896577589768</v>
      </c>
      <c r="U54" s="289">
        <f t="shared" ref="U54:BC54" si="40">AVERAGE(U45:U52)</f>
        <v>0.780937883393234</v>
      </c>
      <c r="V54" s="289">
        <f t="shared" si="40"/>
        <v>0.7871968010105701</v>
      </c>
      <c r="W54" s="289">
        <f t="shared" si="40"/>
        <v>0.79345571862790643</v>
      </c>
      <c r="X54" s="289">
        <f t="shared" si="40"/>
        <v>0.79971463624524253</v>
      </c>
      <c r="Y54" s="289">
        <f t="shared" si="40"/>
        <v>0.80597355386257874</v>
      </c>
      <c r="Z54" s="289">
        <f t="shared" si="40"/>
        <v>0.81223247147991495</v>
      </c>
      <c r="AA54" s="289">
        <f t="shared" si="40"/>
        <v>0.81849138909725105</v>
      </c>
      <c r="AB54" s="289">
        <f t="shared" si="40"/>
        <v>0.82475030671458727</v>
      </c>
      <c r="AC54" s="289">
        <f t="shared" si="40"/>
        <v>0.83100922433192326</v>
      </c>
      <c r="AD54" s="289">
        <f t="shared" si="40"/>
        <v>0.83726814194925969</v>
      </c>
      <c r="AE54" s="289">
        <f t="shared" si="40"/>
        <v>0.84352705956659579</v>
      </c>
      <c r="AF54" s="289">
        <f t="shared" si="40"/>
        <v>0.84978597718393201</v>
      </c>
      <c r="AG54" s="289">
        <f t="shared" si="40"/>
        <v>0.85604489480126811</v>
      </c>
      <c r="AH54" s="289">
        <f t="shared" si="40"/>
        <v>0.86230381241860421</v>
      </c>
      <c r="AI54" s="289">
        <f t="shared" si="40"/>
        <v>0.86856273003594053</v>
      </c>
      <c r="AJ54" s="289">
        <f t="shared" si="40"/>
        <v>0.87482164765327652</v>
      </c>
      <c r="AK54" s="289">
        <f t="shared" si="40"/>
        <v>0.88108056527061274</v>
      </c>
      <c r="AL54" s="289">
        <f t="shared" si="40"/>
        <v>0.88733948288794884</v>
      </c>
      <c r="AM54" s="289">
        <f t="shared" si="40"/>
        <v>0.89359840050528516</v>
      </c>
      <c r="AN54" s="289">
        <f t="shared" si="40"/>
        <v>0.89985731812262115</v>
      </c>
      <c r="AO54" s="289">
        <f t="shared" si="40"/>
        <v>0.90611623573995748</v>
      </c>
      <c r="AP54" s="289">
        <f t="shared" si="40"/>
        <v>0.91237515335729369</v>
      </c>
      <c r="AQ54" s="289">
        <f t="shared" si="40"/>
        <v>0.91863407097462979</v>
      </c>
      <c r="AR54" s="289">
        <f t="shared" si="40"/>
        <v>0.924892988591966</v>
      </c>
      <c r="AS54" s="289">
        <f t="shared" si="40"/>
        <v>0.93115190620930199</v>
      </c>
      <c r="AT54" s="289">
        <f t="shared" si="40"/>
        <v>0.93741082382663832</v>
      </c>
      <c r="AU54" s="289">
        <f t="shared" si="40"/>
        <v>0.94366974144397442</v>
      </c>
      <c r="AV54" s="289">
        <f t="shared" si="40"/>
        <v>0.94992865906131052</v>
      </c>
      <c r="AW54" s="289">
        <f t="shared" si="40"/>
        <v>0.95618757667864684</v>
      </c>
      <c r="AX54" s="289">
        <f t="shared" si="40"/>
        <v>0.96244649429598284</v>
      </c>
      <c r="AY54" s="289">
        <f t="shared" si="40"/>
        <v>0.96870541191331916</v>
      </c>
      <c r="AZ54" s="289">
        <f t="shared" si="40"/>
        <v>0.97496432953065537</v>
      </c>
      <c r="BA54" s="289">
        <f t="shared" si="40"/>
        <v>0.98122324714799158</v>
      </c>
      <c r="BB54" s="289">
        <f t="shared" si="40"/>
        <v>0.98748216476532769</v>
      </c>
      <c r="BC54" s="289">
        <f t="shared" si="40"/>
        <v>0.99374108238266379</v>
      </c>
    </row>
    <row r="56" spans="1:59" ht="15.6">
      <c r="A56" s="494" t="s">
        <v>731</v>
      </c>
      <c r="B56" s="494"/>
      <c r="C56" s="494"/>
      <c r="D56" s="494"/>
      <c r="E56" s="494"/>
      <c r="F56" s="493"/>
      <c r="G56" s="493"/>
      <c r="H56" s="493"/>
      <c r="I56" s="493"/>
      <c r="J56" s="493"/>
      <c r="K56" s="493"/>
      <c r="L56" s="493"/>
    </row>
    <row r="57" spans="1:59">
      <c r="C57" t="s">
        <v>729</v>
      </c>
    </row>
    <row r="58" spans="1:59">
      <c r="A58" t="s">
        <v>730</v>
      </c>
      <c r="B58" s="297" t="s">
        <v>732</v>
      </c>
      <c r="C58" s="297" t="s">
        <v>726</v>
      </c>
      <c r="D58" s="297" t="s">
        <v>727</v>
      </c>
      <c r="E58" s="297" t="s">
        <v>728</v>
      </c>
      <c r="F58" s="297"/>
      <c r="G58" s="297"/>
      <c r="H58" s="297"/>
      <c r="I58" s="297"/>
      <c r="J58" s="297"/>
    </row>
    <row r="59" spans="1:59">
      <c r="A59">
        <v>2004</v>
      </c>
      <c r="B59" s="25">
        <f>S.AdOcn!M24/S.AdOcn!E5</f>
        <v>13863.814000000002</v>
      </c>
      <c r="C59" s="38">
        <f>S.AdOcn!N24</f>
        <v>361.84554539999999</v>
      </c>
      <c r="D59" s="38">
        <f>S.AdOcn!O24</f>
        <v>235.74785533636367</v>
      </c>
      <c r="E59" s="38">
        <f>S.AdOcn!P24</f>
        <v>5.4825082636363636</v>
      </c>
      <c r="F59" s="297"/>
    </row>
    <row r="60" spans="1:59">
      <c r="A60">
        <v>2005</v>
      </c>
      <c r="B60" s="25">
        <f>S.AdOcn!M25/S.AdOcn!E6</f>
        <v>14085.748868421053</v>
      </c>
      <c r="C60" s="38">
        <f>S.AdOcn!N25</f>
        <v>271.94032133548649</v>
      </c>
      <c r="D60" s="38">
        <f>S.AdOcn!O25</f>
        <v>118.23492231977671</v>
      </c>
      <c r="E60" s="492">
        <v>1E-3</v>
      </c>
      <c r="F60" s="297"/>
    </row>
    <row r="61" spans="1:59">
      <c r="A61" s="297">
        <v>2006</v>
      </c>
      <c r="B61" s="25">
        <f>S.AdOcn!M26/S.AdOcn!E7</f>
        <v>20152.102371428573</v>
      </c>
      <c r="C61" s="38">
        <f>S.AdOcn!N26</f>
        <v>443.03137557187506</v>
      </c>
      <c r="D61" s="38">
        <f>S.AdOcn!O26</f>
        <v>232.06405387098218</v>
      </c>
      <c r="E61" s="492">
        <v>1E-3</v>
      </c>
      <c r="F61" s="297"/>
    </row>
    <row r="62" spans="1:59">
      <c r="A62" s="297">
        <v>2007</v>
      </c>
      <c r="B62" s="25">
        <f>S.AdOcn!M27/S.AdOcn!E8</f>
        <v>17893.306730769229</v>
      </c>
      <c r="C62" s="38">
        <f>S.AdOcn!N27</f>
        <v>1151.395389632107</v>
      </c>
      <c r="D62" s="38">
        <f>S.AdOcn!O27</f>
        <v>423.21560267558533</v>
      </c>
      <c r="E62" s="492">
        <v>1E-3</v>
      </c>
      <c r="F62" s="297"/>
    </row>
    <row r="63" spans="1:59">
      <c r="A63" s="297">
        <v>2008</v>
      </c>
      <c r="B63" s="25">
        <f>S.AdOcn!M28/S.AdOcn!E9</f>
        <v>5960.4393600000003</v>
      </c>
      <c r="C63" s="38">
        <f>S.AdOcn!N28</f>
        <v>417.50599841885349</v>
      </c>
      <c r="D63" s="38">
        <f>S.AdOcn!O28</f>
        <v>192.2469481091465</v>
      </c>
      <c r="E63" s="492">
        <v>1E-3</v>
      </c>
      <c r="F63" s="297"/>
    </row>
    <row r="64" spans="1:59">
      <c r="A64" s="297">
        <v>2009</v>
      </c>
      <c r="B64" s="25">
        <f>S.AdOcn!M29/S.AdOcn!E10</f>
        <v>11152.788480000001</v>
      </c>
      <c r="C64" s="38">
        <f>S.AdOcn!N29</f>
        <v>462.62449438824501</v>
      </c>
      <c r="D64" s="38">
        <f>S.AdOcn!O29</f>
        <v>388.43000000522454</v>
      </c>
      <c r="E64" s="38">
        <f>S.AdOcn!P29</f>
        <v>4.364382022530612</v>
      </c>
      <c r="F64" s="297"/>
    </row>
    <row r="65" spans="1:15">
      <c r="A65" s="297">
        <v>2010</v>
      </c>
      <c r="B65" s="25">
        <f>S.AdOcn!M30/S.AdOcn!E11</f>
        <v>22027.950476190475</v>
      </c>
      <c r="C65" s="38">
        <f>S.AdOcn!N30</f>
        <v>876.757847406971</v>
      </c>
      <c r="D65" s="38">
        <f>S.AdOcn!O30</f>
        <v>455.63793644771727</v>
      </c>
      <c r="E65" s="38">
        <f>S.AdOcn!P30</f>
        <v>6.9036050976926848</v>
      </c>
      <c r="F65" s="297"/>
    </row>
    <row r="66" spans="1:15">
      <c r="A66" s="297">
        <v>2011</v>
      </c>
      <c r="B66" s="25">
        <f>S.AdOcn!M31/S.AdOcn!E12</f>
        <v>15169.830540540537</v>
      </c>
      <c r="C66" s="38">
        <f>S.AdOcn!N31</f>
        <v>187.72351142296992</v>
      </c>
      <c r="D66" s="38">
        <f>S.AdOcn!O31</f>
        <v>107.27057795598282</v>
      </c>
      <c r="E66" s="38">
        <f>S.AdOcn!P31</f>
        <v>0.81760616158771537</v>
      </c>
      <c r="F66" s="297"/>
    </row>
    <row r="67" spans="1:15">
      <c r="B67" s="297"/>
      <c r="C67" s="28"/>
      <c r="D67" s="28"/>
      <c r="E67" s="28"/>
      <c r="F67" s="297"/>
      <c r="G67" s="297"/>
    </row>
    <row r="68" spans="1:15">
      <c r="A68" s="297">
        <f>B59</f>
        <v>13863.814000000002</v>
      </c>
      <c r="B68" s="297">
        <f>C59</f>
        <v>361.84554539999999</v>
      </c>
      <c r="C68" s="297">
        <f>D59</f>
        <v>235.74785533636367</v>
      </c>
      <c r="D68" s="297">
        <f>E59</f>
        <v>5.4825082636363636</v>
      </c>
    </row>
    <row r="69" spans="1:15">
      <c r="A69" s="297" t="str">
        <f t="shared" ref="A69:D75" si="41">A68&amp;","&amp;B60</f>
        <v>13863.814,14085.7488684211</v>
      </c>
      <c r="B69" s="297" t="str">
        <f t="shared" si="41"/>
        <v>361.8455454,271.940321335486</v>
      </c>
      <c r="C69" s="297" t="str">
        <f t="shared" si="41"/>
        <v>235.747855336364,118.234922319777</v>
      </c>
      <c r="D69" s="297" t="str">
        <f t="shared" si="41"/>
        <v>5.48250826363636,0.001</v>
      </c>
    </row>
    <row r="70" spans="1:15">
      <c r="A70" s="297" t="str">
        <f t="shared" si="41"/>
        <v>13863.814,14085.7488684211,20152.1023714286</v>
      </c>
      <c r="B70" s="297" t="str">
        <f t="shared" si="41"/>
        <v>361.8455454,271.940321335486,443.031375571875</v>
      </c>
      <c r="C70" s="297" t="str">
        <f t="shared" si="41"/>
        <v>235.747855336364,118.234922319777,232.064053870982</v>
      </c>
      <c r="D70" s="297" t="str">
        <f t="shared" si="41"/>
        <v>5.48250826363636,0.001,0.001</v>
      </c>
    </row>
    <row r="71" spans="1:15">
      <c r="A71" s="297" t="str">
        <f t="shared" si="41"/>
        <v>13863.814,14085.7488684211,20152.1023714286,17893.3067307692</v>
      </c>
      <c r="B71" s="297" t="str">
        <f t="shared" si="41"/>
        <v>361.8455454,271.940321335486,443.031375571875,1151.39538963211</v>
      </c>
      <c r="C71" s="297" t="str">
        <f t="shared" si="41"/>
        <v>235.747855336364,118.234922319777,232.064053870982,423.215602675585</v>
      </c>
      <c r="D71" s="297" t="str">
        <f t="shared" si="41"/>
        <v>5.48250826363636,0.001,0.001,0.001</v>
      </c>
    </row>
    <row r="72" spans="1:15">
      <c r="A72" s="297" t="str">
        <f t="shared" si="41"/>
        <v>13863.814,14085.7488684211,20152.1023714286,17893.3067307692,5960.43936</v>
      </c>
      <c r="B72" s="297" t="str">
        <f t="shared" si="41"/>
        <v>361.8455454,271.940321335486,443.031375571875,1151.39538963211,417.505998418853</v>
      </c>
      <c r="C72" s="297" t="str">
        <f t="shared" si="41"/>
        <v>235.747855336364,118.234922319777,232.064053870982,423.215602675585,192.246948109147</v>
      </c>
      <c r="D72" s="297" t="str">
        <f t="shared" si="41"/>
        <v>5.48250826363636,0.001,0.001,0.001,0.001</v>
      </c>
    </row>
    <row r="73" spans="1:15">
      <c r="A73" s="297" t="str">
        <f t="shared" si="41"/>
        <v>13863.814,14085.7488684211,20152.1023714286,17893.3067307692,5960.43936,11152.78848</v>
      </c>
      <c r="B73" s="297" t="str">
        <f t="shared" si="41"/>
        <v>361.8455454,271.940321335486,443.031375571875,1151.39538963211,417.505998418853,462.624494388245</v>
      </c>
      <c r="C73" s="297" t="str">
        <f t="shared" si="41"/>
        <v>235.747855336364,118.234922319777,232.064053870982,423.215602675585,192.246948109147,388.430000005225</v>
      </c>
      <c r="D73" s="297" t="str">
        <f t="shared" si="41"/>
        <v>5.48250826363636,0.001,0.001,0.001,0.001,4.36438202253061</v>
      </c>
    </row>
    <row r="74" spans="1:15">
      <c r="A74" s="297" t="str">
        <f t="shared" si="41"/>
        <v>13863.814,14085.7488684211,20152.1023714286,17893.3067307692,5960.43936,11152.78848,22027.9504761905</v>
      </c>
      <c r="B74" s="297" t="str">
        <f t="shared" si="41"/>
        <v>361.8455454,271.940321335486,443.031375571875,1151.39538963211,417.505998418853,462.624494388245,876.757847406971</v>
      </c>
      <c r="C74" s="297" t="str">
        <f t="shared" si="41"/>
        <v>235.747855336364,118.234922319777,232.064053870982,423.215602675585,192.246948109147,388.430000005225,455.637936447717</v>
      </c>
      <c r="D74" s="297" t="str">
        <f t="shared" si="41"/>
        <v>5.48250826363636,0.001,0.001,0.001,0.001,4.36438202253061,6.90360509769268</v>
      </c>
    </row>
    <row r="75" spans="1:15">
      <c r="A75" s="297" t="str">
        <f t="shared" si="41"/>
        <v>13863.814,14085.7488684211,20152.1023714286,17893.3067307692,5960.43936,11152.78848,22027.9504761905,15169.8305405405</v>
      </c>
      <c r="B75" s="297" t="str">
        <f t="shared" si="41"/>
        <v>361.8455454,271.940321335486,443.031375571875,1151.39538963211,417.505998418853,462.624494388245,876.757847406971,187.72351142297</v>
      </c>
      <c r="C75" s="297" t="str">
        <f t="shared" si="41"/>
        <v>235.747855336364,118.234922319777,232.064053870982,423.215602675585,192.246948109147,388.430000005225,455.637936447717,107.270577955983</v>
      </c>
      <c r="D75" s="297" t="str">
        <f t="shared" si="41"/>
        <v>5.48250826363636,0.001,0.001,0.001,0.001,4.36438202253061,6.90360509769268,0.817606161587715</v>
      </c>
    </row>
    <row r="76" spans="1:15">
      <c r="A76" s="448" t="str">
        <f>"sm=c("&amp;A75&amp;")"</f>
        <v>sm=c(13863.814,14085.7488684211,20152.1023714286,17893.3067307692,5960.43936,11152.78848,22027.9504761905,15169.8305405405)</v>
      </c>
      <c r="B76" s="416"/>
      <c r="C76" s="416"/>
      <c r="D76" s="416"/>
      <c r="E76" s="416"/>
      <c r="F76" s="416"/>
      <c r="G76" s="416"/>
      <c r="H76" s="416"/>
      <c r="I76" s="416"/>
      <c r="J76" s="416"/>
      <c r="K76" s="416"/>
      <c r="L76" s="416"/>
      <c r="M76" s="416"/>
      <c r="N76" s="416"/>
      <c r="O76" s="416"/>
    </row>
    <row r="77" spans="1:15">
      <c r="A77" s="448" t="str">
        <f>"a1=c("&amp;B75&amp;")"</f>
        <v>a1=c(361.8455454,271.940321335486,443.031375571875,1151.39538963211,417.505998418853,462.624494388245,876.757847406971,187.72351142297)</v>
      </c>
      <c r="B77" s="416"/>
      <c r="C77" s="416"/>
      <c r="D77" s="416"/>
      <c r="E77" s="416"/>
      <c r="F77" s="416"/>
      <c r="G77" s="416"/>
      <c r="H77" s="416"/>
      <c r="I77" s="416"/>
      <c r="J77" s="416"/>
      <c r="K77" s="416"/>
      <c r="L77" s="416"/>
      <c r="M77" s="416"/>
      <c r="N77" s="416"/>
      <c r="O77" s="416"/>
    </row>
    <row r="78" spans="1:15">
      <c r="A78" s="448" t="str">
        <f>"a2=c("&amp;C75&amp;")"</f>
        <v>a2=c(235.747855336364,118.234922319777,232.064053870982,423.215602675585,192.246948109147,388.430000005225,455.637936447717,107.270577955983)</v>
      </c>
      <c r="B78" s="416"/>
      <c r="C78" s="416"/>
      <c r="D78" s="416"/>
      <c r="E78" s="416"/>
      <c r="F78" s="416"/>
      <c r="G78" s="416"/>
      <c r="H78" s="416"/>
      <c r="I78" s="416"/>
      <c r="J78" s="416"/>
      <c r="K78" s="416"/>
      <c r="L78" s="416"/>
      <c r="M78" s="416"/>
      <c r="N78" s="416"/>
      <c r="O78" s="416"/>
    </row>
    <row r="79" spans="1:15">
      <c r="A79" s="448" t="str">
        <f>"a3=c("&amp;D75&amp;")"</f>
        <v>a3=c(5.48250826363636,0.001,0.001,0.001,0.001,4.36438202253061,6.90360509769268,0.817606161587715)</v>
      </c>
      <c r="B79" s="416"/>
      <c r="C79" s="416"/>
      <c r="D79" s="416"/>
      <c r="E79" s="416"/>
      <c r="F79" s="416"/>
      <c r="G79" s="416"/>
      <c r="H79" s="416"/>
      <c r="I79" s="416"/>
      <c r="J79" s="416"/>
      <c r="K79" s="416"/>
      <c r="L79" s="416"/>
      <c r="M79" s="416"/>
      <c r="N79" s="416"/>
      <c r="O79" s="416"/>
    </row>
    <row r="81" spans="2:29">
      <c r="AA81" t="s">
        <v>1158</v>
      </c>
    </row>
    <row r="82" spans="2:29">
      <c r="B82" t="s">
        <v>740</v>
      </c>
      <c r="K82" s="38">
        <f>K84/(31000-3000)</f>
        <v>9.9964285714285714E-2</v>
      </c>
      <c r="AA82" s="416">
        <v>5.7090000000000002E-2</v>
      </c>
      <c r="AB82" s="416">
        <v>2.708E-2</v>
      </c>
      <c r="AC82" t="s">
        <v>1160</v>
      </c>
    </row>
    <row r="83" spans="2:29">
      <c r="C83" t="s">
        <v>733</v>
      </c>
      <c r="D83" t="s">
        <v>734</v>
      </c>
      <c r="E83" t="s">
        <v>735</v>
      </c>
      <c r="F83" t="s">
        <v>736</v>
      </c>
      <c r="G83" s="495">
        <v>2.5000000000000001E-2</v>
      </c>
      <c r="H83" t="s">
        <v>737</v>
      </c>
      <c r="I83" s="495">
        <v>0.97499999999999998</v>
      </c>
      <c r="J83" t="s">
        <v>738</v>
      </c>
      <c r="K83" t="s">
        <v>739</v>
      </c>
      <c r="Z83" s="495"/>
      <c r="AA83" s="416">
        <v>4.2220000000000001E-2</v>
      </c>
      <c r="AB83" s="416">
        <v>4.2220000000000001E-2</v>
      </c>
      <c r="AC83" t="s">
        <v>1160</v>
      </c>
    </row>
    <row r="84" spans="2:29">
      <c r="C84" s="297" t="s">
        <v>749</v>
      </c>
      <c r="D84" s="416">
        <v>5.7090000000000002E-2</v>
      </c>
      <c r="E84" s="297">
        <v>5.3099999999999996E-3</v>
      </c>
      <c r="F84" s="431">
        <v>2.1910000000000001E-4</v>
      </c>
      <c r="G84" s="416">
        <v>4.8809999999999999E-2</v>
      </c>
      <c r="H84" s="297">
        <v>5.638E-2</v>
      </c>
      <c r="I84" s="416">
        <v>6.9889999999999994E-2</v>
      </c>
      <c r="J84" s="297">
        <v>3000</v>
      </c>
      <c r="K84" s="297">
        <v>2799</v>
      </c>
      <c r="L84">
        <f>D84*D$111</f>
        <v>2.6227146E-2</v>
      </c>
      <c r="M84" s="263">
        <f>E84/D84</f>
        <v>9.3011035207566983E-2</v>
      </c>
      <c r="Q84" s="1" t="s">
        <v>766</v>
      </c>
      <c r="R84" s="1" t="s">
        <v>320</v>
      </c>
      <c r="S84" s="1" t="s">
        <v>737</v>
      </c>
      <c r="U84" s="495"/>
      <c r="W84" s="495"/>
      <c r="Y84" s="431"/>
      <c r="AA84" s="416">
        <v>4.8039999999999999E-2</v>
      </c>
      <c r="AB84" s="416">
        <v>4.8039999999999999E-2</v>
      </c>
      <c r="AC84" t="s">
        <v>1160</v>
      </c>
    </row>
    <row r="85" spans="2:29">
      <c r="C85" s="297" t="s">
        <v>750</v>
      </c>
      <c r="D85" s="416">
        <v>4.2220000000000001E-2</v>
      </c>
      <c r="E85" s="297">
        <v>4.1000000000000003E-3</v>
      </c>
      <c r="F85" s="431">
        <v>1.496E-4</v>
      </c>
      <c r="G85" s="416">
        <v>3.5459999999999998E-2</v>
      </c>
      <c r="H85" s="297">
        <v>4.172E-2</v>
      </c>
      <c r="I85" s="416">
        <v>5.2109999999999997E-2</v>
      </c>
      <c r="J85" s="297">
        <v>3000</v>
      </c>
      <c r="K85" s="297">
        <v>2799</v>
      </c>
      <c r="L85" s="297">
        <f t="shared" ref="L85:L91" si="42">D85*D$111</f>
        <v>1.9395868E-2</v>
      </c>
      <c r="M85" s="263">
        <f t="shared" ref="M85:M91" si="43">E85/D85</f>
        <v>9.7110374230222646E-2</v>
      </c>
      <c r="Q85" s="28" t="s">
        <v>464</v>
      </c>
      <c r="R85" s="73">
        <f>D92</f>
        <v>8.0873749999999994E-2</v>
      </c>
      <c r="S85" s="73">
        <f>D93</f>
        <v>0.57131904242753706</v>
      </c>
      <c r="Y85" s="431"/>
      <c r="Z85" s="495"/>
      <c r="AA85" s="416">
        <v>0.14080000000000001</v>
      </c>
      <c r="AB85" s="416">
        <v>5.7090000000000002E-2</v>
      </c>
      <c r="AC85" t="s">
        <v>1160</v>
      </c>
    </row>
    <row r="86" spans="2:29">
      <c r="C86" s="297" t="s">
        <v>751</v>
      </c>
      <c r="D86" s="416">
        <v>4.8039999999999999E-2</v>
      </c>
      <c r="E86" s="297">
        <v>4.4780000000000002E-3</v>
      </c>
      <c r="F86" s="431">
        <v>1.7359999999999999E-4</v>
      </c>
      <c r="G86" s="416">
        <v>4.0899999999999999E-2</v>
      </c>
      <c r="H86" s="297">
        <v>4.7379999999999999E-2</v>
      </c>
      <c r="I86" s="416">
        <v>5.8700000000000002E-2</v>
      </c>
      <c r="J86" s="297">
        <v>3000</v>
      </c>
      <c r="K86" s="297">
        <v>2799</v>
      </c>
      <c r="L86" s="297">
        <f t="shared" si="42"/>
        <v>2.2069575999999997E-2</v>
      </c>
      <c r="M86" s="263">
        <f t="shared" si="43"/>
        <v>9.3213988343047463E-2</v>
      </c>
      <c r="Q86" s="28" t="s">
        <v>465</v>
      </c>
      <c r="R86" s="73">
        <f>D104</f>
        <v>0.47448750000000001</v>
      </c>
      <c r="S86" s="73">
        <f>D105</f>
        <v>0.25855884799091766</v>
      </c>
      <c r="Y86" s="431"/>
      <c r="AA86" s="416">
        <v>0.1527</v>
      </c>
      <c r="AB86" s="416">
        <v>8.7029999999999996E-2</v>
      </c>
      <c r="AC86" t="s">
        <v>1159</v>
      </c>
    </row>
    <row r="87" spans="2:29">
      <c r="C87" s="297" t="s">
        <v>752</v>
      </c>
      <c r="D87" s="416">
        <v>0.14080000000000001</v>
      </c>
      <c r="E87" s="297">
        <v>1.1509999999999999E-2</v>
      </c>
      <c r="F87" s="431">
        <v>4.5580000000000002E-4</v>
      </c>
      <c r="G87" s="416">
        <v>0.1239</v>
      </c>
      <c r="H87" s="297">
        <v>0.13850000000000001</v>
      </c>
      <c r="I87" s="416">
        <v>0.16930000000000001</v>
      </c>
      <c r="J87" s="297">
        <v>3000</v>
      </c>
      <c r="K87" s="297">
        <v>2799</v>
      </c>
      <c r="L87" s="297">
        <f t="shared" si="42"/>
        <v>6.4683519999999994E-2</v>
      </c>
      <c r="M87" s="263">
        <f t="shared" si="43"/>
        <v>8.1747159090909086E-2</v>
      </c>
      <c r="Q87" s="28" t="s">
        <v>466</v>
      </c>
      <c r="R87" s="73">
        <f>D107</f>
        <v>0.65820000000000001</v>
      </c>
      <c r="S87" s="73">
        <f>H107</f>
        <v>0.64159999999999995</v>
      </c>
      <c r="Y87" s="431"/>
      <c r="AA87" s="416">
        <v>9.2030000000000001E-2</v>
      </c>
      <c r="AB87" s="416">
        <v>9.2030000000000001E-2</v>
      </c>
      <c r="AC87" t="s">
        <v>1161</v>
      </c>
    </row>
    <row r="88" spans="2:29">
      <c r="C88" s="297" t="s">
        <v>753</v>
      </c>
      <c r="D88" s="416">
        <v>0.1527</v>
      </c>
      <c r="E88" s="297">
        <v>1.4080000000000001E-2</v>
      </c>
      <c r="F88" s="431">
        <v>5.2599999999999999E-4</v>
      </c>
      <c r="G88" s="416">
        <v>0.13020000000000001</v>
      </c>
      <c r="H88" s="297">
        <v>0.1507</v>
      </c>
      <c r="I88" s="416">
        <v>0.18759999999999999</v>
      </c>
      <c r="J88" s="297">
        <v>3000</v>
      </c>
      <c r="K88" s="297">
        <v>2799</v>
      </c>
      <c r="L88" s="297">
        <f t="shared" si="42"/>
        <v>7.0150379999999998E-2</v>
      </c>
      <c r="M88" s="263">
        <f t="shared" si="43"/>
        <v>9.2206941715782587E-2</v>
      </c>
      <c r="Q88" s="28" t="s">
        <v>467</v>
      </c>
      <c r="R88" s="73">
        <f>D111</f>
        <v>0.45939999999999998</v>
      </c>
      <c r="S88" s="73">
        <f>H111</f>
        <v>0.46489999999999998</v>
      </c>
      <c r="Y88" s="431"/>
      <c r="AA88" s="416">
        <v>8.7029999999999996E-2</v>
      </c>
      <c r="AB88" s="416">
        <v>0.14080000000000001</v>
      </c>
      <c r="AC88" t="s">
        <v>1161</v>
      </c>
    </row>
    <row r="89" spans="2:29">
      <c r="C89" s="297" t="s">
        <v>754</v>
      </c>
      <c r="D89" s="416">
        <v>9.2030000000000001E-2</v>
      </c>
      <c r="E89" s="297">
        <v>7.0910000000000001E-3</v>
      </c>
      <c r="F89" s="431">
        <v>2.7099999999999997E-4</v>
      </c>
      <c r="G89" s="416">
        <v>8.2320000000000004E-2</v>
      </c>
      <c r="H89" s="297">
        <v>9.0550000000000005E-2</v>
      </c>
      <c r="I89" s="416">
        <v>0.1103</v>
      </c>
      <c r="J89" s="297">
        <v>3000</v>
      </c>
      <c r="K89" s="297">
        <v>2799</v>
      </c>
      <c r="L89" s="297">
        <f t="shared" si="42"/>
        <v>4.2278581999999995E-2</v>
      </c>
      <c r="M89" s="263">
        <f t="shared" si="43"/>
        <v>7.705096164294252E-2</v>
      </c>
      <c r="Q89" s="28" t="s">
        <v>468</v>
      </c>
      <c r="R89" s="73">
        <f>D115</f>
        <v>0.98619999999999997</v>
      </c>
      <c r="S89" s="73">
        <f>H115</f>
        <v>0.98709999999999998</v>
      </c>
      <c r="Y89" s="431"/>
      <c r="Z89" s="495"/>
      <c r="AA89" s="416">
        <v>2.708E-2</v>
      </c>
      <c r="AB89" s="416">
        <v>0.1527</v>
      </c>
      <c r="AC89" t="s">
        <v>1161</v>
      </c>
    </row>
    <row r="90" spans="2:29">
      <c r="C90" s="297" t="s">
        <v>755</v>
      </c>
      <c r="D90" s="416">
        <v>8.7029999999999996E-2</v>
      </c>
      <c r="E90" s="297">
        <v>7.4050000000000001E-3</v>
      </c>
      <c r="F90" s="431">
        <v>2.9349999999999998E-4</v>
      </c>
      <c r="G90" s="416">
        <v>7.5819999999999999E-2</v>
      </c>
      <c r="H90" s="297">
        <v>8.5739999999999997E-2</v>
      </c>
      <c r="I90" s="416">
        <v>0.10539999999999999</v>
      </c>
      <c r="J90" s="297">
        <v>3000</v>
      </c>
      <c r="K90" s="297">
        <v>2799</v>
      </c>
      <c r="L90" s="297">
        <f t="shared" si="42"/>
        <v>3.9981581999999995E-2</v>
      </c>
      <c r="M90" s="263">
        <f t="shared" si="43"/>
        <v>8.5085602665747453E-2</v>
      </c>
      <c r="Q90" s="28" t="s">
        <v>469</v>
      </c>
      <c r="R90" s="73">
        <v>1</v>
      </c>
      <c r="S90" s="73">
        <v>1</v>
      </c>
      <c r="Y90" s="431"/>
      <c r="AA90" s="15"/>
      <c r="AB90" s="73">
        <f>AVERAGE(AB82:AB89)</f>
        <v>8.0873749999999994E-2</v>
      </c>
      <c r="AC90" t="s">
        <v>1159</v>
      </c>
    </row>
    <row r="91" spans="2:29">
      <c r="C91" s="297" t="s">
        <v>756</v>
      </c>
      <c r="D91" s="416">
        <v>2.708E-2</v>
      </c>
      <c r="E91" s="297">
        <v>2.9970000000000001E-3</v>
      </c>
      <c r="F91" s="431">
        <v>1.099E-4</v>
      </c>
      <c r="G91" s="416">
        <v>2.2270000000000002E-2</v>
      </c>
      <c r="H91" s="297">
        <v>2.6800000000000001E-2</v>
      </c>
      <c r="I91" s="416">
        <v>3.4070000000000003E-2</v>
      </c>
      <c r="J91" s="297">
        <v>3000</v>
      </c>
      <c r="K91" s="297">
        <v>2799</v>
      </c>
      <c r="L91" s="297">
        <f t="shared" si="42"/>
        <v>1.2440551999999999E-2</v>
      </c>
      <c r="M91" s="263">
        <f t="shared" si="43"/>
        <v>0.11067208271787297</v>
      </c>
      <c r="Q91" s="28" t="s">
        <v>686</v>
      </c>
      <c r="R91" s="497">
        <f>(R85*R88)+(R85*(1-R88)*R86*R89)+(R85*(1-R88)*R86*(1-R89)*R87*R90)</f>
        <v>5.780031025470482E-2</v>
      </c>
      <c r="S91" s="497">
        <f>(S85*S88)+(S85*(1-S88)*S86*S89)+(S85*(1-S88)*S86*(1-S89)*S87*S90)</f>
        <v>0.3442855249212165</v>
      </c>
      <c r="Y91" s="431"/>
      <c r="AA91" s="15"/>
      <c r="AB91" s="73">
        <f>AVERAGE(AB82:AB85)</f>
        <v>4.36075E-2</v>
      </c>
      <c r="AC91" t="s">
        <v>1160</v>
      </c>
    </row>
    <row r="92" spans="2:29" s="297" customFormat="1">
      <c r="D92" s="435">
        <f>AVERAGE(D84:D91)</f>
        <v>8.0873749999999994E-2</v>
      </c>
      <c r="E92" s="435" t="s">
        <v>765</v>
      </c>
      <c r="F92" s="435"/>
      <c r="M92" s="15"/>
      <c r="Y92" s="431"/>
      <c r="AA92" s="15"/>
      <c r="AB92" s="73">
        <f>AVERAGE(AB86:AB89)</f>
        <v>0.11814000000000001</v>
      </c>
      <c r="AC92" s="297" t="s">
        <v>1161</v>
      </c>
    </row>
    <row r="93" spans="2:29">
      <c r="D93" s="263">
        <f>STDEV(D84:D91)/D92</f>
        <v>0.57131904242753706</v>
      </c>
      <c r="E93" t="s">
        <v>845</v>
      </c>
      <c r="F93" s="499">
        <f>AVERAGE(E84:E91)/D92</f>
        <v>8.8055456807678636E-2</v>
      </c>
      <c r="M93" s="15"/>
      <c r="Q93" s="1" t="s">
        <v>767</v>
      </c>
      <c r="R93" s="1"/>
      <c r="S93" s="498">
        <f>AVERAGE(S.AdOcn!E5:E12)</f>
        <v>5.6500000000000009E-2</v>
      </c>
      <c r="Y93" s="431"/>
      <c r="Z93" s="495"/>
      <c r="AA93" s="15"/>
      <c r="AB93" s="495"/>
    </row>
    <row r="94" spans="2:29">
      <c r="B94" t="s">
        <v>740</v>
      </c>
      <c r="M94" s="39"/>
      <c r="Q94" s="1" t="s">
        <v>768</v>
      </c>
      <c r="R94" s="1"/>
      <c r="S94" s="38">
        <f>MEDIAN(S.AdOcn!E5:E12)</f>
        <v>5.2150000000000002E-2</v>
      </c>
      <c r="Z94" s="495"/>
      <c r="AA94" s="39" t="s">
        <v>1162</v>
      </c>
      <c r="AB94" s="634" t="s">
        <v>1163</v>
      </c>
    </row>
    <row r="95" spans="2:29">
      <c r="C95" t="s">
        <v>733</v>
      </c>
      <c r="D95" t="s">
        <v>734</v>
      </c>
      <c r="E95" t="s">
        <v>735</v>
      </c>
      <c r="F95" t="s">
        <v>736</v>
      </c>
      <c r="G95" s="495">
        <v>2.5000000000000001E-2</v>
      </c>
      <c r="H95" t="s">
        <v>737</v>
      </c>
      <c r="I95" s="495">
        <v>0.97499999999999998</v>
      </c>
      <c r="J95" t="s">
        <v>738</v>
      </c>
      <c r="K95" t="s">
        <v>739</v>
      </c>
      <c r="M95" s="39"/>
      <c r="AA95" s="38"/>
    </row>
    <row r="96" spans="2:29">
      <c r="C96" s="297" t="s">
        <v>757</v>
      </c>
      <c r="D96" s="416">
        <v>0.57740000000000002</v>
      </c>
      <c r="E96" s="297">
        <v>8.695E-2</v>
      </c>
      <c r="F96" s="297">
        <v>3.3670000000000002E-3</v>
      </c>
      <c r="G96" s="416">
        <v>0.39789999999999998</v>
      </c>
      <c r="H96" s="297">
        <v>0.57830000000000004</v>
      </c>
      <c r="I96" s="416">
        <v>0.7419</v>
      </c>
      <c r="J96" s="297">
        <v>3000</v>
      </c>
      <c r="K96" s="297">
        <v>2799</v>
      </c>
      <c r="L96">
        <f>D96*D$115</f>
        <v>0.56943188</v>
      </c>
      <c r="M96" s="263">
        <f>E96/D96</f>
        <v>0.15058884655351576</v>
      </c>
      <c r="P96" t="s">
        <v>771</v>
      </c>
      <c r="V96" s="415">
        <f>AB91</f>
        <v>4.36075E-2</v>
      </c>
      <c r="W96">
        <v>4.36075E-2</v>
      </c>
      <c r="Z96" s="495"/>
      <c r="AA96" s="39"/>
      <c r="AB96" s="495"/>
    </row>
    <row r="97" spans="2:28">
      <c r="C97" s="297" t="s">
        <v>758</v>
      </c>
      <c r="D97" s="416">
        <v>0.37890000000000001</v>
      </c>
      <c r="E97" s="297">
        <v>6.3880000000000006E-2</v>
      </c>
      <c r="F97" s="297">
        <v>2.1549999999999998E-3</v>
      </c>
      <c r="G97" s="416">
        <v>0.25330000000000003</v>
      </c>
      <c r="H97" s="297">
        <v>0.37930000000000003</v>
      </c>
      <c r="I97" s="416">
        <v>0.50490000000000002</v>
      </c>
      <c r="J97" s="297">
        <v>3000</v>
      </c>
      <c r="K97" s="297">
        <v>2799</v>
      </c>
      <c r="L97" s="297">
        <f t="shared" ref="L97:L103" si="44">D97*D$115</f>
        <v>0.37367117999999999</v>
      </c>
      <c r="M97" s="263">
        <f t="shared" ref="M97:M103" si="45">E97/D97</f>
        <v>0.16859329638427026</v>
      </c>
      <c r="U97" s="495"/>
      <c r="V97" s="415">
        <f>V96</f>
        <v>4.36075E-2</v>
      </c>
      <c r="W97" s="495">
        <v>4.36075E-2</v>
      </c>
      <c r="Z97" s="495"/>
      <c r="AA97" s="39"/>
      <c r="AB97" s="495"/>
    </row>
    <row r="98" spans="2:28">
      <c r="C98" s="297" t="s">
        <v>759</v>
      </c>
      <c r="D98" s="416">
        <v>0.45469999999999999</v>
      </c>
      <c r="E98" s="297">
        <v>7.0239999999999997E-2</v>
      </c>
      <c r="F98" s="297">
        <v>2.5170000000000001E-3</v>
      </c>
      <c r="G98" s="416">
        <v>0.31619999999999998</v>
      </c>
      <c r="H98" s="297">
        <v>0.45550000000000002</v>
      </c>
      <c r="I98" s="416">
        <v>0.5877</v>
      </c>
      <c r="J98" s="297">
        <v>3000</v>
      </c>
      <c r="K98" s="297">
        <v>2799</v>
      </c>
      <c r="L98" s="297">
        <f t="shared" si="44"/>
        <v>0.44842514</v>
      </c>
      <c r="M98" s="263">
        <f t="shared" si="45"/>
        <v>0.1544754783373653</v>
      </c>
      <c r="V98" s="415">
        <f>AB90</f>
        <v>8.0873749999999994E-2</v>
      </c>
      <c r="W98">
        <v>4.36075E-2</v>
      </c>
      <c r="Y98" s="431"/>
      <c r="AA98" s="39"/>
    </row>
    <row r="99" spans="2:28">
      <c r="C99" s="297" t="s">
        <v>760</v>
      </c>
      <c r="D99" s="416">
        <v>0.31840000000000002</v>
      </c>
      <c r="E99" s="297">
        <v>4.4499999999999998E-2</v>
      </c>
      <c r="F99" s="297">
        <v>1.6800000000000001E-3</v>
      </c>
      <c r="G99" s="416">
        <v>0.2233</v>
      </c>
      <c r="H99" s="297">
        <v>0.3211</v>
      </c>
      <c r="I99" s="416">
        <v>0.39960000000000001</v>
      </c>
      <c r="J99" s="297">
        <v>3000</v>
      </c>
      <c r="K99" s="297">
        <v>2799</v>
      </c>
      <c r="L99" s="297">
        <f t="shared" si="44"/>
        <v>0.31400608000000002</v>
      </c>
      <c r="M99" s="263">
        <f t="shared" si="45"/>
        <v>0.1397613065326633</v>
      </c>
      <c r="V99" s="415">
        <f>AB92</f>
        <v>0.11814000000000001</v>
      </c>
      <c r="W99" s="499">
        <v>0.11814000000000001</v>
      </c>
      <c r="AA99" s="39"/>
    </row>
    <row r="100" spans="2:28">
      <c r="C100" s="297" t="s">
        <v>761</v>
      </c>
      <c r="D100" s="416">
        <v>0.40039999999999998</v>
      </c>
      <c r="E100" s="297">
        <v>6.1920000000000003E-2</v>
      </c>
      <c r="F100" s="297">
        <v>2.1540000000000001E-3</v>
      </c>
      <c r="G100" s="416">
        <v>0.27229999999999999</v>
      </c>
      <c r="H100" s="297">
        <v>0.40229999999999999</v>
      </c>
      <c r="I100" s="416">
        <v>0.52410000000000001</v>
      </c>
      <c r="J100" s="297">
        <v>3000</v>
      </c>
      <c r="K100" s="297">
        <v>2799</v>
      </c>
      <c r="L100" s="297">
        <f t="shared" si="44"/>
        <v>0.39487447999999997</v>
      </c>
      <c r="M100" s="263">
        <f t="shared" si="45"/>
        <v>0.15464535464535467</v>
      </c>
      <c r="V100" s="415">
        <f>V99</f>
        <v>0.11814000000000001</v>
      </c>
      <c r="W100" s="499">
        <v>0.11814000000000001</v>
      </c>
    </row>
    <row r="101" spans="2:28">
      <c r="C101" s="297" t="s">
        <v>762</v>
      </c>
      <c r="D101" s="416">
        <v>0.70740000000000003</v>
      </c>
      <c r="E101" s="297">
        <v>7.7890000000000001E-2</v>
      </c>
      <c r="F101" s="297">
        <v>3.0530000000000002E-3</v>
      </c>
      <c r="G101" s="416">
        <v>0.51029999999999998</v>
      </c>
      <c r="H101" s="297">
        <v>0.72719999999999996</v>
      </c>
      <c r="I101" s="416">
        <v>0.7974</v>
      </c>
      <c r="J101" s="297">
        <v>3000</v>
      </c>
      <c r="K101" s="297">
        <v>2799</v>
      </c>
      <c r="L101" s="297">
        <f t="shared" si="44"/>
        <v>0.69763788000000004</v>
      </c>
      <c r="M101" s="263">
        <f t="shared" si="45"/>
        <v>0.11010743567995476</v>
      </c>
      <c r="V101" s="415">
        <f>AB90</f>
        <v>8.0873749999999994E-2</v>
      </c>
      <c r="W101" s="499">
        <v>0.11814000000000001</v>
      </c>
    </row>
    <row r="102" spans="2:28">
      <c r="C102" s="297" t="s">
        <v>763</v>
      </c>
      <c r="D102" s="416">
        <v>0.45600000000000002</v>
      </c>
      <c r="E102" s="297">
        <v>6.4369999999999997E-2</v>
      </c>
      <c r="F102" s="297">
        <v>2.3969999999999998E-3</v>
      </c>
      <c r="G102" s="416">
        <v>0.31900000000000001</v>
      </c>
      <c r="H102" s="297">
        <v>0.45939999999999998</v>
      </c>
      <c r="I102" s="416">
        <v>0.57689999999999997</v>
      </c>
      <c r="J102" s="297">
        <v>3000</v>
      </c>
      <c r="K102" s="297">
        <v>2799</v>
      </c>
      <c r="L102" s="297">
        <f t="shared" si="44"/>
        <v>0.44970719999999997</v>
      </c>
      <c r="M102" s="263">
        <f t="shared" si="45"/>
        <v>0.14116228070175438</v>
      </c>
      <c r="V102" s="415">
        <f>AB91</f>
        <v>4.36075E-2</v>
      </c>
      <c r="W102" s="499">
        <v>4.36075E-2</v>
      </c>
    </row>
    <row r="103" spans="2:28">
      <c r="C103" s="297" t="s">
        <v>764</v>
      </c>
      <c r="D103" s="416">
        <v>0.50270000000000004</v>
      </c>
      <c r="E103" s="297">
        <v>9.0300000000000005E-2</v>
      </c>
      <c r="F103" s="297">
        <v>3.0130000000000001E-3</v>
      </c>
      <c r="G103" s="416">
        <v>0.33560000000000001</v>
      </c>
      <c r="H103" s="297">
        <v>0.49930000000000002</v>
      </c>
      <c r="I103" s="416">
        <v>0.68869999999999998</v>
      </c>
      <c r="J103" s="297">
        <v>3000</v>
      </c>
      <c r="K103" s="297">
        <v>2799</v>
      </c>
      <c r="L103" s="297">
        <f t="shared" si="44"/>
        <v>0.49576274000000004</v>
      </c>
      <c r="M103" s="263">
        <f t="shared" si="45"/>
        <v>0.179629998010742</v>
      </c>
      <c r="V103" s="415">
        <f>V102</f>
        <v>4.36075E-2</v>
      </c>
      <c r="W103" s="495">
        <v>4.36075E-2</v>
      </c>
    </row>
    <row r="104" spans="2:28">
      <c r="D104" s="435">
        <f>AVERAGE(D96:D103)</f>
        <v>0.47448750000000001</v>
      </c>
      <c r="E104" s="435" t="s">
        <v>765</v>
      </c>
      <c r="F104" s="435"/>
      <c r="M104" s="39"/>
    </row>
    <row r="105" spans="2:28">
      <c r="B105" t="s">
        <v>740</v>
      </c>
      <c r="D105" s="263">
        <f>STDEV(D96:D103)/D104</f>
        <v>0.25855884799091766</v>
      </c>
      <c r="E105" s="499" t="s">
        <v>845</v>
      </c>
      <c r="F105">
        <f>AVERAGE(E96:E103)/D104</f>
        <v>0.14754076767038121</v>
      </c>
      <c r="M105" s="39"/>
      <c r="Z105" s="495"/>
      <c r="AB105" s="495"/>
    </row>
    <row r="106" spans="2:28">
      <c r="C106" t="s">
        <v>733</v>
      </c>
      <c r="D106" t="s">
        <v>734</v>
      </c>
      <c r="E106" t="s">
        <v>735</v>
      </c>
      <c r="F106" t="s">
        <v>736</v>
      </c>
      <c r="G106" s="495">
        <v>2.5000000000000001E-2</v>
      </c>
      <c r="H106" t="s">
        <v>737</v>
      </c>
      <c r="I106" s="495">
        <v>0.97499999999999998</v>
      </c>
      <c r="J106" t="s">
        <v>738</v>
      </c>
      <c r="K106" t="s">
        <v>739</v>
      </c>
    </row>
    <row r="107" spans="2:28">
      <c r="C107" s="297" t="s">
        <v>466</v>
      </c>
      <c r="D107" s="416">
        <v>0.65820000000000001</v>
      </c>
      <c r="E107" s="297">
        <v>0.17100000000000001</v>
      </c>
      <c r="F107" s="297">
        <v>3.7469999999999999E-3</v>
      </c>
      <c r="G107" s="416">
        <v>0.40889999999999999</v>
      </c>
      <c r="H107" s="297">
        <v>0.64159999999999995</v>
      </c>
      <c r="I107" s="416">
        <v>0.97350000000000003</v>
      </c>
      <c r="J107" s="297">
        <v>3000</v>
      </c>
      <c r="K107" s="297">
        <v>2799</v>
      </c>
      <c r="L107" s="496"/>
      <c r="M107" s="263">
        <f>E107/D107</f>
        <v>0.25979945305378305</v>
      </c>
      <c r="Z107" s="495"/>
      <c r="AB107" s="495"/>
    </row>
    <row r="108" spans="2:28">
      <c r="D108">
        <f>E107/D107</f>
        <v>0.25979945305378305</v>
      </c>
      <c r="G108" s="495"/>
      <c r="I108" s="495"/>
      <c r="L108" s="496"/>
    </row>
    <row r="109" spans="2:28">
      <c r="B109" t="s">
        <v>740</v>
      </c>
      <c r="L109" s="496"/>
      <c r="Z109" s="495"/>
      <c r="AB109" s="495"/>
    </row>
    <row r="110" spans="2:28">
      <c r="C110" t="s">
        <v>733</v>
      </c>
      <c r="D110" t="s">
        <v>734</v>
      </c>
      <c r="E110" t="s">
        <v>735</v>
      </c>
      <c r="F110" t="s">
        <v>736</v>
      </c>
      <c r="G110" s="495">
        <v>2.5000000000000001E-2</v>
      </c>
      <c r="H110" t="s">
        <v>737</v>
      </c>
      <c r="I110" s="495">
        <v>0.97499999999999998</v>
      </c>
      <c r="J110" t="s">
        <v>738</v>
      </c>
      <c r="K110" t="s">
        <v>739</v>
      </c>
      <c r="L110" s="496"/>
      <c r="M110" s="297"/>
      <c r="Y110" s="431"/>
      <c r="AA110" s="297"/>
    </row>
    <row r="111" spans="2:28">
      <c r="C111" s="297" t="s">
        <v>467</v>
      </c>
      <c r="D111" s="416">
        <v>0.45939999999999998</v>
      </c>
      <c r="E111" s="297">
        <v>3.3279999999999997E-2</v>
      </c>
      <c r="F111" s="431">
        <v>1.3619999999999999E-3</v>
      </c>
      <c r="G111" s="416">
        <v>0.37830000000000003</v>
      </c>
      <c r="H111" s="297">
        <v>0.46489999999999998</v>
      </c>
      <c r="I111" s="416">
        <v>0.51180000000000003</v>
      </c>
      <c r="J111" s="297">
        <v>3000</v>
      </c>
      <c r="K111" s="297">
        <v>2799</v>
      </c>
      <c r="L111" s="496"/>
      <c r="M111" s="297"/>
      <c r="Y111" s="431"/>
      <c r="Z111" s="495"/>
      <c r="AA111" s="297"/>
      <c r="AB111" s="495"/>
    </row>
    <row r="112" spans="2:28">
      <c r="D112" s="263">
        <f>E111/D111</f>
        <v>7.2442316064431869E-2</v>
      </c>
      <c r="L112" s="496"/>
      <c r="M112" s="297"/>
      <c r="T112" s="495"/>
      <c r="V112" s="495"/>
      <c r="Y112" s="431"/>
      <c r="AA112" s="297"/>
    </row>
    <row r="113" spans="1:28">
      <c r="B113" t="s">
        <v>740</v>
      </c>
      <c r="L113" s="496"/>
      <c r="M113" s="297"/>
      <c r="S113" s="431"/>
      <c r="Y113" s="431"/>
      <c r="Z113" s="495"/>
      <c r="AA113" s="297"/>
      <c r="AB113" s="495"/>
    </row>
    <row r="114" spans="1:28">
      <c r="C114" t="s">
        <v>733</v>
      </c>
      <c r="D114" t="s">
        <v>734</v>
      </c>
      <c r="E114" t="s">
        <v>735</v>
      </c>
      <c r="F114" t="s">
        <v>736</v>
      </c>
      <c r="G114" s="495">
        <v>2.5000000000000001E-2</v>
      </c>
      <c r="H114" t="s">
        <v>737</v>
      </c>
      <c r="I114" s="495">
        <v>0.97499999999999998</v>
      </c>
      <c r="J114" t="s">
        <v>738</v>
      </c>
      <c r="K114" t="s">
        <v>739</v>
      </c>
      <c r="L114" s="496"/>
      <c r="M114" s="297"/>
      <c r="S114" s="431"/>
      <c r="Y114" s="431"/>
      <c r="AA114" s="297"/>
    </row>
    <row r="115" spans="1:28">
      <c r="C115" s="297" t="s">
        <v>468</v>
      </c>
      <c r="D115" s="416">
        <v>0.98619999999999997</v>
      </c>
      <c r="E115" s="297">
        <v>4.9049999999999996E-3</v>
      </c>
      <c r="F115" s="431">
        <v>1.0349999999999999E-4</v>
      </c>
      <c r="G115" s="416">
        <v>0.9748</v>
      </c>
      <c r="H115" s="297">
        <v>0.98709999999999998</v>
      </c>
      <c r="I115" s="416">
        <v>0.99339999999999995</v>
      </c>
      <c r="J115" s="297">
        <v>3000</v>
      </c>
      <c r="K115" s="297">
        <v>2799</v>
      </c>
      <c r="M115" s="297"/>
      <c r="S115" s="431"/>
      <c r="Y115" s="431"/>
      <c r="Z115" s="495"/>
      <c r="AA115" s="297"/>
      <c r="AB115" s="495"/>
    </row>
    <row r="116" spans="1:28">
      <c r="D116" s="263">
        <f>E115/D115</f>
        <v>4.9736361792739811E-3</v>
      </c>
      <c r="M116" s="297"/>
      <c r="S116" s="431"/>
      <c r="Y116" s="431"/>
      <c r="AA116" s="297"/>
    </row>
    <row r="117" spans="1:28">
      <c r="B117" t="s">
        <v>740</v>
      </c>
      <c r="N117" s="39"/>
      <c r="S117" s="431"/>
      <c r="Y117" s="431"/>
    </row>
    <row r="118" spans="1:28">
      <c r="C118" t="s">
        <v>733</v>
      </c>
      <c r="D118" t="s">
        <v>734</v>
      </c>
      <c r="E118" t="s">
        <v>735</v>
      </c>
      <c r="F118" t="s">
        <v>736</v>
      </c>
      <c r="G118" s="495">
        <v>2.5000000000000001E-2</v>
      </c>
      <c r="H118" t="s">
        <v>737</v>
      </c>
      <c r="I118" s="495">
        <v>0.97499999999999998</v>
      </c>
      <c r="J118" t="s">
        <v>738</v>
      </c>
      <c r="K118" t="s">
        <v>739</v>
      </c>
      <c r="N118" s="39" t="s">
        <v>769</v>
      </c>
      <c r="O118" t="s">
        <v>770</v>
      </c>
      <c r="S118" s="431"/>
    </row>
    <row r="119" spans="1:28">
      <c r="C119" t="s">
        <v>741</v>
      </c>
      <c r="D119">
        <v>602.79999999999995</v>
      </c>
      <c r="E119">
        <v>24.53</v>
      </c>
      <c r="F119">
        <v>0.51859999999999995</v>
      </c>
      <c r="G119">
        <v>556.6</v>
      </c>
      <c r="H119">
        <v>602.20000000000005</v>
      </c>
      <c r="I119">
        <v>651.4</v>
      </c>
      <c r="J119">
        <v>31001</v>
      </c>
      <c r="K119">
        <v>3000</v>
      </c>
      <c r="N119" s="25">
        <f t="shared" ref="N119:N126" si="46">SUM(C59:E59)</f>
        <v>603.07590900000014</v>
      </c>
      <c r="O119" s="73">
        <f t="shared" ref="O119:O125" si="47">N119/D119</f>
        <v>1.0004577123424023</v>
      </c>
      <c r="S119" s="431"/>
    </row>
    <row r="120" spans="1:28">
      <c r="C120" t="s">
        <v>742</v>
      </c>
      <c r="D120">
        <v>390.2</v>
      </c>
      <c r="E120">
        <v>19.809999999999999</v>
      </c>
      <c r="F120">
        <v>0.36509999999999998</v>
      </c>
      <c r="G120">
        <v>353.2</v>
      </c>
      <c r="H120">
        <v>389.8</v>
      </c>
      <c r="I120">
        <v>429.5</v>
      </c>
      <c r="J120">
        <v>31001</v>
      </c>
      <c r="K120">
        <v>3000</v>
      </c>
      <c r="N120" s="25">
        <f t="shared" si="46"/>
        <v>390.17624365526319</v>
      </c>
      <c r="O120" s="73">
        <f t="shared" si="47"/>
        <v>0.99993911751733267</v>
      </c>
      <c r="S120" s="431"/>
    </row>
    <row r="121" spans="1:28">
      <c r="C121" t="s">
        <v>743</v>
      </c>
      <c r="D121">
        <v>674.9</v>
      </c>
      <c r="E121">
        <v>25.17</v>
      </c>
      <c r="F121">
        <v>0.46899999999999997</v>
      </c>
      <c r="G121">
        <v>625</v>
      </c>
      <c r="H121">
        <v>675.2</v>
      </c>
      <c r="I121">
        <v>723.7</v>
      </c>
      <c r="J121">
        <v>31001</v>
      </c>
      <c r="K121">
        <v>3000</v>
      </c>
      <c r="N121" s="25">
        <f t="shared" si="46"/>
        <v>675.09642944285724</v>
      </c>
      <c r="O121" s="73">
        <f t="shared" si="47"/>
        <v>1.0002910497004849</v>
      </c>
    </row>
    <row r="122" spans="1:28">
      <c r="C122" t="s">
        <v>744</v>
      </c>
      <c r="D122">
        <v>1574</v>
      </c>
      <c r="E122">
        <v>40.31</v>
      </c>
      <c r="F122">
        <v>0.76149999999999995</v>
      </c>
      <c r="G122">
        <v>1499</v>
      </c>
      <c r="H122">
        <v>1575</v>
      </c>
      <c r="I122">
        <v>1653</v>
      </c>
      <c r="J122">
        <v>31001</v>
      </c>
      <c r="K122">
        <v>3000</v>
      </c>
      <c r="N122" s="25">
        <f t="shared" si="46"/>
        <v>1574.6119923076924</v>
      </c>
      <c r="O122" s="73">
        <f t="shared" si="47"/>
        <v>1.0003888134102239</v>
      </c>
    </row>
    <row r="123" spans="1:28">
      <c r="C123" t="s">
        <v>745</v>
      </c>
      <c r="D123">
        <v>609.79999999999995</v>
      </c>
      <c r="E123">
        <v>24.66</v>
      </c>
      <c r="F123">
        <v>0.48630000000000001</v>
      </c>
      <c r="G123">
        <v>562.70000000000005</v>
      </c>
      <c r="H123">
        <v>609.4</v>
      </c>
      <c r="I123">
        <v>656.8</v>
      </c>
      <c r="J123">
        <v>31001</v>
      </c>
      <c r="K123">
        <v>3000</v>
      </c>
      <c r="N123" s="25">
        <f t="shared" si="46"/>
        <v>609.75394652799991</v>
      </c>
      <c r="O123" s="73">
        <f t="shared" si="47"/>
        <v>0.99992447774352244</v>
      </c>
      <c r="T123" s="495"/>
      <c r="V123" s="495"/>
    </row>
    <row r="124" spans="1:28">
      <c r="C124" t="s">
        <v>746</v>
      </c>
      <c r="D124">
        <v>856.3</v>
      </c>
      <c r="E124">
        <v>29.22</v>
      </c>
      <c r="F124">
        <v>0.54320000000000002</v>
      </c>
      <c r="G124">
        <v>800.9</v>
      </c>
      <c r="H124">
        <v>856.1</v>
      </c>
      <c r="I124">
        <v>913.8</v>
      </c>
      <c r="J124">
        <v>31001</v>
      </c>
      <c r="K124">
        <v>3000</v>
      </c>
      <c r="N124" s="25">
        <f t="shared" si="46"/>
        <v>855.41887641600022</v>
      </c>
      <c r="O124" s="73">
        <f t="shared" si="47"/>
        <v>0.99897101064580196</v>
      </c>
    </row>
    <row r="125" spans="1:28">
      <c r="C125" t="s">
        <v>747</v>
      </c>
      <c r="D125">
        <v>1338</v>
      </c>
      <c r="E125">
        <v>36.35</v>
      </c>
      <c r="F125">
        <v>0.71309999999999996</v>
      </c>
      <c r="G125">
        <v>1268</v>
      </c>
      <c r="H125" s="39">
        <v>1337</v>
      </c>
      <c r="I125" s="39">
        <v>1411</v>
      </c>
      <c r="J125" s="25">
        <v>31001</v>
      </c>
      <c r="K125">
        <v>3000</v>
      </c>
      <c r="N125" s="25">
        <f t="shared" si="46"/>
        <v>1339.2993889523809</v>
      </c>
      <c r="O125" s="73">
        <f t="shared" si="47"/>
        <v>1.000971142714784</v>
      </c>
    </row>
    <row r="126" spans="1:28">
      <c r="C126" t="s">
        <v>748</v>
      </c>
      <c r="D126">
        <v>297.10000000000002</v>
      </c>
      <c r="E126">
        <v>17.05</v>
      </c>
      <c r="F126">
        <v>0.31830000000000003</v>
      </c>
      <c r="G126">
        <v>265.89999999999998</v>
      </c>
      <c r="H126">
        <v>296.60000000000002</v>
      </c>
      <c r="I126">
        <v>331.7</v>
      </c>
      <c r="J126">
        <v>31001</v>
      </c>
      <c r="K126">
        <v>3000</v>
      </c>
      <c r="N126" s="25">
        <f t="shared" si="46"/>
        <v>295.81169554054043</v>
      </c>
      <c r="O126" s="73">
        <f>N126/D126</f>
        <v>0.99566373456930457</v>
      </c>
    </row>
    <row r="127" spans="1:28">
      <c r="N127" s="38"/>
    </row>
    <row r="128" spans="1:28">
      <c r="A128" s="416" t="s">
        <v>772</v>
      </c>
      <c r="B128" s="416"/>
      <c r="C128" s="416"/>
      <c r="D128" s="416"/>
      <c r="E128" s="416"/>
      <c r="F128" s="416"/>
      <c r="N128" s="38"/>
    </row>
    <row r="129" spans="1:22">
      <c r="A129" t="s">
        <v>773</v>
      </c>
    </row>
    <row r="131" spans="1:22">
      <c r="C131" t="s">
        <v>774</v>
      </c>
    </row>
    <row r="132" spans="1:22">
      <c r="C132" t="s">
        <v>775</v>
      </c>
    </row>
    <row r="133" spans="1:22">
      <c r="C133" t="s">
        <v>776</v>
      </c>
    </row>
    <row r="134" spans="1:22">
      <c r="C134" t="s">
        <v>777</v>
      </c>
      <c r="T134" s="495"/>
      <c r="V134" s="495"/>
    </row>
    <row r="135" spans="1:22">
      <c r="D135" t="s">
        <v>778</v>
      </c>
    </row>
    <row r="136" spans="1:22">
      <c r="D136" t="s">
        <v>779</v>
      </c>
    </row>
    <row r="137" spans="1:22">
      <c r="C137" t="s">
        <v>780</v>
      </c>
    </row>
    <row r="138" spans="1:22">
      <c r="T138" s="495"/>
      <c r="V138" s="495"/>
    </row>
    <row r="139" spans="1:22">
      <c r="C139" t="s">
        <v>781</v>
      </c>
      <c r="S139" s="431"/>
    </row>
    <row r="140" spans="1:22">
      <c r="C140" t="s">
        <v>782</v>
      </c>
    </row>
    <row r="141" spans="1:22">
      <c r="D141" t="s">
        <v>783</v>
      </c>
    </row>
    <row r="142" spans="1:22">
      <c r="D142" t="s">
        <v>784</v>
      </c>
      <c r="T142" s="495"/>
      <c r="V142" s="495"/>
    </row>
    <row r="143" spans="1:22">
      <c r="D143" t="s">
        <v>785</v>
      </c>
      <c r="S143" s="431"/>
    </row>
    <row r="145" spans="1:9">
      <c r="D145" t="s">
        <v>786</v>
      </c>
    </row>
    <row r="146" spans="1:9">
      <c r="D146" t="s">
        <v>787</v>
      </c>
    </row>
    <row r="147" spans="1:9">
      <c r="D147" t="s">
        <v>788</v>
      </c>
    </row>
    <row r="148" spans="1:9">
      <c r="D148" t="s">
        <v>789</v>
      </c>
    </row>
    <row r="150" spans="1:9">
      <c r="D150" t="s">
        <v>790</v>
      </c>
    </row>
    <row r="151" spans="1:9">
      <c r="A151" t="s">
        <v>791</v>
      </c>
      <c r="C151" t="s">
        <v>780</v>
      </c>
    </row>
    <row r="153" spans="1:9">
      <c r="C153" t="s">
        <v>792</v>
      </c>
    </row>
    <row r="154" spans="1:9">
      <c r="C154" t="s">
        <v>793</v>
      </c>
    </row>
    <row r="155" spans="1:9">
      <c r="C155" t="s">
        <v>794</v>
      </c>
    </row>
    <row r="156" spans="1:9">
      <c r="C156" s="541" t="s">
        <v>795</v>
      </c>
      <c r="D156" s="541"/>
      <c r="E156" s="541"/>
      <c r="F156" s="541"/>
      <c r="G156" s="541"/>
      <c r="H156" s="541"/>
      <c r="I156" s="541"/>
    </row>
    <row r="157" spans="1:9">
      <c r="C157" t="s">
        <v>796</v>
      </c>
    </row>
    <row r="158" spans="1:9">
      <c r="C158" t="s">
        <v>797</v>
      </c>
    </row>
    <row r="159" spans="1:9">
      <c r="C159" t="s">
        <v>798</v>
      </c>
    </row>
    <row r="160" spans="1:9">
      <c r="C160" s="541" t="s">
        <v>799</v>
      </c>
      <c r="D160" s="541"/>
      <c r="E160" s="541"/>
      <c r="F160" s="541"/>
      <c r="G160" s="541"/>
      <c r="H160" s="541"/>
      <c r="I160" s="541"/>
    </row>
    <row r="161" spans="1:9">
      <c r="C161" s="541" t="s">
        <v>800</v>
      </c>
      <c r="D161" s="541"/>
      <c r="E161" s="541"/>
      <c r="F161" s="541"/>
      <c r="G161" s="541"/>
      <c r="H161" s="541"/>
      <c r="I161" s="541"/>
    </row>
    <row r="162" spans="1:9">
      <c r="C162" s="541" t="s">
        <v>801</v>
      </c>
      <c r="D162" s="541"/>
      <c r="E162" s="541"/>
      <c r="F162" s="541"/>
      <c r="G162" s="541"/>
      <c r="H162" s="541"/>
      <c r="I162" s="541"/>
    </row>
    <row r="163" spans="1:9">
      <c r="C163" s="541" t="s">
        <v>802</v>
      </c>
      <c r="D163" s="541"/>
      <c r="E163" s="541"/>
      <c r="F163" s="541"/>
      <c r="G163" s="541"/>
      <c r="H163" s="541"/>
      <c r="I163" s="541"/>
    </row>
    <row r="164" spans="1:9">
      <c r="C164" s="541" t="s">
        <v>803</v>
      </c>
      <c r="D164" s="541"/>
      <c r="E164" s="541"/>
      <c r="F164" s="541"/>
      <c r="G164" s="541"/>
      <c r="H164" s="541"/>
      <c r="I164" s="541"/>
    </row>
    <row r="165" spans="1:9">
      <c r="C165" s="541" t="s">
        <v>804</v>
      </c>
      <c r="D165" s="541"/>
      <c r="E165" s="541"/>
      <c r="F165" s="541"/>
      <c r="G165" s="541"/>
      <c r="H165" s="541"/>
      <c r="I165" s="541"/>
    </row>
    <row r="166" spans="1:9">
      <c r="C166" t="s">
        <v>805</v>
      </c>
    </row>
    <row r="167" spans="1:9">
      <c r="C167" t="s">
        <v>806</v>
      </c>
    </row>
    <row r="168" spans="1:9">
      <c r="C168" s="541" t="s">
        <v>807</v>
      </c>
      <c r="D168" s="541"/>
      <c r="E168" s="541"/>
      <c r="F168" s="541"/>
      <c r="G168" s="541"/>
      <c r="H168" s="541"/>
      <c r="I168" s="541"/>
    </row>
    <row r="169" spans="1:9">
      <c r="C169" s="541" t="s">
        <v>808</v>
      </c>
      <c r="D169" s="541"/>
      <c r="E169" s="541"/>
      <c r="F169" s="541"/>
      <c r="G169" s="541"/>
      <c r="H169" s="541"/>
      <c r="I169" s="541"/>
    </row>
    <row r="170" spans="1:9">
      <c r="A170" t="s">
        <v>780</v>
      </c>
    </row>
  </sheetData>
  <sortState ref="AA82:AA89">
    <sortCondition ref="AA82:AA89"/>
  </sortState>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3300"/>
  </sheetPr>
  <dimension ref="A1:CI210"/>
  <sheetViews>
    <sheetView zoomScaleNormal="100" workbookViewId="0">
      <pane ySplit="3" topLeftCell="A79" activePane="bottomLeft" state="frozen"/>
      <selection activeCell="K18" sqref="K18"/>
      <selection pane="bottomLeft" sqref="A1:XFD1048576"/>
    </sheetView>
  </sheetViews>
  <sheetFormatPr defaultColWidth="9.109375" defaultRowHeight="14.4"/>
  <cols>
    <col min="1" max="1" width="11.44140625" style="499" customWidth="1"/>
    <col min="2" max="2" width="9.109375" style="499"/>
    <col min="3" max="3" width="11.109375" style="499" bestFit="1" customWidth="1"/>
    <col min="4" max="4" width="10.6640625" style="499" customWidth="1"/>
    <col min="5" max="6" width="9.109375" style="499"/>
    <col min="7" max="7" width="10" style="499" bestFit="1" customWidth="1"/>
    <col min="8" max="8" width="9.109375" style="499"/>
    <col min="9" max="9" width="10" style="499" bestFit="1" customWidth="1"/>
    <col min="10" max="16384" width="9.109375" style="499"/>
  </cols>
  <sheetData>
    <row r="1" spans="1:20">
      <c r="A1" s="1" t="s">
        <v>0</v>
      </c>
    </row>
    <row r="2" spans="1:20" ht="15.6">
      <c r="B2" s="499" t="s">
        <v>1</v>
      </c>
      <c r="C2" s="2" t="s">
        <v>2</v>
      </c>
      <c r="D2" s="3"/>
      <c r="E2" s="3"/>
      <c r="T2" s="499">
        <f>S2*(1-'InputFile (stoch) (noRes)'!H101)*8</f>
        <v>0</v>
      </c>
    </row>
    <row r="3" spans="1:20">
      <c r="B3" s="416" t="s">
        <v>3</v>
      </c>
      <c r="C3" s="448" t="s">
        <v>844</v>
      </c>
      <c r="D3" s="416"/>
      <c r="E3" s="416"/>
      <c r="F3" s="416"/>
      <c r="G3" s="416"/>
      <c r="H3" s="416"/>
      <c r="I3" s="416"/>
      <c r="J3" s="416"/>
      <c r="K3" s="416"/>
      <c r="L3" s="416"/>
    </row>
    <row r="4" spans="1:20">
      <c r="B4" s="14" t="s">
        <v>4</v>
      </c>
    </row>
    <row r="7" spans="1:20">
      <c r="A7" s="1" t="s">
        <v>5</v>
      </c>
    </row>
    <row r="8" spans="1:20">
      <c r="A8" s="1" t="s">
        <v>6</v>
      </c>
    </row>
    <row r="9" spans="1:20">
      <c r="B9" s="6" t="s">
        <v>7</v>
      </c>
      <c r="C9" s="6" t="s">
        <v>8</v>
      </c>
      <c r="D9" s="6" t="s">
        <v>9</v>
      </c>
      <c r="E9" s="6" t="s">
        <v>10</v>
      </c>
      <c r="F9" s="6" t="s">
        <v>11</v>
      </c>
      <c r="G9" s="6" t="s">
        <v>12</v>
      </c>
      <c r="H9" s="6" t="s">
        <v>13</v>
      </c>
      <c r="I9" s="6" t="s">
        <v>14</v>
      </c>
    </row>
    <row r="10" spans="1:20">
      <c r="B10" s="7" t="s">
        <v>15</v>
      </c>
      <c r="C10" s="8">
        <v>1</v>
      </c>
      <c r="D10" s="7">
        <v>0</v>
      </c>
      <c r="E10" s="7">
        <v>0</v>
      </c>
      <c r="F10" s="7">
        <v>0</v>
      </c>
      <c r="G10" s="7">
        <v>0</v>
      </c>
      <c r="H10" s="7">
        <v>0</v>
      </c>
      <c r="I10" s="7">
        <v>0</v>
      </c>
      <c r="J10" s="499" t="s">
        <v>16</v>
      </c>
    </row>
    <row r="11" spans="1:20">
      <c r="A11" s="499" t="s">
        <v>17</v>
      </c>
      <c r="B11" s="7" t="s">
        <v>18</v>
      </c>
      <c r="C11" s="7">
        <v>0</v>
      </c>
      <c r="D11" s="7">
        <v>0</v>
      </c>
      <c r="E11" s="7">
        <v>0</v>
      </c>
      <c r="F11" s="7">
        <v>0</v>
      </c>
      <c r="G11" s="7">
        <v>0</v>
      </c>
      <c r="H11" s="7">
        <v>0</v>
      </c>
      <c r="I11" s="7">
        <v>0</v>
      </c>
    </row>
    <row r="12" spans="1:20">
      <c r="B12" s="7" t="s">
        <v>19</v>
      </c>
      <c r="C12" s="7">
        <v>0</v>
      </c>
      <c r="D12" s="7">
        <v>0</v>
      </c>
      <c r="E12" s="7">
        <v>0</v>
      </c>
      <c r="F12" s="7">
        <v>0</v>
      </c>
      <c r="G12" s="7">
        <v>0</v>
      </c>
      <c r="H12" s="7">
        <v>0</v>
      </c>
      <c r="I12" s="7">
        <v>0</v>
      </c>
    </row>
    <row r="13" spans="1:20">
      <c r="B13" s="7" t="s">
        <v>20</v>
      </c>
      <c r="C13" s="7">
        <v>0</v>
      </c>
      <c r="D13" s="7">
        <v>0</v>
      </c>
      <c r="E13" s="7">
        <v>0</v>
      </c>
      <c r="F13" s="7">
        <v>0</v>
      </c>
      <c r="G13" s="7">
        <v>0</v>
      </c>
      <c r="H13" s="7">
        <v>0</v>
      </c>
      <c r="I13" s="7">
        <v>0</v>
      </c>
    </row>
    <row r="14" spans="1:20">
      <c r="B14" s="7" t="s">
        <v>21</v>
      </c>
      <c r="C14" s="7">
        <v>0</v>
      </c>
      <c r="D14" s="7">
        <v>0</v>
      </c>
      <c r="E14" s="7">
        <v>0</v>
      </c>
      <c r="F14" s="7">
        <v>0</v>
      </c>
      <c r="G14" s="7">
        <v>0</v>
      </c>
      <c r="H14" s="7">
        <v>0</v>
      </c>
      <c r="I14" s="7">
        <v>0</v>
      </c>
    </row>
    <row r="15" spans="1:20">
      <c r="B15" s="7" t="s">
        <v>22</v>
      </c>
      <c r="C15" s="7">
        <v>0</v>
      </c>
      <c r="D15" s="7">
        <v>0</v>
      </c>
      <c r="E15" s="7">
        <v>0</v>
      </c>
      <c r="F15" s="7">
        <v>0</v>
      </c>
      <c r="G15" s="7">
        <v>0</v>
      </c>
      <c r="H15" s="7">
        <v>0</v>
      </c>
      <c r="I15" s="7">
        <v>0</v>
      </c>
    </row>
    <row r="16" spans="1:20">
      <c r="B16" s="7" t="s">
        <v>23</v>
      </c>
      <c r="C16" s="7">
        <v>0</v>
      </c>
      <c r="D16" s="7">
        <v>0</v>
      </c>
      <c r="E16" s="7">
        <v>0</v>
      </c>
      <c r="F16" s="7">
        <v>0</v>
      </c>
      <c r="G16" s="7">
        <v>0</v>
      </c>
      <c r="H16" s="7">
        <v>0</v>
      </c>
      <c r="I16" s="7">
        <v>0</v>
      </c>
    </row>
    <row r="17" spans="1:31">
      <c r="B17" s="7" t="s">
        <v>24</v>
      </c>
      <c r="C17" s="7">
        <v>0</v>
      </c>
      <c r="D17" s="7">
        <v>0</v>
      </c>
      <c r="E17" s="7">
        <v>0</v>
      </c>
      <c r="F17" s="7">
        <v>0</v>
      </c>
      <c r="G17" s="7">
        <v>0</v>
      </c>
      <c r="H17" s="7">
        <v>0</v>
      </c>
      <c r="I17" s="7">
        <v>0</v>
      </c>
    </row>
    <row r="18" spans="1:31">
      <c r="B18" s="7" t="s">
        <v>25</v>
      </c>
      <c r="C18" s="7">
        <v>0</v>
      </c>
      <c r="D18" s="7">
        <v>0</v>
      </c>
      <c r="E18" s="7">
        <v>0</v>
      </c>
      <c r="F18" s="7">
        <v>0</v>
      </c>
      <c r="G18" s="7">
        <v>0</v>
      </c>
      <c r="H18" s="7">
        <v>0</v>
      </c>
      <c r="I18" s="7">
        <v>0</v>
      </c>
    </row>
    <row r="19" spans="1:31">
      <c r="B19" s="7" t="s">
        <v>26</v>
      </c>
      <c r="C19" s="7">
        <v>0</v>
      </c>
      <c r="D19" s="7">
        <v>0</v>
      </c>
      <c r="E19" s="7">
        <v>0</v>
      </c>
      <c r="F19" s="7">
        <v>0</v>
      </c>
      <c r="G19" s="7">
        <v>0</v>
      </c>
      <c r="H19" s="7">
        <v>0</v>
      </c>
      <c r="I19" s="7">
        <v>0</v>
      </c>
    </row>
    <row r="20" spans="1:31">
      <c r="B20" s="7" t="s">
        <v>27</v>
      </c>
      <c r="C20" s="7">
        <v>0</v>
      </c>
      <c r="D20" s="7">
        <v>0</v>
      </c>
      <c r="E20" s="7">
        <v>0</v>
      </c>
      <c r="F20" s="7">
        <v>0</v>
      </c>
      <c r="G20" s="7">
        <v>0</v>
      </c>
      <c r="H20" s="7">
        <v>0</v>
      </c>
      <c r="I20" s="7">
        <v>0</v>
      </c>
    </row>
    <row r="21" spans="1:31">
      <c r="B21" s="7" t="s">
        <v>28</v>
      </c>
      <c r="C21" s="7">
        <v>0</v>
      </c>
      <c r="D21" s="7">
        <v>0</v>
      </c>
      <c r="E21" s="7">
        <v>0</v>
      </c>
      <c r="F21" s="7">
        <v>0</v>
      </c>
      <c r="G21" s="7">
        <v>0</v>
      </c>
      <c r="H21" s="7">
        <v>0</v>
      </c>
      <c r="I21" s="7">
        <v>0</v>
      </c>
    </row>
    <row r="25" spans="1:31">
      <c r="A25" s="1" t="s">
        <v>29</v>
      </c>
      <c r="B25" s="1"/>
    </row>
    <row r="26" spans="1:31">
      <c r="A26" s="1"/>
      <c r="B26" s="1" t="s">
        <v>30</v>
      </c>
      <c r="O26" s="499" t="s">
        <v>31</v>
      </c>
      <c r="S26" s="499" t="s">
        <v>32</v>
      </c>
      <c r="AE26" s="499" t="s">
        <v>33</v>
      </c>
    </row>
    <row r="27" spans="1:31">
      <c r="B27" s="6" t="s">
        <v>7</v>
      </c>
      <c r="C27" s="6" t="s">
        <v>34</v>
      </c>
      <c r="D27" s="6" t="s">
        <v>35</v>
      </c>
      <c r="E27" s="6" t="s">
        <v>36</v>
      </c>
      <c r="F27" s="6" t="s">
        <v>37</v>
      </c>
      <c r="G27" s="6" t="s">
        <v>38</v>
      </c>
      <c r="H27" s="6" t="s">
        <v>39</v>
      </c>
      <c r="I27" s="6" t="s">
        <v>40</v>
      </c>
      <c r="J27" s="6" t="s">
        <v>41</v>
      </c>
      <c r="K27" s="6" t="s">
        <v>42</v>
      </c>
      <c r="L27" s="6" t="s">
        <v>43</v>
      </c>
      <c r="M27" s="6" t="s">
        <v>44</v>
      </c>
      <c r="N27" s="6" t="s">
        <v>45</v>
      </c>
      <c r="O27" s="6" t="s">
        <v>46</v>
      </c>
      <c r="P27" s="6" t="s">
        <v>47</v>
      </c>
      <c r="Q27" s="6" t="s">
        <v>48</v>
      </c>
      <c r="R27" s="6" t="s">
        <v>49</v>
      </c>
      <c r="S27" s="6" t="s">
        <v>34</v>
      </c>
      <c r="T27" s="6" t="s">
        <v>35</v>
      </c>
      <c r="U27" s="6" t="s">
        <v>36</v>
      </c>
      <c r="V27" s="6" t="s">
        <v>37</v>
      </c>
      <c r="W27" s="6" t="s">
        <v>38</v>
      </c>
      <c r="X27" s="6" t="s">
        <v>39</v>
      </c>
      <c r="Y27" s="6" t="s">
        <v>40</v>
      </c>
      <c r="Z27" s="6" t="s">
        <v>41</v>
      </c>
      <c r="AA27" s="6" t="s">
        <v>42</v>
      </c>
      <c r="AB27" s="6" t="s">
        <v>43</v>
      </c>
      <c r="AC27" s="6" t="s">
        <v>44</v>
      </c>
      <c r="AD27" s="6" t="s">
        <v>45</v>
      </c>
      <c r="AE27" s="6" t="s">
        <v>50</v>
      </c>
    </row>
    <row r="28" spans="1:31">
      <c r="B28" s="7" t="s">
        <v>15</v>
      </c>
      <c r="C28" s="8">
        <v>1</v>
      </c>
      <c r="D28" s="7">
        <v>0</v>
      </c>
      <c r="E28" s="7">
        <v>0</v>
      </c>
      <c r="F28" s="7">
        <v>0</v>
      </c>
      <c r="G28" s="7">
        <v>0</v>
      </c>
      <c r="H28" s="7">
        <v>0</v>
      </c>
      <c r="I28" s="7">
        <v>0</v>
      </c>
      <c r="J28" s="7">
        <v>0</v>
      </c>
      <c r="K28" s="7">
        <v>0</v>
      </c>
      <c r="L28" s="7">
        <v>0</v>
      </c>
      <c r="M28" s="7">
        <v>0</v>
      </c>
      <c r="N28" s="7">
        <v>0</v>
      </c>
      <c r="O28" s="7">
        <v>0</v>
      </c>
      <c r="P28" s="7">
        <v>0</v>
      </c>
      <c r="Q28" s="7">
        <v>0</v>
      </c>
      <c r="R28" s="7">
        <v>0</v>
      </c>
      <c r="S28" s="7">
        <v>0</v>
      </c>
      <c r="T28" s="7">
        <v>0</v>
      </c>
      <c r="U28" s="7">
        <v>0</v>
      </c>
      <c r="V28" s="7">
        <v>0</v>
      </c>
      <c r="W28" s="7">
        <v>0</v>
      </c>
      <c r="X28" s="7">
        <v>0</v>
      </c>
      <c r="Y28" s="7">
        <v>0</v>
      </c>
      <c r="Z28" s="7">
        <v>0</v>
      </c>
      <c r="AA28" s="7">
        <v>0</v>
      </c>
      <c r="AB28" s="7">
        <v>0</v>
      </c>
      <c r="AC28" s="7">
        <v>0</v>
      </c>
      <c r="AD28" s="7">
        <v>0</v>
      </c>
      <c r="AE28" s="7">
        <v>0</v>
      </c>
    </row>
    <row r="29" spans="1:31">
      <c r="B29" s="7" t="s">
        <v>18</v>
      </c>
      <c r="C29" s="7">
        <v>0</v>
      </c>
      <c r="D29" s="7">
        <v>0</v>
      </c>
      <c r="E29" s="7">
        <v>0</v>
      </c>
      <c r="F29" s="7">
        <v>0</v>
      </c>
      <c r="G29" s="7">
        <v>0</v>
      </c>
      <c r="H29" s="7">
        <v>0</v>
      </c>
      <c r="I29" s="7">
        <v>0</v>
      </c>
      <c r="J29" s="7">
        <v>0</v>
      </c>
      <c r="K29" s="7">
        <v>0</v>
      </c>
      <c r="L29" s="7">
        <v>0</v>
      </c>
      <c r="M29" s="7">
        <v>0</v>
      </c>
      <c r="N29" s="7">
        <v>0</v>
      </c>
      <c r="O29" s="7">
        <v>0</v>
      </c>
      <c r="P29" s="7">
        <v>0</v>
      </c>
      <c r="Q29" s="7">
        <v>0</v>
      </c>
      <c r="R29" s="7">
        <v>0</v>
      </c>
      <c r="S29" s="7">
        <v>0</v>
      </c>
      <c r="T29" s="7">
        <v>0</v>
      </c>
      <c r="U29" s="7">
        <v>0</v>
      </c>
      <c r="V29" s="7">
        <v>0</v>
      </c>
      <c r="W29" s="7">
        <v>0</v>
      </c>
      <c r="X29" s="7">
        <v>0</v>
      </c>
      <c r="Y29" s="7">
        <v>0</v>
      </c>
      <c r="Z29" s="7">
        <v>0</v>
      </c>
      <c r="AA29" s="7">
        <v>0</v>
      </c>
      <c r="AB29" s="7">
        <v>0</v>
      </c>
      <c r="AC29" s="7">
        <v>0</v>
      </c>
      <c r="AD29" s="7">
        <v>0</v>
      </c>
      <c r="AE29" s="7">
        <v>0</v>
      </c>
    </row>
    <row r="30" spans="1:31">
      <c r="B30" s="7" t="s">
        <v>19</v>
      </c>
      <c r="C30" s="7">
        <v>0</v>
      </c>
      <c r="D30" s="7">
        <v>0</v>
      </c>
      <c r="E30" s="7">
        <v>0</v>
      </c>
      <c r="F30" s="7">
        <v>0</v>
      </c>
      <c r="G30" s="7">
        <v>0</v>
      </c>
      <c r="H30" s="7">
        <v>0</v>
      </c>
      <c r="I30" s="7">
        <v>0</v>
      </c>
      <c r="J30" s="7">
        <v>0</v>
      </c>
      <c r="K30" s="7">
        <v>0</v>
      </c>
      <c r="L30" s="7">
        <v>0</v>
      </c>
      <c r="M30" s="7">
        <v>0</v>
      </c>
      <c r="N30" s="7">
        <v>0</v>
      </c>
      <c r="O30" s="7">
        <v>0</v>
      </c>
      <c r="P30" s="7">
        <v>0</v>
      </c>
      <c r="Q30" s="7">
        <v>0</v>
      </c>
      <c r="R30" s="7">
        <v>0</v>
      </c>
      <c r="S30" s="7">
        <v>0</v>
      </c>
      <c r="T30" s="7">
        <v>0</v>
      </c>
      <c r="U30" s="7">
        <v>0</v>
      </c>
      <c r="V30" s="7">
        <v>0</v>
      </c>
      <c r="W30" s="7">
        <v>0</v>
      </c>
      <c r="X30" s="7">
        <v>0</v>
      </c>
      <c r="Y30" s="7">
        <v>0</v>
      </c>
      <c r="Z30" s="7">
        <v>0</v>
      </c>
      <c r="AA30" s="7">
        <v>0</v>
      </c>
      <c r="AB30" s="7">
        <v>0</v>
      </c>
      <c r="AC30" s="7">
        <v>0</v>
      </c>
      <c r="AD30" s="7">
        <v>0</v>
      </c>
      <c r="AE30" s="7">
        <v>0</v>
      </c>
    </row>
    <row r="31" spans="1:31">
      <c r="B31" s="7" t="s">
        <v>20</v>
      </c>
      <c r="C31" s="7">
        <v>0</v>
      </c>
      <c r="D31" s="7">
        <v>0</v>
      </c>
      <c r="E31" s="7">
        <v>0</v>
      </c>
      <c r="F31" s="7">
        <v>0</v>
      </c>
      <c r="G31" s="7">
        <v>0</v>
      </c>
      <c r="H31" s="7">
        <v>0</v>
      </c>
      <c r="I31" s="7">
        <v>0</v>
      </c>
      <c r="J31" s="7">
        <v>0</v>
      </c>
      <c r="K31" s="7">
        <v>0</v>
      </c>
      <c r="L31" s="7">
        <v>0</v>
      </c>
      <c r="M31" s="7">
        <v>0</v>
      </c>
      <c r="N31" s="7">
        <v>0</v>
      </c>
      <c r="O31" s="7">
        <v>0</v>
      </c>
      <c r="P31" s="7">
        <v>0</v>
      </c>
      <c r="Q31" s="7">
        <v>0</v>
      </c>
      <c r="R31" s="7">
        <v>0</v>
      </c>
      <c r="S31" s="7">
        <v>0</v>
      </c>
      <c r="T31" s="7">
        <v>0</v>
      </c>
      <c r="U31" s="7">
        <v>0</v>
      </c>
      <c r="V31" s="7">
        <v>0</v>
      </c>
      <c r="W31" s="7">
        <v>0</v>
      </c>
      <c r="X31" s="7">
        <v>0</v>
      </c>
      <c r="Y31" s="7">
        <v>0</v>
      </c>
      <c r="Z31" s="7">
        <v>0</v>
      </c>
      <c r="AA31" s="7">
        <v>0</v>
      </c>
      <c r="AB31" s="7">
        <v>0</v>
      </c>
      <c r="AC31" s="7">
        <v>0</v>
      </c>
      <c r="AD31" s="7">
        <v>0</v>
      </c>
      <c r="AE31" s="7">
        <v>0</v>
      </c>
    </row>
    <row r="32" spans="1:31">
      <c r="B32" s="7" t="s">
        <v>21</v>
      </c>
      <c r="C32" s="7">
        <v>0</v>
      </c>
      <c r="D32" s="7">
        <v>0</v>
      </c>
      <c r="E32" s="7">
        <v>0</v>
      </c>
      <c r="F32" s="7">
        <v>0</v>
      </c>
      <c r="G32" s="7">
        <v>0</v>
      </c>
      <c r="H32" s="7">
        <v>0</v>
      </c>
      <c r="I32" s="7">
        <v>0</v>
      </c>
      <c r="J32" s="7">
        <v>0</v>
      </c>
      <c r="K32" s="7">
        <v>0</v>
      </c>
      <c r="L32" s="7">
        <v>0</v>
      </c>
      <c r="M32" s="7">
        <v>0</v>
      </c>
      <c r="N32" s="7">
        <v>0</v>
      </c>
      <c r="O32" s="7">
        <v>0</v>
      </c>
      <c r="P32" s="7">
        <v>0</v>
      </c>
      <c r="Q32" s="7">
        <v>0</v>
      </c>
      <c r="R32" s="7">
        <v>0</v>
      </c>
      <c r="S32" s="7">
        <v>0</v>
      </c>
      <c r="T32" s="7">
        <v>0</v>
      </c>
      <c r="U32" s="7">
        <v>0</v>
      </c>
      <c r="V32" s="7">
        <v>0</v>
      </c>
      <c r="W32" s="7">
        <v>0</v>
      </c>
      <c r="X32" s="7">
        <v>0</v>
      </c>
      <c r="Y32" s="7">
        <v>0</v>
      </c>
      <c r="Z32" s="7">
        <v>0</v>
      </c>
      <c r="AA32" s="7">
        <v>0</v>
      </c>
      <c r="AB32" s="7">
        <v>0</v>
      </c>
      <c r="AC32" s="7">
        <v>0</v>
      </c>
      <c r="AD32" s="7">
        <v>0</v>
      </c>
      <c r="AE32" s="7">
        <v>0</v>
      </c>
    </row>
    <row r="33" spans="1:37">
      <c r="B33" s="7" t="s">
        <v>22</v>
      </c>
      <c r="C33" s="7">
        <v>0</v>
      </c>
      <c r="D33" s="7">
        <v>0</v>
      </c>
      <c r="E33" s="7">
        <v>0</v>
      </c>
      <c r="F33" s="7">
        <v>0</v>
      </c>
      <c r="G33" s="7">
        <v>0</v>
      </c>
      <c r="H33" s="7">
        <v>0</v>
      </c>
      <c r="I33" s="7">
        <v>0</v>
      </c>
      <c r="J33" s="7">
        <v>0</v>
      </c>
      <c r="K33" s="7">
        <v>0</v>
      </c>
      <c r="L33" s="7">
        <v>0</v>
      </c>
      <c r="M33" s="7">
        <v>0</v>
      </c>
      <c r="N33" s="7">
        <v>0</v>
      </c>
      <c r="O33" s="7">
        <v>0</v>
      </c>
      <c r="P33" s="7">
        <v>0</v>
      </c>
      <c r="Q33" s="7">
        <v>0</v>
      </c>
      <c r="R33" s="7">
        <v>0</v>
      </c>
      <c r="S33" s="7">
        <v>0</v>
      </c>
      <c r="T33" s="7">
        <v>0</v>
      </c>
      <c r="U33" s="7">
        <v>0</v>
      </c>
      <c r="V33" s="7">
        <v>0</v>
      </c>
      <c r="W33" s="7">
        <v>0</v>
      </c>
      <c r="X33" s="7">
        <v>0</v>
      </c>
      <c r="Y33" s="7">
        <v>0</v>
      </c>
      <c r="Z33" s="7">
        <v>0</v>
      </c>
      <c r="AA33" s="7">
        <v>0</v>
      </c>
      <c r="AB33" s="7">
        <v>0</v>
      </c>
      <c r="AC33" s="7">
        <v>0</v>
      </c>
      <c r="AD33" s="7">
        <v>0</v>
      </c>
      <c r="AE33" s="7">
        <v>0</v>
      </c>
    </row>
    <row r="34" spans="1:37">
      <c r="B34" s="7" t="s">
        <v>23</v>
      </c>
      <c r="C34" s="7">
        <v>0</v>
      </c>
      <c r="D34" s="7">
        <v>0</v>
      </c>
      <c r="E34" s="7">
        <v>0</v>
      </c>
      <c r="F34" s="7">
        <v>0</v>
      </c>
      <c r="G34" s="7">
        <v>0</v>
      </c>
      <c r="H34" s="7">
        <v>0</v>
      </c>
      <c r="I34" s="7">
        <v>0</v>
      </c>
      <c r="J34" s="7">
        <v>0</v>
      </c>
      <c r="K34" s="7">
        <v>0</v>
      </c>
      <c r="L34" s="7">
        <v>0</v>
      </c>
      <c r="M34" s="7">
        <v>0</v>
      </c>
      <c r="N34" s="7">
        <v>0</v>
      </c>
      <c r="O34" s="7">
        <v>0</v>
      </c>
      <c r="P34" s="7">
        <v>0</v>
      </c>
      <c r="Q34" s="7">
        <v>0</v>
      </c>
      <c r="R34" s="7">
        <v>0</v>
      </c>
      <c r="S34" s="7">
        <v>0</v>
      </c>
      <c r="T34" s="7">
        <v>0</v>
      </c>
      <c r="U34" s="7">
        <v>0</v>
      </c>
      <c r="V34" s="7">
        <v>0</v>
      </c>
      <c r="W34" s="7">
        <v>0</v>
      </c>
      <c r="X34" s="7">
        <v>0</v>
      </c>
      <c r="Y34" s="7">
        <v>0</v>
      </c>
      <c r="Z34" s="7">
        <v>0</v>
      </c>
      <c r="AA34" s="7">
        <v>0</v>
      </c>
      <c r="AB34" s="7">
        <v>0</v>
      </c>
      <c r="AC34" s="7">
        <v>0</v>
      </c>
      <c r="AD34" s="7">
        <v>0</v>
      </c>
      <c r="AE34" s="7">
        <v>0</v>
      </c>
    </row>
    <row r="35" spans="1:37">
      <c r="B35" s="7" t="s">
        <v>24</v>
      </c>
      <c r="C35" s="7">
        <v>0</v>
      </c>
      <c r="D35" s="7">
        <v>0</v>
      </c>
      <c r="E35" s="7">
        <v>0</v>
      </c>
      <c r="F35" s="7">
        <v>0</v>
      </c>
      <c r="G35" s="7">
        <v>0</v>
      </c>
      <c r="H35" s="7">
        <v>0</v>
      </c>
      <c r="I35" s="7">
        <v>0</v>
      </c>
      <c r="J35" s="7">
        <v>0</v>
      </c>
      <c r="K35" s="7">
        <v>0</v>
      </c>
      <c r="L35" s="7">
        <v>0</v>
      </c>
      <c r="M35" s="7">
        <v>0</v>
      </c>
      <c r="N35" s="7">
        <v>0</v>
      </c>
      <c r="O35" s="7">
        <v>0</v>
      </c>
      <c r="P35" s="7">
        <v>0</v>
      </c>
      <c r="Q35" s="7">
        <v>0</v>
      </c>
      <c r="R35" s="7">
        <v>0</v>
      </c>
      <c r="S35" s="7">
        <v>0</v>
      </c>
      <c r="T35" s="7">
        <v>0</v>
      </c>
      <c r="U35" s="7">
        <v>0</v>
      </c>
      <c r="V35" s="7">
        <v>0</v>
      </c>
      <c r="W35" s="7">
        <v>0</v>
      </c>
      <c r="X35" s="7">
        <v>0</v>
      </c>
      <c r="Y35" s="7">
        <v>0</v>
      </c>
      <c r="Z35" s="7">
        <v>0</v>
      </c>
      <c r="AA35" s="7">
        <v>0</v>
      </c>
      <c r="AB35" s="7">
        <v>0</v>
      </c>
      <c r="AC35" s="7">
        <v>0</v>
      </c>
      <c r="AD35" s="7">
        <v>0</v>
      </c>
      <c r="AE35" s="7">
        <v>0</v>
      </c>
    </row>
    <row r="36" spans="1:37">
      <c r="B36" s="7" t="s">
        <v>25</v>
      </c>
      <c r="C36" s="7">
        <v>0</v>
      </c>
      <c r="D36" s="7">
        <v>0</v>
      </c>
      <c r="E36" s="7">
        <v>0</v>
      </c>
      <c r="F36" s="7">
        <v>0</v>
      </c>
      <c r="G36" s="7">
        <v>0</v>
      </c>
      <c r="H36" s="7">
        <v>0</v>
      </c>
      <c r="I36" s="7">
        <v>0</v>
      </c>
      <c r="J36" s="7">
        <v>0</v>
      </c>
      <c r="K36" s="7">
        <v>0</v>
      </c>
      <c r="L36" s="7">
        <v>0</v>
      </c>
      <c r="M36" s="7">
        <v>0</v>
      </c>
      <c r="N36" s="7">
        <v>0</v>
      </c>
      <c r="O36" s="7">
        <v>0</v>
      </c>
      <c r="P36" s="7">
        <v>0</v>
      </c>
      <c r="Q36" s="7">
        <v>0</v>
      </c>
      <c r="R36" s="7">
        <v>0</v>
      </c>
      <c r="S36" s="7">
        <v>0</v>
      </c>
      <c r="T36" s="7">
        <v>0</v>
      </c>
      <c r="U36" s="7">
        <v>0</v>
      </c>
      <c r="V36" s="7">
        <v>0</v>
      </c>
      <c r="W36" s="7">
        <v>0</v>
      </c>
      <c r="X36" s="7">
        <v>0</v>
      </c>
      <c r="Y36" s="7">
        <v>0</v>
      </c>
      <c r="Z36" s="7">
        <v>0</v>
      </c>
      <c r="AA36" s="7">
        <v>0</v>
      </c>
      <c r="AB36" s="7">
        <v>0</v>
      </c>
      <c r="AC36" s="7">
        <v>0</v>
      </c>
      <c r="AD36" s="7">
        <v>0</v>
      </c>
      <c r="AE36" s="7">
        <v>0</v>
      </c>
    </row>
    <row r="37" spans="1:37">
      <c r="B37" s="7" t="s">
        <v>26</v>
      </c>
      <c r="C37" s="7">
        <v>0</v>
      </c>
      <c r="D37" s="7">
        <v>0</v>
      </c>
      <c r="E37" s="7">
        <v>0</v>
      </c>
      <c r="F37" s="7">
        <v>0</v>
      </c>
      <c r="G37" s="7">
        <v>0</v>
      </c>
      <c r="H37" s="7">
        <v>0</v>
      </c>
      <c r="I37" s="7">
        <v>0</v>
      </c>
      <c r="J37" s="7">
        <v>0</v>
      </c>
      <c r="K37" s="7">
        <v>0</v>
      </c>
      <c r="L37" s="7">
        <v>0</v>
      </c>
      <c r="M37" s="7">
        <v>0</v>
      </c>
      <c r="N37" s="7">
        <v>0</v>
      </c>
      <c r="O37" s="7">
        <v>0</v>
      </c>
      <c r="P37" s="7">
        <v>0</v>
      </c>
      <c r="Q37" s="7">
        <v>0</v>
      </c>
      <c r="R37" s="7">
        <v>0</v>
      </c>
      <c r="S37" s="7">
        <v>0</v>
      </c>
      <c r="T37" s="7">
        <v>0</v>
      </c>
      <c r="U37" s="7">
        <v>0</v>
      </c>
      <c r="V37" s="7">
        <v>0</v>
      </c>
      <c r="W37" s="7">
        <v>0</v>
      </c>
      <c r="X37" s="7">
        <v>0</v>
      </c>
      <c r="Y37" s="7">
        <v>0</v>
      </c>
      <c r="Z37" s="7">
        <v>0</v>
      </c>
      <c r="AA37" s="7">
        <v>0</v>
      </c>
      <c r="AB37" s="7">
        <v>0</v>
      </c>
      <c r="AC37" s="7">
        <v>0</v>
      </c>
      <c r="AD37" s="7">
        <v>0</v>
      </c>
      <c r="AE37" s="7">
        <v>0</v>
      </c>
    </row>
    <row r="38" spans="1:37">
      <c r="B38" s="7" t="s">
        <v>27</v>
      </c>
      <c r="C38" s="7">
        <v>0</v>
      </c>
      <c r="D38" s="7">
        <v>0</v>
      </c>
      <c r="E38" s="7">
        <v>0</v>
      </c>
      <c r="F38" s="7">
        <v>0</v>
      </c>
      <c r="G38" s="7">
        <v>0</v>
      </c>
      <c r="H38" s="7">
        <v>0</v>
      </c>
      <c r="I38" s="7">
        <v>0</v>
      </c>
      <c r="J38" s="7">
        <v>0</v>
      </c>
      <c r="K38" s="7">
        <v>0</v>
      </c>
      <c r="L38" s="7">
        <v>0</v>
      </c>
      <c r="M38" s="7">
        <v>0</v>
      </c>
      <c r="N38" s="7">
        <v>0</v>
      </c>
      <c r="O38" s="7">
        <v>0</v>
      </c>
      <c r="P38" s="7">
        <v>0</v>
      </c>
      <c r="Q38" s="7">
        <v>0</v>
      </c>
      <c r="R38" s="7">
        <v>0</v>
      </c>
      <c r="S38" s="7">
        <v>0</v>
      </c>
      <c r="T38" s="7">
        <v>0</v>
      </c>
      <c r="U38" s="7">
        <v>0</v>
      </c>
      <c r="V38" s="7">
        <v>0</v>
      </c>
      <c r="W38" s="7">
        <v>0</v>
      </c>
      <c r="X38" s="7">
        <v>0</v>
      </c>
      <c r="Y38" s="7">
        <v>0</v>
      </c>
      <c r="Z38" s="7">
        <v>0</v>
      </c>
      <c r="AA38" s="7">
        <v>0</v>
      </c>
      <c r="AB38" s="7">
        <v>0</v>
      </c>
      <c r="AC38" s="7">
        <v>0</v>
      </c>
      <c r="AD38" s="7">
        <v>0</v>
      </c>
      <c r="AE38" s="7">
        <v>0</v>
      </c>
    </row>
    <row r="39" spans="1:37">
      <c r="B39" s="7" t="s">
        <v>28</v>
      </c>
      <c r="C39" s="7">
        <v>0</v>
      </c>
      <c r="D39" s="7">
        <v>0</v>
      </c>
      <c r="E39" s="7">
        <v>0</v>
      </c>
      <c r="F39" s="7">
        <v>0</v>
      </c>
      <c r="G39" s="7">
        <v>0</v>
      </c>
      <c r="H39" s="7">
        <v>0</v>
      </c>
      <c r="I39" s="7">
        <v>0</v>
      </c>
      <c r="J39" s="7">
        <v>0</v>
      </c>
      <c r="K39" s="7">
        <v>0</v>
      </c>
      <c r="L39" s="7">
        <v>0</v>
      </c>
      <c r="M39" s="7">
        <v>0</v>
      </c>
      <c r="N39" s="7">
        <v>0</v>
      </c>
      <c r="O39" s="7">
        <v>0</v>
      </c>
      <c r="P39" s="7">
        <v>0</v>
      </c>
      <c r="Q39" s="7">
        <v>0</v>
      </c>
      <c r="R39" s="7">
        <v>0</v>
      </c>
      <c r="S39" s="7">
        <v>0</v>
      </c>
      <c r="T39" s="7">
        <v>0</v>
      </c>
      <c r="U39" s="7">
        <v>0</v>
      </c>
      <c r="V39" s="7">
        <v>0</v>
      </c>
      <c r="W39" s="7">
        <v>0</v>
      </c>
      <c r="X39" s="7">
        <v>0</v>
      </c>
      <c r="Y39" s="7">
        <v>0</v>
      </c>
      <c r="Z39" s="7">
        <v>0</v>
      </c>
      <c r="AA39" s="7">
        <v>0</v>
      </c>
      <c r="AB39" s="7">
        <v>0</v>
      </c>
      <c r="AC39" s="7">
        <v>0</v>
      </c>
      <c r="AD39" s="7">
        <v>0</v>
      </c>
      <c r="AE39" s="7">
        <v>0</v>
      </c>
    </row>
    <row r="41" spans="1:37">
      <c r="A41" s="1" t="s">
        <v>51</v>
      </c>
      <c r="I41" s="16"/>
      <c r="J41" s="16"/>
    </row>
    <row r="42" spans="1:37">
      <c r="C42" s="499" t="s">
        <v>52</v>
      </c>
      <c r="H42" s="499" t="s">
        <v>53</v>
      </c>
      <c r="M42" s="499" t="s">
        <v>54</v>
      </c>
      <c r="R42" s="499" t="s">
        <v>55</v>
      </c>
      <c r="W42" s="499" t="s">
        <v>56</v>
      </c>
    </row>
    <row r="43" spans="1:37">
      <c r="C43" s="499" t="s">
        <v>57</v>
      </c>
      <c r="D43" s="499" t="s">
        <v>57</v>
      </c>
      <c r="E43" s="499" t="s">
        <v>57</v>
      </c>
      <c r="F43" s="499" t="s">
        <v>57</v>
      </c>
      <c r="G43" s="499" t="s">
        <v>57</v>
      </c>
      <c r="H43" s="499" t="s">
        <v>9</v>
      </c>
      <c r="I43" s="499" t="s">
        <v>9</v>
      </c>
      <c r="J43" s="499" t="s">
        <v>9</v>
      </c>
      <c r="K43" s="499" t="s">
        <v>9</v>
      </c>
      <c r="L43" s="499" t="s">
        <v>9</v>
      </c>
      <c r="M43" s="499" t="s">
        <v>10</v>
      </c>
      <c r="N43" s="499" t="s">
        <v>10</v>
      </c>
      <c r="O43" s="499" t="s">
        <v>10</v>
      </c>
      <c r="P43" s="499" t="s">
        <v>10</v>
      </c>
      <c r="Q43" s="499" t="s">
        <v>10</v>
      </c>
      <c r="R43" s="499" t="s">
        <v>11</v>
      </c>
      <c r="S43" s="499" t="s">
        <v>11</v>
      </c>
      <c r="T43" s="499" t="s">
        <v>11</v>
      </c>
      <c r="U43" s="499" t="s">
        <v>11</v>
      </c>
      <c r="V43" s="499" t="s">
        <v>11</v>
      </c>
      <c r="W43" s="499" t="s">
        <v>58</v>
      </c>
      <c r="X43" s="499" t="s">
        <v>58</v>
      </c>
      <c r="Y43" s="499" t="s">
        <v>58</v>
      </c>
      <c r="Z43" s="499" t="s">
        <v>58</v>
      </c>
      <c r="AA43" s="499" t="s">
        <v>58</v>
      </c>
      <c r="AB43" s="499" t="s">
        <v>59</v>
      </c>
      <c r="AG43" s="499" t="s">
        <v>60</v>
      </c>
    </row>
    <row r="44" spans="1:37">
      <c r="B44" s="6" t="s">
        <v>61</v>
      </c>
      <c r="C44" s="6" t="s">
        <v>62</v>
      </c>
      <c r="D44" s="6" t="s">
        <v>63</v>
      </c>
      <c r="E44" s="6" t="s">
        <v>64</v>
      </c>
      <c r="F44" s="6" t="s">
        <v>65</v>
      </c>
      <c r="G44" s="6" t="s">
        <v>66</v>
      </c>
      <c r="H44" s="6" t="s">
        <v>67</v>
      </c>
      <c r="I44" s="6" t="s">
        <v>63</v>
      </c>
      <c r="J44" s="6" t="s">
        <v>64</v>
      </c>
      <c r="K44" s="6" t="s">
        <v>65</v>
      </c>
      <c r="L44" s="6" t="s">
        <v>66</v>
      </c>
      <c r="M44" s="6" t="s">
        <v>67</v>
      </c>
      <c r="N44" s="6" t="s">
        <v>63</v>
      </c>
      <c r="O44" s="6" t="s">
        <v>64</v>
      </c>
      <c r="P44" s="6" t="s">
        <v>65</v>
      </c>
      <c r="Q44" s="6" t="s">
        <v>66</v>
      </c>
      <c r="R44" s="6" t="s">
        <v>67</v>
      </c>
      <c r="S44" s="6" t="s">
        <v>63</v>
      </c>
      <c r="T44" s="6" t="s">
        <v>64</v>
      </c>
      <c r="U44" s="6" t="s">
        <v>65</v>
      </c>
      <c r="V44" s="6" t="s">
        <v>66</v>
      </c>
      <c r="W44" s="6" t="s">
        <v>67</v>
      </c>
      <c r="X44" s="6" t="s">
        <v>63</v>
      </c>
      <c r="Y44" s="6" t="s">
        <v>64</v>
      </c>
      <c r="Z44" s="6" t="s">
        <v>65</v>
      </c>
      <c r="AA44" s="6" t="s">
        <v>66</v>
      </c>
      <c r="AB44" s="6" t="s">
        <v>67</v>
      </c>
      <c r="AC44" s="6" t="s">
        <v>63</v>
      </c>
      <c r="AD44" s="6" t="s">
        <v>64</v>
      </c>
      <c r="AE44" s="6" t="s">
        <v>65</v>
      </c>
      <c r="AF44" s="6" t="s">
        <v>66</v>
      </c>
      <c r="AG44" s="6" t="s">
        <v>67</v>
      </c>
      <c r="AH44" s="6" t="s">
        <v>63</v>
      </c>
      <c r="AI44" s="6" t="s">
        <v>64</v>
      </c>
      <c r="AJ44" s="6" t="s">
        <v>65</v>
      </c>
      <c r="AK44" s="6" t="s">
        <v>66</v>
      </c>
    </row>
    <row r="45" spans="1:37">
      <c r="A45" s="586" t="s">
        <v>1054</v>
      </c>
      <c r="B45" s="499" t="s">
        <v>34</v>
      </c>
      <c r="C45" s="578">
        <f>Cap.egg!B20</f>
        <v>124834143</v>
      </c>
      <c r="D45" s="572">
        <v>1.0000000000000001E+50</v>
      </c>
      <c r="E45" s="579">
        <f>IF(A46=0,Cap.juv!B23*Cap.juv!B34,IF(A46=1,Cap.juv!B22*Cap.juv!B34,"XXX"))</f>
        <v>675883.27709125483</v>
      </c>
      <c r="F45" s="578">
        <f>IF(A46=0,Cap.juv!B23*Cap.juv!C34,IF(A46=1,Cap.juv!B22*Cap.juv!C34,"XXX"))</f>
        <v>492611.72290874523</v>
      </c>
      <c r="G45" s="572">
        <v>1.0000000000000001E+50</v>
      </c>
      <c r="H45" s="7">
        <v>0</v>
      </c>
      <c r="I45" s="7">
        <v>0</v>
      </c>
      <c r="J45" s="7">
        <v>0</v>
      </c>
      <c r="K45" s="7">
        <v>0</v>
      </c>
      <c r="L45" s="7">
        <v>0</v>
      </c>
      <c r="M45" s="7">
        <v>0</v>
      </c>
      <c r="N45" s="7">
        <v>0</v>
      </c>
      <c r="O45" s="7">
        <v>0</v>
      </c>
      <c r="P45" s="7">
        <v>0</v>
      </c>
      <c r="Q45" s="7">
        <v>0</v>
      </c>
      <c r="R45" s="7">
        <v>0</v>
      </c>
      <c r="S45" s="7">
        <v>0</v>
      </c>
      <c r="T45" s="7">
        <v>0</v>
      </c>
      <c r="U45" s="7">
        <v>0</v>
      </c>
      <c r="V45" s="7">
        <v>0</v>
      </c>
      <c r="W45" s="7">
        <v>0</v>
      </c>
      <c r="X45" s="7">
        <v>0</v>
      </c>
      <c r="Y45" s="7">
        <v>0</v>
      </c>
      <c r="Z45" s="7">
        <v>0</v>
      </c>
      <c r="AA45" s="7">
        <v>0</v>
      </c>
      <c r="AB45" s="7">
        <v>0</v>
      </c>
      <c r="AC45" s="7">
        <v>0</v>
      </c>
      <c r="AD45" s="7">
        <v>0</v>
      </c>
      <c r="AE45" s="7">
        <v>0</v>
      </c>
      <c r="AF45" s="7">
        <v>0</v>
      </c>
      <c r="AG45" s="7">
        <v>0</v>
      </c>
      <c r="AH45" s="7">
        <v>0</v>
      </c>
      <c r="AI45" s="7">
        <v>0</v>
      </c>
      <c r="AJ45" s="7">
        <v>0</v>
      </c>
      <c r="AK45" s="7">
        <v>0</v>
      </c>
    </row>
    <row r="46" spans="1:37">
      <c r="A46" s="587">
        <v>0</v>
      </c>
      <c r="B46" s="499" t="s">
        <v>35</v>
      </c>
      <c r="C46" s="7">
        <v>0</v>
      </c>
      <c r="D46" s="7">
        <v>0</v>
      </c>
      <c r="E46" s="7">
        <v>0</v>
      </c>
      <c r="F46" s="7">
        <v>0</v>
      </c>
      <c r="G46" s="7">
        <v>0</v>
      </c>
      <c r="H46" s="7">
        <v>0</v>
      </c>
      <c r="I46" s="7">
        <v>0</v>
      </c>
      <c r="J46" s="7">
        <v>0</v>
      </c>
      <c r="K46" s="7">
        <v>0</v>
      </c>
      <c r="L46" s="7">
        <v>0</v>
      </c>
      <c r="M46" s="7">
        <v>0</v>
      </c>
      <c r="N46" s="7">
        <v>0</v>
      </c>
      <c r="O46" s="7">
        <v>0</v>
      </c>
      <c r="P46" s="7">
        <v>0</v>
      </c>
      <c r="Q46" s="7">
        <v>0</v>
      </c>
      <c r="R46" s="7">
        <v>0</v>
      </c>
      <c r="S46" s="7">
        <v>0</v>
      </c>
      <c r="T46" s="7">
        <v>0</v>
      </c>
      <c r="U46" s="7">
        <v>0</v>
      </c>
      <c r="V46" s="7">
        <v>0</v>
      </c>
      <c r="W46" s="7">
        <v>0</v>
      </c>
      <c r="X46" s="7">
        <v>0</v>
      </c>
      <c r="Y46" s="7">
        <v>0</v>
      </c>
      <c r="Z46" s="7">
        <v>0</v>
      </c>
      <c r="AA46" s="7">
        <v>0</v>
      </c>
      <c r="AB46" s="7">
        <v>0</v>
      </c>
      <c r="AC46" s="7">
        <v>0</v>
      </c>
      <c r="AD46" s="7">
        <v>0</v>
      </c>
      <c r="AE46" s="7">
        <v>0</v>
      </c>
      <c r="AF46" s="7">
        <v>0</v>
      </c>
      <c r="AG46" s="7">
        <v>0</v>
      </c>
      <c r="AH46" s="7">
        <v>0</v>
      </c>
      <c r="AI46" s="7">
        <v>0</v>
      </c>
      <c r="AJ46" s="7">
        <v>0</v>
      </c>
      <c r="AK46" s="7">
        <v>0</v>
      </c>
    </row>
    <row r="47" spans="1:37">
      <c r="B47" s="499" t="s">
        <v>36</v>
      </c>
      <c r="C47" s="7">
        <v>0</v>
      </c>
      <c r="D47" s="7">
        <v>0</v>
      </c>
      <c r="E47" s="7">
        <v>0</v>
      </c>
      <c r="F47" s="7">
        <v>0</v>
      </c>
      <c r="G47" s="7">
        <v>0</v>
      </c>
      <c r="H47" s="7">
        <v>0</v>
      </c>
      <c r="I47" s="7">
        <v>0</v>
      </c>
      <c r="J47" s="7">
        <v>0</v>
      </c>
      <c r="K47" s="7">
        <v>0</v>
      </c>
      <c r="L47" s="7">
        <v>0</v>
      </c>
      <c r="M47" s="7">
        <v>0</v>
      </c>
      <c r="N47" s="7">
        <v>0</v>
      </c>
      <c r="O47" s="7">
        <v>0</v>
      </c>
      <c r="P47" s="7">
        <v>0</v>
      </c>
      <c r="Q47" s="7">
        <v>0</v>
      </c>
      <c r="R47" s="7">
        <v>0</v>
      </c>
      <c r="S47" s="7">
        <v>0</v>
      </c>
      <c r="T47" s="7">
        <v>0</v>
      </c>
      <c r="U47" s="7">
        <v>0</v>
      </c>
      <c r="V47" s="7">
        <v>0</v>
      </c>
      <c r="W47" s="7">
        <v>0</v>
      </c>
      <c r="X47" s="7">
        <v>0</v>
      </c>
      <c r="Y47" s="7">
        <v>0</v>
      </c>
      <c r="Z47" s="7">
        <v>0</v>
      </c>
      <c r="AA47" s="7">
        <v>0</v>
      </c>
      <c r="AB47" s="7">
        <v>0</v>
      </c>
      <c r="AC47" s="7">
        <v>0</v>
      </c>
      <c r="AD47" s="7">
        <v>0</v>
      </c>
      <c r="AE47" s="7">
        <v>0</v>
      </c>
      <c r="AF47" s="7">
        <v>0</v>
      </c>
      <c r="AG47" s="7">
        <v>0</v>
      </c>
      <c r="AH47" s="7">
        <v>0</v>
      </c>
      <c r="AI47" s="7">
        <v>0</v>
      </c>
      <c r="AJ47" s="7">
        <v>0</v>
      </c>
      <c r="AK47" s="7">
        <v>0</v>
      </c>
    </row>
    <row r="48" spans="1:37">
      <c r="B48" s="499" t="s">
        <v>37</v>
      </c>
      <c r="C48" s="7">
        <v>0</v>
      </c>
      <c r="D48" s="7">
        <v>0</v>
      </c>
      <c r="E48" s="7">
        <v>0</v>
      </c>
      <c r="F48" s="7">
        <v>0</v>
      </c>
      <c r="G48" s="7">
        <v>0</v>
      </c>
      <c r="H48" s="7">
        <v>0</v>
      </c>
      <c r="I48" s="7">
        <v>0</v>
      </c>
      <c r="J48" s="7">
        <v>0</v>
      </c>
      <c r="K48" s="7">
        <v>0</v>
      </c>
      <c r="L48" s="7">
        <v>0</v>
      </c>
      <c r="M48" s="7">
        <v>0</v>
      </c>
      <c r="N48" s="7">
        <v>0</v>
      </c>
      <c r="O48" s="7">
        <v>0</v>
      </c>
      <c r="P48" s="7">
        <v>0</v>
      </c>
      <c r="Q48" s="7">
        <v>0</v>
      </c>
      <c r="R48" s="7">
        <v>0</v>
      </c>
      <c r="S48" s="7">
        <v>0</v>
      </c>
      <c r="T48" s="7">
        <v>0</v>
      </c>
      <c r="U48" s="7">
        <v>0</v>
      </c>
      <c r="V48" s="7">
        <v>0</v>
      </c>
      <c r="W48" s="7">
        <v>0</v>
      </c>
      <c r="X48" s="7">
        <v>0</v>
      </c>
      <c r="Y48" s="7">
        <v>0</v>
      </c>
      <c r="Z48" s="7">
        <v>0</v>
      </c>
      <c r="AA48" s="7">
        <v>0</v>
      </c>
      <c r="AB48" s="7">
        <v>0</v>
      </c>
      <c r="AC48" s="7">
        <v>0</v>
      </c>
      <c r="AD48" s="7">
        <v>0</v>
      </c>
      <c r="AE48" s="7">
        <v>0</v>
      </c>
      <c r="AF48" s="7">
        <v>0</v>
      </c>
      <c r="AG48" s="7">
        <v>0</v>
      </c>
      <c r="AH48" s="7">
        <v>0</v>
      </c>
      <c r="AI48" s="7">
        <v>0</v>
      </c>
      <c r="AJ48" s="7">
        <v>0</v>
      </c>
      <c r="AK48" s="7">
        <v>0</v>
      </c>
    </row>
    <row r="49" spans="1:37">
      <c r="B49" s="499" t="s">
        <v>38</v>
      </c>
      <c r="C49" s="7">
        <v>0</v>
      </c>
      <c r="D49" s="7">
        <v>0</v>
      </c>
      <c r="E49" s="7">
        <v>0</v>
      </c>
      <c r="F49" s="7">
        <v>0</v>
      </c>
      <c r="G49" s="7">
        <v>0</v>
      </c>
      <c r="H49" s="7">
        <v>0</v>
      </c>
      <c r="I49" s="7">
        <v>0</v>
      </c>
      <c r="J49" s="7">
        <v>0</v>
      </c>
      <c r="K49" s="7">
        <v>0</v>
      </c>
      <c r="L49" s="7">
        <v>0</v>
      </c>
      <c r="M49" s="7">
        <v>0</v>
      </c>
      <c r="N49" s="7">
        <v>0</v>
      </c>
      <c r="O49" s="7">
        <v>0</v>
      </c>
      <c r="P49" s="7">
        <v>0</v>
      </c>
      <c r="Q49" s="7">
        <v>0</v>
      </c>
      <c r="R49" s="7">
        <v>0</v>
      </c>
      <c r="S49" s="7">
        <v>0</v>
      </c>
      <c r="T49" s="7">
        <v>0</v>
      </c>
      <c r="U49" s="7">
        <v>0</v>
      </c>
      <c r="V49" s="7">
        <v>0</v>
      </c>
      <c r="W49" s="7">
        <v>0</v>
      </c>
      <c r="X49" s="7">
        <v>0</v>
      </c>
      <c r="Y49" s="7">
        <v>0</v>
      </c>
      <c r="Z49" s="7">
        <v>0</v>
      </c>
      <c r="AA49" s="7">
        <v>0</v>
      </c>
      <c r="AB49" s="7">
        <v>0</v>
      </c>
      <c r="AC49" s="7">
        <v>0</v>
      </c>
      <c r="AD49" s="7">
        <v>0</v>
      </c>
      <c r="AE49" s="7">
        <v>0</v>
      </c>
      <c r="AF49" s="7">
        <v>0</v>
      </c>
      <c r="AG49" s="7">
        <v>0</v>
      </c>
      <c r="AH49" s="7">
        <v>0</v>
      </c>
      <c r="AI49" s="7">
        <v>0</v>
      </c>
      <c r="AJ49" s="7">
        <v>0</v>
      </c>
      <c r="AK49" s="7">
        <v>0</v>
      </c>
    </row>
    <row r="50" spans="1:37">
      <c r="B50" s="499" t="s">
        <v>39</v>
      </c>
      <c r="C50" s="7">
        <v>0</v>
      </c>
      <c r="D50" s="7">
        <v>0</v>
      </c>
      <c r="E50" s="7">
        <v>0</v>
      </c>
      <c r="F50" s="7">
        <v>0</v>
      </c>
      <c r="G50" s="7">
        <v>0</v>
      </c>
      <c r="H50" s="7">
        <v>0</v>
      </c>
      <c r="I50" s="7">
        <v>0</v>
      </c>
      <c r="J50" s="7">
        <v>0</v>
      </c>
      <c r="K50" s="7">
        <v>0</v>
      </c>
      <c r="L50" s="7">
        <v>0</v>
      </c>
      <c r="M50" s="7">
        <v>0</v>
      </c>
      <c r="N50" s="7">
        <v>0</v>
      </c>
      <c r="O50" s="7">
        <v>0</v>
      </c>
      <c r="P50" s="7">
        <v>0</v>
      </c>
      <c r="Q50" s="7">
        <v>0</v>
      </c>
      <c r="R50" s="7">
        <v>0</v>
      </c>
      <c r="S50" s="7">
        <v>0</v>
      </c>
      <c r="T50" s="7">
        <v>0</v>
      </c>
      <c r="U50" s="7">
        <v>0</v>
      </c>
      <c r="V50" s="7">
        <v>0</v>
      </c>
      <c r="W50" s="7">
        <v>0</v>
      </c>
      <c r="X50" s="7">
        <v>0</v>
      </c>
      <c r="Y50" s="7">
        <v>0</v>
      </c>
      <c r="Z50" s="7">
        <v>0</v>
      </c>
      <c r="AA50" s="7">
        <v>0</v>
      </c>
      <c r="AB50" s="7">
        <v>0</v>
      </c>
      <c r="AC50" s="7">
        <v>0</v>
      </c>
      <c r="AD50" s="7">
        <v>0</v>
      </c>
      <c r="AE50" s="7">
        <v>0</v>
      </c>
      <c r="AF50" s="7">
        <v>0</v>
      </c>
      <c r="AG50" s="7">
        <v>0</v>
      </c>
      <c r="AH50" s="7">
        <v>0</v>
      </c>
      <c r="AI50" s="7">
        <v>0</v>
      </c>
      <c r="AJ50" s="7">
        <v>0</v>
      </c>
      <c r="AK50" s="7">
        <v>0</v>
      </c>
    </row>
    <row r="51" spans="1:37">
      <c r="B51" s="499" t="s">
        <v>40</v>
      </c>
      <c r="C51" s="7">
        <v>0</v>
      </c>
      <c r="D51" s="7">
        <v>0</v>
      </c>
      <c r="E51" s="7">
        <v>0</v>
      </c>
      <c r="F51" s="7">
        <v>0</v>
      </c>
      <c r="G51" s="7">
        <v>0</v>
      </c>
      <c r="H51" s="7">
        <v>0</v>
      </c>
      <c r="I51" s="7">
        <v>0</v>
      </c>
      <c r="J51" s="7">
        <v>0</v>
      </c>
      <c r="K51" s="7">
        <v>0</v>
      </c>
      <c r="L51" s="7">
        <v>0</v>
      </c>
      <c r="M51" s="7">
        <v>0</v>
      </c>
      <c r="N51" s="7">
        <v>0</v>
      </c>
      <c r="O51" s="7">
        <v>0</v>
      </c>
      <c r="P51" s="7">
        <v>0</v>
      </c>
      <c r="Q51" s="7">
        <v>0</v>
      </c>
      <c r="R51" s="7">
        <v>0</v>
      </c>
      <c r="S51" s="7">
        <v>0</v>
      </c>
      <c r="T51" s="7">
        <v>0</v>
      </c>
      <c r="U51" s="7">
        <v>0</v>
      </c>
      <c r="V51" s="7">
        <v>0</v>
      </c>
      <c r="W51" s="7">
        <v>0</v>
      </c>
      <c r="X51" s="7">
        <v>0</v>
      </c>
      <c r="Y51" s="7">
        <v>0</v>
      </c>
      <c r="Z51" s="7">
        <v>0</v>
      </c>
      <c r="AA51" s="7">
        <v>0</v>
      </c>
      <c r="AB51" s="7">
        <v>0</v>
      </c>
      <c r="AC51" s="7">
        <v>0</v>
      </c>
      <c r="AD51" s="7">
        <v>0</v>
      </c>
      <c r="AE51" s="7">
        <v>0</v>
      </c>
      <c r="AF51" s="7">
        <v>0</v>
      </c>
      <c r="AG51" s="7">
        <v>0</v>
      </c>
      <c r="AH51" s="7">
        <v>0</v>
      </c>
      <c r="AI51" s="7">
        <v>0</v>
      </c>
      <c r="AJ51" s="7">
        <v>0</v>
      </c>
      <c r="AK51" s="7">
        <v>0</v>
      </c>
    </row>
    <row r="52" spans="1:37">
      <c r="B52" s="499" t="s">
        <v>41</v>
      </c>
      <c r="C52" s="7">
        <v>0</v>
      </c>
      <c r="D52" s="7">
        <v>0</v>
      </c>
      <c r="E52" s="7">
        <v>0</v>
      </c>
      <c r="F52" s="7">
        <v>0</v>
      </c>
      <c r="G52" s="7">
        <v>0</v>
      </c>
      <c r="H52" s="7">
        <v>0</v>
      </c>
      <c r="I52" s="7">
        <v>0</v>
      </c>
      <c r="J52" s="7">
        <v>0</v>
      </c>
      <c r="K52" s="7">
        <v>0</v>
      </c>
      <c r="L52" s="7">
        <v>0</v>
      </c>
      <c r="M52" s="7">
        <v>0</v>
      </c>
      <c r="N52" s="7">
        <v>0</v>
      </c>
      <c r="O52" s="7">
        <v>0</v>
      </c>
      <c r="P52" s="7">
        <v>0</v>
      </c>
      <c r="Q52" s="7">
        <v>0</v>
      </c>
      <c r="R52" s="7">
        <v>0</v>
      </c>
      <c r="S52" s="7">
        <v>0</v>
      </c>
      <c r="T52" s="7">
        <v>0</v>
      </c>
      <c r="U52" s="7">
        <v>0</v>
      </c>
      <c r="V52" s="7">
        <v>0</v>
      </c>
      <c r="W52" s="7">
        <v>0</v>
      </c>
      <c r="X52" s="7">
        <v>0</v>
      </c>
      <c r="Y52" s="7">
        <v>0</v>
      </c>
      <c r="Z52" s="7">
        <v>0</v>
      </c>
      <c r="AA52" s="7">
        <v>0</v>
      </c>
      <c r="AB52" s="7">
        <v>0</v>
      </c>
      <c r="AC52" s="7">
        <v>0</v>
      </c>
      <c r="AD52" s="7">
        <v>0</v>
      </c>
      <c r="AE52" s="7">
        <v>0</v>
      </c>
      <c r="AF52" s="7">
        <v>0</v>
      </c>
      <c r="AG52" s="7">
        <v>0</v>
      </c>
      <c r="AH52" s="7">
        <v>0</v>
      </c>
      <c r="AI52" s="7">
        <v>0</v>
      </c>
      <c r="AJ52" s="7">
        <v>0</v>
      </c>
      <c r="AK52" s="7">
        <v>0</v>
      </c>
    </row>
    <row r="53" spans="1:37">
      <c r="B53" s="499" t="s">
        <v>42</v>
      </c>
      <c r="C53" s="7">
        <v>0</v>
      </c>
      <c r="D53" s="7">
        <v>0</v>
      </c>
      <c r="E53" s="7">
        <v>0</v>
      </c>
      <c r="F53" s="7">
        <v>0</v>
      </c>
      <c r="G53" s="7">
        <v>0</v>
      </c>
      <c r="H53" s="7">
        <v>0</v>
      </c>
      <c r="I53" s="7">
        <v>0</v>
      </c>
      <c r="J53" s="7">
        <v>0</v>
      </c>
      <c r="K53" s="7">
        <v>0</v>
      </c>
      <c r="L53" s="7">
        <v>0</v>
      </c>
      <c r="M53" s="7">
        <v>0</v>
      </c>
      <c r="N53" s="7">
        <v>0</v>
      </c>
      <c r="O53" s="7">
        <v>0</v>
      </c>
      <c r="P53" s="7">
        <v>0</v>
      </c>
      <c r="Q53" s="7">
        <v>0</v>
      </c>
      <c r="R53" s="7">
        <v>0</v>
      </c>
      <c r="S53" s="7">
        <v>0</v>
      </c>
      <c r="T53" s="7">
        <v>0</v>
      </c>
      <c r="U53" s="7">
        <v>0</v>
      </c>
      <c r="V53" s="7">
        <v>0</v>
      </c>
      <c r="W53" s="7">
        <v>0</v>
      </c>
      <c r="X53" s="7">
        <v>0</v>
      </c>
      <c r="Y53" s="7">
        <v>0</v>
      </c>
      <c r="Z53" s="7">
        <v>0</v>
      </c>
      <c r="AA53" s="7">
        <v>0</v>
      </c>
      <c r="AB53" s="7">
        <v>0</v>
      </c>
      <c r="AC53" s="7">
        <v>0</v>
      </c>
      <c r="AD53" s="7">
        <v>0</v>
      </c>
      <c r="AE53" s="7">
        <v>0</v>
      </c>
      <c r="AF53" s="7">
        <v>0</v>
      </c>
      <c r="AG53" s="7">
        <v>0</v>
      </c>
      <c r="AH53" s="7">
        <v>0</v>
      </c>
      <c r="AI53" s="7">
        <v>0</v>
      </c>
      <c r="AJ53" s="7">
        <v>0</v>
      </c>
      <c r="AK53" s="7">
        <v>0</v>
      </c>
    </row>
    <row r="54" spans="1:37">
      <c r="B54" s="499" t="s">
        <v>43</v>
      </c>
      <c r="C54" s="7">
        <v>0</v>
      </c>
      <c r="D54" s="7">
        <v>0</v>
      </c>
      <c r="E54" s="7">
        <v>0</v>
      </c>
      <c r="F54" s="7">
        <v>0</v>
      </c>
      <c r="G54" s="7">
        <v>0</v>
      </c>
      <c r="H54" s="7">
        <v>0</v>
      </c>
      <c r="I54" s="7">
        <v>0</v>
      </c>
      <c r="J54" s="7">
        <v>0</v>
      </c>
      <c r="K54" s="7">
        <v>0</v>
      </c>
      <c r="L54" s="7">
        <v>0</v>
      </c>
      <c r="M54" s="7">
        <v>0</v>
      </c>
      <c r="N54" s="7">
        <v>0</v>
      </c>
      <c r="O54" s="7">
        <v>0</v>
      </c>
      <c r="P54" s="7">
        <v>0</v>
      </c>
      <c r="Q54" s="7">
        <v>0</v>
      </c>
      <c r="R54" s="7">
        <v>0</v>
      </c>
      <c r="S54" s="7">
        <v>0</v>
      </c>
      <c r="T54" s="7">
        <v>0</v>
      </c>
      <c r="U54" s="7">
        <v>0</v>
      </c>
      <c r="V54" s="7">
        <v>0</v>
      </c>
      <c r="W54" s="7">
        <v>0</v>
      </c>
      <c r="X54" s="7">
        <v>0</v>
      </c>
      <c r="Y54" s="7">
        <v>0</v>
      </c>
      <c r="Z54" s="7">
        <v>0</v>
      </c>
      <c r="AA54" s="7">
        <v>0</v>
      </c>
      <c r="AB54" s="7">
        <v>0</v>
      </c>
      <c r="AC54" s="7">
        <v>0</v>
      </c>
      <c r="AD54" s="7">
        <v>0</v>
      </c>
      <c r="AE54" s="7">
        <v>0</v>
      </c>
      <c r="AF54" s="7">
        <v>0</v>
      </c>
      <c r="AG54" s="7">
        <v>0</v>
      </c>
      <c r="AH54" s="7">
        <v>0</v>
      </c>
      <c r="AI54" s="7">
        <v>0</v>
      </c>
      <c r="AJ54" s="7">
        <v>0</v>
      </c>
      <c r="AK54" s="7">
        <v>0</v>
      </c>
    </row>
    <row r="55" spans="1:37">
      <c r="B55" s="499" t="s">
        <v>44</v>
      </c>
      <c r="C55" s="7">
        <v>0</v>
      </c>
      <c r="D55" s="7">
        <v>0</v>
      </c>
      <c r="E55" s="7">
        <v>0</v>
      </c>
      <c r="F55" s="7">
        <v>0</v>
      </c>
      <c r="G55" s="7">
        <v>0</v>
      </c>
      <c r="H55" s="7">
        <v>0</v>
      </c>
      <c r="I55" s="7">
        <v>0</v>
      </c>
      <c r="J55" s="7">
        <v>0</v>
      </c>
      <c r="K55" s="7">
        <v>0</v>
      </c>
      <c r="L55" s="7">
        <v>0</v>
      </c>
      <c r="M55" s="7">
        <v>0</v>
      </c>
      <c r="N55" s="7">
        <v>0</v>
      </c>
      <c r="O55" s="7">
        <v>0</v>
      </c>
      <c r="P55" s="7">
        <v>0</v>
      </c>
      <c r="Q55" s="7">
        <v>0</v>
      </c>
      <c r="R55" s="7">
        <v>0</v>
      </c>
      <c r="S55" s="7">
        <v>0</v>
      </c>
      <c r="T55" s="7">
        <v>0</v>
      </c>
      <c r="U55" s="7">
        <v>0</v>
      </c>
      <c r="V55" s="7">
        <v>0</v>
      </c>
      <c r="W55" s="7">
        <v>0</v>
      </c>
      <c r="X55" s="7">
        <v>0</v>
      </c>
      <c r="Y55" s="7">
        <v>0</v>
      </c>
      <c r="Z55" s="7">
        <v>0</v>
      </c>
      <c r="AA55" s="7">
        <v>0</v>
      </c>
      <c r="AB55" s="7">
        <v>0</v>
      </c>
      <c r="AC55" s="7">
        <v>0</v>
      </c>
      <c r="AD55" s="7">
        <v>0</v>
      </c>
      <c r="AE55" s="7">
        <v>0</v>
      </c>
      <c r="AF55" s="7">
        <v>0</v>
      </c>
      <c r="AG55" s="7">
        <v>0</v>
      </c>
      <c r="AH55" s="7">
        <v>0</v>
      </c>
      <c r="AI55" s="7">
        <v>0</v>
      </c>
      <c r="AJ55" s="7">
        <v>0</v>
      </c>
      <c r="AK55" s="7">
        <v>0</v>
      </c>
    </row>
    <row r="56" spans="1:37">
      <c r="B56" s="499" t="s">
        <v>45</v>
      </c>
      <c r="C56" s="7">
        <v>0</v>
      </c>
      <c r="D56" s="7">
        <v>0</v>
      </c>
      <c r="E56" s="7">
        <v>0</v>
      </c>
      <c r="F56" s="7">
        <v>0</v>
      </c>
      <c r="G56" s="7">
        <v>0</v>
      </c>
      <c r="H56" s="7">
        <v>0</v>
      </c>
      <c r="I56" s="7">
        <v>0</v>
      </c>
      <c r="J56" s="7">
        <v>0</v>
      </c>
      <c r="K56" s="7">
        <v>0</v>
      </c>
      <c r="L56" s="7">
        <v>0</v>
      </c>
      <c r="M56" s="7">
        <v>0</v>
      </c>
      <c r="N56" s="7">
        <v>0</v>
      </c>
      <c r="O56" s="7">
        <v>0</v>
      </c>
      <c r="P56" s="7">
        <v>0</v>
      </c>
      <c r="Q56" s="7">
        <v>0</v>
      </c>
      <c r="R56" s="7">
        <v>0</v>
      </c>
      <c r="S56" s="7">
        <v>0</v>
      </c>
      <c r="T56" s="7">
        <v>0</v>
      </c>
      <c r="U56" s="7">
        <v>0</v>
      </c>
      <c r="V56" s="7">
        <v>0</v>
      </c>
      <c r="W56" s="7">
        <v>0</v>
      </c>
      <c r="X56" s="7">
        <v>0</v>
      </c>
      <c r="Y56" s="7">
        <v>0</v>
      </c>
      <c r="Z56" s="7">
        <v>0</v>
      </c>
      <c r="AA56" s="7">
        <v>0</v>
      </c>
      <c r="AB56" s="7">
        <v>0</v>
      </c>
      <c r="AC56" s="7">
        <v>0</v>
      </c>
      <c r="AD56" s="7">
        <v>0</v>
      </c>
      <c r="AE56" s="7">
        <v>0</v>
      </c>
      <c r="AF56" s="7">
        <v>0</v>
      </c>
      <c r="AG56" s="7">
        <v>0</v>
      </c>
      <c r="AH56" s="7">
        <v>0</v>
      </c>
      <c r="AI56" s="7">
        <v>0</v>
      </c>
      <c r="AJ56" s="7">
        <v>0</v>
      </c>
      <c r="AK56" s="7">
        <v>0</v>
      </c>
    </row>
    <row r="59" spans="1:37">
      <c r="A59" s="1" t="s">
        <v>70</v>
      </c>
    </row>
    <row r="60" spans="1:37">
      <c r="C60" s="499" t="s">
        <v>52</v>
      </c>
      <c r="H60" s="499" t="s">
        <v>53</v>
      </c>
      <c r="M60" s="499" t="s">
        <v>54</v>
      </c>
      <c r="R60" s="499" t="s">
        <v>55</v>
      </c>
      <c r="W60" s="499" t="s">
        <v>71</v>
      </c>
    </row>
    <row r="61" spans="1:37">
      <c r="C61" s="499" t="s">
        <v>57</v>
      </c>
      <c r="D61" s="499" t="s">
        <v>57</v>
      </c>
      <c r="E61" s="499" t="s">
        <v>57</v>
      </c>
      <c r="F61" s="499" t="s">
        <v>57</v>
      </c>
      <c r="G61" s="499" t="s">
        <v>57</v>
      </c>
      <c r="H61" s="499" t="s">
        <v>9</v>
      </c>
      <c r="I61" s="499" t="s">
        <v>9</v>
      </c>
      <c r="J61" s="499" t="s">
        <v>9</v>
      </c>
      <c r="K61" s="499" t="s">
        <v>9</v>
      </c>
      <c r="L61" s="499" t="s">
        <v>9</v>
      </c>
      <c r="M61" s="499" t="s">
        <v>10</v>
      </c>
      <c r="N61" s="499" t="s">
        <v>10</v>
      </c>
      <c r="O61" s="499" t="s">
        <v>10</v>
      </c>
      <c r="P61" s="499" t="s">
        <v>10</v>
      </c>
      <c r="Q61" s="499" t="s">
        <v>10</v>
      </c>
      <c r="R61" s="499" t="s">
        <v>11</v>
      </c>
      <c r="S61" s="499" t="s">
        <v>11</v>
      </c>
      <c r="T61" s="499" t="s">
        <v>11</v>
      </c>
      <c r="U61" s="499" t="s">
        <v>11</v>
      </c>
      <c r="V61" s="499" t="s">
        <v>11</v>
      </c>
      <c r="W61" s="499" t="s">
        <v>58</v>
      </c>
      <c r="X61" s="499" t="s">
        <v>58</v>
      </c>
      <c r="Y61" s="499" t="s">
        <v>58</v>
      </c>
      <c r="Z61" s="499" t="s">
        <v>58</v>
      </c>
      <c r="AA61" s="499" t="s">
        <v>58</v>
      </c>
      <c r="AB61" s="499" t="s">
        <v>72</v>
      </c>
      <c r="AG61" s="499" t="s">
        <v>60</v>
      </c>
    </row>
    <row r="62" spans="1:37">
      <c r="B62" s="6" t="s">
        <v>7</v>
      </c>
      <c r="C62" s="6" t="s">
        <v>67</v>
      </c>
      <c r="D62" s="6" t="s">
        <v>63</v>
      </c>
      <c r="E62" s="6" t="s">
        <v>64</v>
      </c>
      <c r="F62" s="6" t="s">
        <v>65</v>
      </c>
      <c r="G62" s="6" t="s">
        <v>66</v>
      </c>
      <c r="H62" s="6" t="s">
        <v>67</v>
      </c>
      <c r="I62" s="6" t="s">
        <v>63</v>
      </c>
      <c r="J62" s="6" t="s">
        <v>64</v>
      </c>
      <c r="K62" s="6" t="s">
        <v>65</v>
      </c>
      <c r="L62" s="6" t="s">
        <v>66</v>
      </c>
      <c r="M62" s="6" t="s">
        <v>67</v>
      </c>
      <c r="N62" s="6" t="s">
        <v>63</v>
      </c>
      <c r="O62" s="6" t="s">
        <v>64</v>
      </c>
      <c r="P62" s="6" t="s">
        <v>65</v>
      </c>
      <c r="Q62" s="6" t="s">
        <v>66</v>
      </c>
      <c r="R62" s="6" t="s">
        <v>67</v>
      </c>
      <c r="S62" s="6" t="s">
        <v>63</v>
      </c>
      <c r="T62" s="6" t="s">
        <v>64</v>
      </c>
      <c r="U62" s="6" t="s">
        <v>65</v>
      </c>
      <c r="V62" s="6" t="s">
        <v>66</v>
      </c>
      <c r="W62" s="6" t="s">
        <v>67</v>
      </c>
      <c r="X62" s="6" t="s">
        <v>63</v>
      </c>
      <c r="Y62" s="6" t="s">
        <v>64</v>
      </c>
      <c r="Z62" s="6" t="s">
        <v>65</v>
      </c>
      <c r="AA62" s="6" t="s">
        <v>66</v>
      </c>
      <c r="AB62" s="6" t="s">
        <v>67</v>
      </c>
      <c r="AC62" s="6" t="s">
        <v>63</v>
      </c>
      <c r="AD62" s="6" t="s">
        <v>64</v>
      </c>
      <c r="AE62" s="6" t="s">
        <v>65</v>
      </c>
      <c r="AF62" s="6" t="s">
        <v>66</v>
      </c>
      <c r="AG62" s="6" t="s">
        <v>67</v>
      </c>
      <c r="AH62" s="6" t="s">
        <v>63</v>
      </c>
      <c r="AI62" s="6" t="s">
        <v>64</v>
      </c>
      <c r="AJ62" s="6" t="s">
        <v>65</v>
      </c>
      <c r="AK62" s="6" t="s">
        <v>66</v>
      </c>
    </row>
    <row r="63" spans="1:37">
      <c r="B63" s="499" t="s">
        <v>15</v>
      </c>
      <c r="C63" s="529">
        <v>1</v>
      </c>
      <c r="D63" s="529">
        <v>1</v>
      </c>
      <c r="E63" s="529">
        <v>1</v>
      </c>
      <c r="F63" s="529">
        <v>1</v>
      </c>
      <c r="G63" s="529">
        <v>1</v>
      </c>
      <c r="H63" s="7">
        <v>0</v>
      </c>
      <c r="I63" s="7">
        <v>0</v>
      </c>
      <c r="J63" s="7">
        <v>0</v>
      </c>
      <c r="K63" s="7">
        <v>0</v>
      </c>
      <c r="L63" s="7">
        <v>0</v>
      </c>
      <c r="M63" s="7">
        <v>0</v>
      </c>
      <c r="N63" s="7">
        <v>0</v>
      </c>
      <c r="O63" s="7">
        <v>0</v>
      </c>
      <c r="P63" s="7">
        <v>0</v>
      </c>
      <c r="Q63" s="7">
        <v>0</v>
      </c>
      <c r="R63" s="7">
        <v>0</v>
      </c>
      <c r="S63" s="7">
        <v>0</v>
      </c>
      <c r="T63" s="7">
        <v>0</v>
      </c>
      <c r="U63" s="7">
        <v>0</v>
      </c>
      <c r="V63" s="7">
        <v>0</v>
      </c>
      <c r="W63" s="7">
        <v>0</v>
      </c>
      <c r="X63" s="7">
        <v>0</v>
      </c>
      <c r="Y63" s="7">
        <v>0</v>
      </c>
      <c r="Z63" s="7">
        <v>0</v>
      </c>
      <c r="AA63" s="7">
        <v>0</v>
      </c>
      <c r="AB63" s="7">
        <v>0</v>
      </c>
      <c r="AC63" s="7">
        <v>0</v>
      </c>
      <c r="AD63" s="7">
        <v>0</v>
      </c>
      <c r="AE63" s="7">
        <v>0</v>
      </c>
      <c r="AF63" s="7">
        <v>0</v>
      </c>
      <c r="AG63" s="7">
        <v>0</v>
      </c>
      <c r="AH63" s="7">
        <v>0</v>
      </c>
      <c r="AI63" s="7">
        <v>0</v>
      </c>
      <c r="AJ63" s="7">
        <v>0</v>
      </c>
      <c r="AK63" s="7">
        <v>0</v>
      </c>
    </row>
    <row r="64" spans="1:37">
      <c r="B64" s="499" t="s">
        <v>18</v>
      </c>
      <c r="C64" s="7">
        <v>0</v>
      </c>
      <c r="D64" s="7">
        <v>0</v>
      </c>
      <c r="E64" s="7">
        <v>0</v>
      </c>
      <c r="F64" s="7">
        <v>0</v>
      </c>
      <c r="G64" s="7">
        <v>0</v>
      </c>
      <c r="H64" s="7">
        <v>0</v>
      </c>
      <c r="I64" s="7">
        <v>0</v>
      </c>
      <c r="J64" s="7">
        <v>0</v>
      </c>
      <c r="K64" s="7">
        <v>0</v>
      </c>
      <c r="L64" s="7">
        <v>0</v>
      </c>
      <c r="M64" s="7">
        <v>0</v>
      </c>
      <c r="N64" s="7">
        <v>0</v>
      </c>
      <c r="O64" s="7">
        <v>0</v>
      </c>
      <c r="P64" s="7">
        <v>0</v>
      </c>
      <c r="Q64" s="7">
        <v>0</v>
      </c>
      <c r="R64" s="7">
        <v>0</v>
      </c>
      <c r="S64" s="7">
        <v>0</v>
      </c>
      <c r="T64" s="7">
        <v>0</v>
      </c>
      <c r="U64" s="7">
        <v>0</v>
      </c>
      <c r="V64" s="7">
        <v>0</v>
      </c>
      <c r="W64" s="7">
        <v>0</v>
      </c>
      <c r="X64" s="7">
        <v>0</v>
      </c>
      <c r="Y64" s="7">
        <v>0</v>
      </c>
      <c r="Z64" s="7">
        <v>0</v>
      </c>
      <c r="AA64" s="7">
        <v>0</v>
      </c>
      <c r="AB64" s="7">
        <v>0</v>
      </c>
      <c r="AC64" s="7">
        <v>0</v>
      </c>
      <c r="AD64" s="7">
        <v>0</v>
      </c>
      <c r="AE64" s="7">
        <v>0</v>
      </c>
      <c r="AF64" s="7">
        <v>0</v>
      </c>
      <c r="AG64" s="7">
        <v>0</v>
      </c>
      <c r="AH64" s="7">
        <v>0</v>
      </c>
      <c r="AI64" s="7">
        <v>0</v>
      </c>
      <c r="AJ64" s="7">
        <v>0</v>
      </c>
      <c r="AK64" s="7">
        <v>0</v>
      </c>
    </row>
    <row r="65" spans="1:37">
      <c r="B65" s="499" t="s">
        <v>19</v>
      </c>
      <c r="C65" s="7">
        <v>0</v>
      </c>
      <c r="D65" s="7">
        <v>0</v>
      </c>
      <c r="E65" s="7">
        <v>0</v>
      </c>
      <c r="F65" s="7">
        <v>0</v>
      </c>
      <c r="G65" s="7">
        <v>0</v>
      </c>
      <c r="H65" s="7">
        <v>0</v>
      </c>
      <c r="I65" s="7">
        <v>0</v>
      </c>
      <c r="J65" s="7">
        <v>0</v>
      </c>
      <c r="K65" s="7">
        <v>0</v>
      </c>
      <c r="L65" s="7">
        <v>0</v>
      </c>
      <c r="M65" s="7">
        <v>0</v>
      </c>
      <c r="N65" s="7">
        <v>0</v>
      </c>
      <c r="O65" s="7">
        <v>0</v>
      </c>
      <c r="P65" s="7">
        <v>0</v>
      </c>
      <c r="Q65" s="7">
        <v>0</v>
      </c>
      <c r="R65" s="7">
        <v>0</v>
      </c>
      <c r="S65" s="7">
        <v>0</v>
      </c>
      <c r="T65" s="7">
        <v>0</v>
      </c>
      <c r="U65" s="7">
        <v>0</v>
      </c>
      <c r="V65" s="7">
        <v>0</v>
      </c>
      <c r="W65" s="7">
        <v>0</v>
      </c>
      <c r="X65" s="7">
        <v>0</v>
      </c>
      <c r="Y65" s="7">
        <v>0</v>
      </c>
      <c r="Z65" s="7">
        <v>0</v>
      </c>
      <c r="AA65" s="7">
        <v>0</v>
      </c>
      <c r="AB65" s="7">
        <v>0</v>
      </c>
      <c r="AC65" s="7">
        <v>0</v>
      </c>
      <c r="AD65" s="7">
        <v>0</v>
      </c>
      <c r="AE65" s="7">
        <v>0</v>
      </c>
      <c r="AF65" s="7">
        <v>0</v>
      </c>
      <c r="AG65" s="7">
        <v>0</v>
      </c>
      <c r="AH65" s="7">
        <v>0</v>
      </c>
      <c r="AI65" s="7">
        <v>0</v>
      </c>
      <c r="AJ65" s="7">
        <v>0</v>
      </c>
      <c r="AK65" s="7">
        <v>0</v>
      </c>
    </row>
    <row r="66" spans="1:37">
      <c r="B66" s="499" t="s">
        <v>20</v>
      </c>
      <c r="C66" s="7">
        <v>0</v>
      </c>
      <c r="D66" s="7">
        <v>0</v>
      </c>
      <c r="E66" s="7">
        <v>0</v>
      </c>
      <c r="F66" s="7">
        <v>0</v>
      </c>
      <c r="G66" s="7">
        <v>0</v>
      </c>
      <c r="H66" s="7">
        <v>0</v>
      </c>
      <c r="I66" s="7">
        <v>0</v>
      </c>
      <c r="J66" s="7">
        <v>0</v>
      </c>
      <c r="K66" s="7">
        <v>0</v>
      </c>
      <c r="L66" s="7">
        <v>0</v>
      </c>
      <c r="M66" s="7">
        <v>0</v>
      </c>
      <c r="N66" s="7">
        <v>0</v>
      </c>
      <c r="O66" s="7">
        <v>0</v>
      </c>
      <c r="P66" s="7">
        <v>0</v>
      </c>
      <c r="Q66" s="7">
        <v>0</v>
      </c>
      <c r="R66" s="7">
        <v>0</v>
      </c>
      <c r="S66" s="7">
        <v>0</v>
      </c>
      <c r="T66" s="7">
        <v>0</v>
      </c>
      <c r="U66" s="7">
        <v>0</v>
      </c>
      <c r="V66" s="7">
        <v>0</v>
      </c>
      <c r="W66" s="7">
        <v>0</v>
      </c>
      <c r="X66" s="7">
        <v>0</v>
      </c>
      <c r="Y66" s="7">
        <v>0</v>
      </c>
      <c r="Z66" s="7">
        <v>0</v>
      </c>
      <c r="AA66" s="7">
        <v>0</v>
      </c>
      <c r="AB66" s="7">
        <v>0</v>
      </c>
      <c r="AC66" s="7">
        <v>0</v>
      </c>
      <c r="AD66" s="7">
        <v>0</v>
      </c>
      <c r="AE66" s="7">
        <v>0</v>
      </c>
      <c r="AF66" s="7">
        <v>0</v>
      </c>
      <c r="AG66" s="7">
        <v>0</v>
      </c>
      <c r="AH66" s="7">
        <v>0</v>
      </c>
      <c r="AI66" s="7">
        <v>0</v>
      </c>
      <c r="AJ66" s="7">
        <v>0</v>
      </c>
      <c r="AK66" s="7">
        <v>0</v>
      </c>
    </row>
    <row r="67" spans="1:37">
      <c r="B67" s="499" t="s">
        <v>21</v>
      </c>
      <c r="C67" s="7">
        <v>0</v>
      </c>
      <c r="D67" s="7">
        <v>0</v>
      </c>
      <c r="E67" s="7">
        <v>0</v>
      </c>
      <c r="F67" s="7">
        <v>0</v>
      </c>
      <c r="G67" s="7">
        <v>0</v>
      </c>
      <c r="H67" s="7">
        <v>0</v>
      </c>
      <c r="I67" s="7">
        <v>0</v>
      </c>
      <c r="J67" s="7">
        <v>0</v>
      </c>
      <c r="K67" s="7">
        <v>0</v>
      </c>
      <c r="L67" s="7">
        <v>0</v>
      </c>
      <c r="M67" s="7">
        <v>0</v>
      </c>
      <c r="N67" s="7">
        <v>0</v>
      </c>
      <c r="O67" s="7">
        <v>0</v>
      </c>
      <c r="P67" s="7">
        <v>0</v>
      </c>
      <c r="Q67" s="7">
        <v>0</v>
      </c>
      <c r="R67" s="7">
        <v>0</v>
      </c>
      <c r="S67" s="7">
        <v>0</v>
      </c>
      <c r="T67" s="7">
        <v>0</v>
      </c>
      <c r="U67" s="7">
        <v>0</v>
      </c>
      <c r="V67" s="7">
        <v>0</v>
      </c>
      <c r="W67" s="7">
        <v>0</v>
      </c>
      <c r="X67" s="7">
        <v>0</v>
      </c>
      <c r="Y67" s="7">
        <v>0</v>
      </c>
      <c r="Z67" s="7">
        <v>0</v>
      </c>
      <c r="AA67" s="7">
        <v>0</v>
      </c>
      <c r="AB67" s="7">
        <v>0</v>
      </c>
      <c r="AC67" s="7">
        <v>0</v>
      </c>
      <c r="AD67" s="7">
        <v>0</v>
      </c>
      <c r="AE67" s="7">
        <v>0</v>
      </c>
      <c r="AF67" s="7">
        <v>0</v>
      </c>
      <c r="AG67" s="7">
        <v>0</v>
      </c>
      <c r="AH67" s="7">
        <v>0</v>
      </c>
      <c r="AI67" s="7">
        <v>0</v>
      </c>
      <c r="AJ67" s="7">
        <v>0</v>
      </c>
      <c r="AK67" s="7">
        <v>0</v>
      </c>
    </row>
    <row r="68" spans="1:37">
      <c r="B68" s="499" t="s">
        <v>22</v>
      </c>
      <c r="C68" s="7">
        <v>0</v>
      </c>
      <c r="D68" s="7">
        <v>0</v>
      </c>
      <c r="E68" s="7">
        <v>0</v>
      </c>
      <c r="F68" s="7">
        <v>0</v>
      </c>
      <c r="G68" s="7">
        <v>0</v>
      </c>
      <c r="H68" s="7">
        <v>0</v>
      </c>
      <c r="I68" s="7">
        <v>0</v>
      </c>
      <c r="J68" s="7">
        <v>0</v>
      </c>
      <c r="K68" s="7">
        <v>0</v>
      </c>
      <c r="L68" s="7">
        <v>0</v>
      </c>
      <c r="M68" s="7">
        <v>0</v>
      </c>
      <c r="N68" s="7">
        <v>0</v>
      </c>
      <c r="O68" s="7">
        <v>0</v>
      </c>
      <c r="P68" s="7">
        <v>0</v>
      </c>
      <c r="Q68" s="7">
        <v>0</v>
      </c>
      <c r="R68" s="7">
        <v>0</v>
      </c>
      <c r="S68" s="7">
        <v>0</v>
      </c>
      <c r="T68" s="7">
        <v>0</v>
      </c>
      <c r="U68" s="7">
        <v>0</v>
      </c>
      <c r="V68" s="7">
        <v>0</v>
      </c>
      <c r="W68" s="7">
        <v>0</v>
      </c>
      <c r="X68" s="7">
        <v>0</v>
      </c>
      <c r="Y68" s="7">
        <v>0</v>
      </c>
      <c r="Z68" s="7">
        <v>0</v>
      </c>
      <c r="AA68" s="7">
        <v>0</v>
      </c>
      <c r="AB68" s="7">
        <v>0</v>
      </c>
      <c r="AC68" s="7">
        <v>0</v>
      </c>
      <c r="AD68" s="7">
        <v>0</v>
      </c>
      <c r="AE68" s="7">
        <v>0</v>
      </c>
      <c r="AF68" s="7">
        <v>0</v>
      </c>
      <c r="AG68" s="7">
        <v>0</v>
      </c>
      <c r="AH68" s="7">
        <v>0</v>
      </c>
      <c r="AI68" s="7">
        <v>0</v>
      </c>
      <c r="AJ68" s="7">
        <v>0</v>
      </c>
      <c r="AK68" s="7">
        <v>0</v>
      </c>
    </row>
    <row r="69" spans="1:37">
      <c r="B69" s="499" t="s">
        <v>23</v>
      </c>
      <c r="C69" s="7">
        <v>0</v>
      </c>
      <c r="D69" s="7">
        <v>0</v>
      </c>
      <c r="E69" s="7">
        <v>0</v>
      </c>
      <c r="F69" s="7">
        <v>0</v>
      </c>
      <c r="G69" s="7">
        <v>0</v>
      </c>
      <c r="H69" s="7">
        <v>0</v>
      </c>
      <c r="I69" s="7">
        <v>0</v>
      </c>
      <c r="J69" s="7">
        <v>0</v>
      </c>
      <c r="K69" s="7">
        <v>0</v>
      </c>
      <c r="L69" s="7">
        <v>0</v>
      </c>
      <c r="M69" s="7">
        <v>0</v>
      </c>
      <c r="N69" s="7">
        <v>0</v>
      </c>
      <c r="O69" s="7">
        <v>0</v>
      </c>
      <c r="P69" s="7">
        <v>0</v>
      </c>
      <c r="Q69" s="7">
        <v>0</v>
      </c>
      <c r="R69" s="7">
        <v>0</v>
      </c>
      <c r="S69" s="7">
        <v>0</v>
      </c>
      <c r="T69" s="7">
        <v>0</v>
      </c>
      <c r="U69" s="7">
        <v>0</v>
      </c>
      <c r="V69" s="7">
        <v>0</v>
      </c>
      <c r="W69" s="7">
        <v>0</v>
      </c>
      <c r="X69" s="7">
        <v>0</v>
      </c>
      <c r="Y69" s="7">
        <v>0</v>
      </c>
      <c r="Z69" s="7">
        <v>0</v>
      </c>
      <c r="AA69" s="7">
        <v>0</v>
      </c>
      <c r="AB69" s="7">
        <v>0</v>
      </c>
      <c r="AC69" s="7">
        <v>0</v>
      </c>
      <c r="AD69" s="7">
        <v>0</v>
      </c>
      <c r="AE69" s="7">
        <v>0</v>
      </c>
      <c r="AF69" s="7">
        <v>0</v>
      </c>
      <c r="AG69" s="7">
        <v>0</v>
      </c>
      <c r="AH69" s="7">
        <v>0</v>
      </c>
      <c r="AI69" s="7">
        <v>0</v>
      </c>
      <c r="AJ69" s="7">
        <v>0</v>
      </c>
      <c r="AK69" s="7">
        <v>0</v>
      </c>
    </row>
    <row r="70" spans="1:37">
      <c r="B70" s="499" t="s">
        <v>24</v>
      </c>
      <c r="C70" s="7">
        <v>0</v>
      </c>
      <c r="D70" s="7">
        <v>0</v>
      </c>
      <c r="E70" s="7">
        <v>0</v>
      </c>
      <c r="F70" s="7">
        <v>0</v>
      </c>
      <c r="G70" s="7">
        <v>0</v>
      </c>
      <c r="H70" s="7">
        <v>0</v>
      </c>
      <c r="I70" s="7">
        <v>0</v>
      </c>
      <c r="J70" s="7">
        <v>0</v>
      </c>
      <c r="K70" s="7">
        <v>0</v>
      </c>
      <c r="L70" s="7">
        <v>0</v>
      </c>
      <c r="M70" s="7">
        <v>0</v>
      </c>
      <c r="N70" s="7">
        <v>0</v>
      </c>
      <c r="O70" s="7">
        <v>0</v>
      </c>
      <c r="P70" s="7">
        <v>0</v>
      </c>
      <c r="Q70" s="7">
        <v>0</v>
      </c>
      <c r="R70" s="7">
        <v>0</v>
      </c>
      <c r="S70" s="7">
        <v>0</v>
      </c>
      <c r="T70" s="7">
        <v>0</v>
      </c>
      <c r="U70" s="7">
        <v>0</v>
      </c>
      <c r="V70" s="7">
        <v>0</v>
      </c>
      <c r="W70" s="7">
        <v>0</v>
      </c>
      <c r="X70" s="7">
        <v>0</v>
      </c>
      <c r="Y70" s="7">
        <v>0</v>
      </c>
      <c r="Z70" s="7">
        <v>0</v>
      </c>
      <c r="AA70" s="7">
        <v>0</v>
      </c>
      <c r="AB70" s="7">
        <v>0</v>
      </c>
      <c r="AC70" s="7">
        <v>0</v>
      </c>
      <c r="AD70" s="7">
        <v>0</v>
      </c>
      <c r="AE70" s="7">
        <v>0</v>
      </c>
      <c r="AF70" s="7">
        <v>0</v>
      </c>
      <c r="AG70" s="7">
        <v>0</v>
      </c>
      <c r="AH70" s="7">
        <v>0</v>
      </c>
      <c r="AI70" s="7">
        <v>0</v>
      </c>
      <c r="AJ70" s="7">
        <v>0</v>
      </c>
      <c r="AK70" s="7">
        <v>0</v>
      </c>
    </row>
    <row r="71" spans="1:37">
      <c r="B71" s="499" t="s">
        <v>25</v>
      </c>
      <c r="C71" s="7">
        <v>0</v>
      </c>
      <c r="D71" s="7">
        <v>0</v>
      </c>
      <c r="E71" s="7">
        <v>0</v>
      </c>
      <c r="F71" s="7">
        <v>0</v>
      </c>
      <c r="G71" s="7">
        <v>0</v>
      </c>
      <c r="H71" s="7">
        <v>0</v>
      </c>
      <c r="I71" s="7">
        <v>0</v>
      </c>
      <c r="J71" s="7">
        <v>0</v>
      </c>
      <c r="K71" s="7">
        <v>0</v>
      </c>
      <c r="L71" s="7">
        <v>0</v>
      </c>
      <c r="M71" s="7">
        <v>0</v>
      </c>
      <c r="N71" s="7">
        <v>0</v>
      </c>
      <c r="O71" s="7">
        <v>0</v>
      </c>
      <c r="P71" s="7">
        <v>0</v>
      </c>
      <c r="Q71" s="7">
        <v>0</v>
      </c>
      <c r="R71" s="7">
        <v>0</v>
      </c>
      <c r="S71" s="7">
        <v>0</v>
      </c>
      <c r="T71" s="7">
        <v>0</v>
      </c>
      <c r="U71" s="7">
        <v>0</v>
      </c>
      <c r="V71" s="7">
        <v>0</v>
      </c>
      <c r="W71" s="7">
        <v>0</v>
      </c>
      <c r="X71" s="7">
        <v>0</v>
      </c>
      <c r="Y71" s="7">
        <v>0</v>
      </c>
      <c r="Z71" s="7">
        <v>0</v>
      </c>
      <c r="AA71" s="7">
        <v>0</v>
      </c>
      <c r="AB71" s="7">
        <v>0</v>
      </c>
      <c r="AC71" s="7">
        <v>0</v>
      </c>
      <c r="AD71" s="7">
        <v>0</v>
      </c>
      <c r="AE71" s="7">
        <v>0</v>
      </c>
      <c r="AF71" s="7">
        <v>0</v>
      </c>
      <c r="AG71" s="7">
        <v>0</v>
      </c>
      <c r="AH71" s="7">
        <v>0</v>
      </c>
      <c r="AI71" s="7">
        <v>0</v>
      </c>
      <c r="AJ71" s="7">
        <v>0</v>
      </c>
      <c r="AK71" s="7">
        <v>0</v>
      </c>
    </row>
    <row r="72" spans="1:37">
      <c r="B72" s="499" t="s">
        <v>26</v>
      </c>
      <c r="C72" s="7">
        <v>0</v>
      </c>
      <c r="D72" s="7">
        <v>0</v>
      </c>
      <c r="E72" s="7">
        <v>0</v>
      </c>
      <c r="F72" s="7">
        <v>0</v>
      </c>
      <c r="G72" s="7">
        <v>0</v>
      </c>
      <c r="H72" s="7">
        <v>0</v>
      </c>
      <c r="I72" s="7">
        <v>0</v>
      </c>
      <c r="J72" s="7">
        <v>0</v>
      </c>
      <c r="K72" s="7">
        <v>0</v>
      </c>
      <c r="L72" s="7">
        <v>0</v>
      </c>
      <c r="M72" s="7">
        <v>0</v>
      </c>
      <c r="N72" s="7">
        <v>0</v>
      </c>
      <c r="O72" s="7">
        <v>0</v>
      </c>
      <c r="P72" s="7">
        <v>0</v>
      </c>
      <c r="Q72" s="7">
        <v>0</v>
      </c>
      <c r="R72" s="7">
        <v>0</v>
      </c>
      <c r="S72" s="7">
        <v>0</v>
      </c>
      <c r="T72" s="7">
        <v>0</v>
      </c>
      <c r="U72" s="7">
        <v>0</v>
      </c>
      <c r="V72" s="7">
        <v>0</v>
      </c>
      <c r="W72" s="7">
        <v>0</v>
      </c>
      <c r="X72" s="7">
        <v>0</v>
      </c>
      <c r="Y72" s="7">
        <v>0</v>
      </c>
      <c r="Z72" s="7">
        <v>0</v>
      </c>
      <c r="AA72" s="7">
        <v>0</v>
      </c>
      <c r="AB72" s="7">
        <v>0</v>
      </c>
      <c r="AC72" s="7">
        <v>0</v>
      </c>
      <c r="AD72" s="7">
        <v>0</v>
      </c>
      <c r="AE72" s="7">
        <v>0</v>
      </c>
      <c r="AF72" s="7">
        <v>0</v>
      </c>
      <c r="AG72" s="7">
        <v>0</v>
      </c>
      <c r="AH72" s="7">
        <v>0</v>
      </c>
      <c r="AI72" s="7">
        <v>0</v>
      </c>
      <c r="AJ72" s="7">
        <v>0</v>
      </c>
      <c r="AK72" s="7">
        <v>0</v>
      </c>
    </row>
    <row r="73" spans="1:37">
      <c r="B73" s="499" t="s">
        <v>27</v>
      </c>
      <c r="C73" s="7">
        <v>0</v>
      </c>
      <c r="D73" s="7">
        <v>0</v>
      </c>
      <c r="E73" s="7">
        <v>0</v>
      </c>
      <c r="F73" s="7">
        <v>0</v>
      </c>
      <c r="G73" s="7">
        <v>0</v>
      </c>
      <c r="H73" s="7">
        <v>0</v>
      </c>
      <c r="I73" s="7">
        <v>0</v>
      </c>
      <c r="J73" s="7">
        <v>0</v>
      </c>
      <c r="K73" s="7">
        <v>0</v>
      </c>
      <c r="L73" s="7">
        <v>0</v>
      </c>
      <c r="M73" s="7">
        <v>0</v>
      </c>
      <c r="N73" s="7">
        <v>0</v>
      </c>
      <c r="O73" s="7">
        <v>0</v>
      </c>
      <c r="P73" s="7">
        <v>0</v>
      </c>
      <c r="Q73" s="7">
        <v>0</v>
      </c>
      <c r="R73" s="7">
        <v>0</v>
      </c>
      <c r="S73" s="7">
        <v>0</v>
      </c>
      <c r="T73" s="7">
        <v>0</v>
      </c>
      <c r="U73" s="7">
        <v>0</v>
      </c>
      <c r="V73" s="7">
        <v>0</v>
      </c>
      <c r="W73" s="7">
        <v>0</v>
      </c>
      <c r="X73" s="7">
        <v>0</v>
      </c>
      <c r="Y73" s="7">
        <v>0</v>
      </c>
      <c r="Z73" s="7">
        <v>0</v>
      </c>
      <c r="AA73" s="7">
        <v>0</v>
      </c>
      <c r="AB73" s="7">
        <v>0</v>
      </c>
      <c r="AC73" s="7">
        <v>0</v>
      </c>
      <c r="AD73" s="7">
        <v>0</v>
      </c>
      <c r="AE73" s="7">
        <v>0</v>
      </c>
      <c r="AF73" s="7">
        <v>0</v>
      </c>
      <c r="AG73" s="7">
        <v>0</v>
      </c>
      <c r="AH73" s="7">
        <v>0</v>
      </c>
      <c r="AI73" s="7">
        <v>0</v>
      </c>
      <c r="AJ73" s="7">
        <v>0</v>
      </c>
      <c r="AK73" s="7">
        <v>0</v>
      </c>
    </row>
    <row r="74" spans="1:37">
      <c r="B74" s="499" t="s">
        <v>28</v>
      </c>
      <c r="C74" s="7">
        <v>0</v>
      </c>
      <c r="D74" s="7">
        <v>0</v>
      </c>
      <c r="E74" s="7">
        <v>0</v>
      </c>
      <c r="F74" s="7">
        <v>0</v>
      </c>
      <c r="G74" s="7">
        <v>0</v>
      </c>
      <c r="H74" s="7">
        <v>0</v>
      </c>
      <c r="I74" s="7">
        <v>0</v>
      </c>
      <c r="J74" s="7">
        <v>0</v>
      </c>
      <c r="K74" s="7">
        <v>0</v>
      </c>
      <c r="L74" s="7">
        <v>0</v>
      </c>
      <c r="M74" s="7">
        <v>0</v>
      </c>
      <c r="N74" s="7">
        <v>0</v>
      </c>
      <c r="O74" s="7">
        <v>0</v>
      </c>
      <c r="P74" s="7">
        <v>0</v>
      </c>
      <c r="Q74" s="7">
        <v>0</v>
      </c>
      <c r="R74" s="7">
        <v>0</v>
      </c>
      <c r="S74" s="7">
        <v>0</v>
      </c>
      <c r="T74" s="7">
        <v>0</v>
      </c>
      <c r="U74" s="7">
        <v>0</v>
      </c>
      <c r="V74" s="7">
        <v>0</v>
      </c>
      <c r="W74" s="7">
        <v>0</v>
      </c>
      <c r="X74" s="7">
        <v>0</v>
      </c>
      <c r="Y74" s="7">
        <v>0</v>
      </c>
      <c r="Z74" s="7">
        <v>0</v>
      </c>
      <c r="AA74" s="7">
        <v>0</v>
      </c>
      <c r="AB74" s="7">
        <v>0</v>
      </c>
      <c r="AC74" s="7">
        <v>0</v>
      </c>
      <c r="AD74" s="7">
        <v>0</v>
      </c>
      <c r="AE74" s="7">
        <v>0</v>
      </c>
      <c r="AF74" s="7">
        <v>0</v>
      </c>
      <c r="AG74" s="7">
        <v>0</v>
      </c>
      <c r="AH74" s="7">
        <v>0</v>
      </c>
      <c r="AI74" s="7">
        <v>0</v>
      </c>
      <c r="AJ74" s="7">
        <v>0</v>
      </c>
      <c r="AK74" s="7">
        <v>0</v>
      </c>
    </row>
    <row r="78" spans="1:37">
      <c r="A78" s="1" t="s">
        <v>73</v>
      </c>
      <c r="I78" s="499" t="s">
        <v>74</v>
      </c>
    </row>
    <row r="79" spans="1:37">
      <c r="B79" s="6" t="s">
        <v>75</v>
      </c>
      <c r="C79" s="6" t="s">
        <v>75</v>
      </c>
      <c r="D79" s="6" t="s">
        <v>76</v>
      </c>
      <c r="E79" s="6" t="s">
        <v>77</v>
      </c>
      <c r="F79" s="6" t="s">
        <v>78</v>
      </c>
      <c r="G79" s="6" t="s">
        <v>79</v>
      </c>
      <c r="H79" s="6" t="s">
        <v>80</v>
      </c>
      <c r="I79" s="9" t="s">
        <v>81</v>
      </c>
      <c r="J79" s="9" t="s">
        <v>33</v>
      </c>
    </row>
    <row r="80" spans="1:37">
      <c r="B80" s="499" t="s">
        <v>82</v>
      </c>
      <c r="C80" s="499" t="s">
        <v>83</v>
      </c>
      <c r="D80" s="531">
        <v>1</v>
      </c>
      <c r="E80" s="530">
        <v>999999</v>
      </c>
      <c r="F80" s="530">
        <v>999999</v>
      </c>
      <c r="G80" s="530">
        <v>999999</v>
      </c>
      <c r="H80" s="530">
        <v>999999</v>
      </c>
      <c r="I80" s="121">
        <v>0</v>
      </c>
      <c r="J80" s="121">
        <v>0</v>
      </c>
    </row>
    <row r="81" spans="2:11">
      <c r="B81" s="499" t="s">
        <v>84</v>
      </c>
      <c r="C81" s="499" t="s">
        <v>85</v>
      </c>
      <c r="D81" s="532">
        <v>1</v>
      </c>
      <c r="E81" s="530">
        <v>999999</v>
      </c>
      <c r="F81" s="530">
        <v>999999</v>
      </c>
      <c r="G81" s="530">
        <v>999999</v>
      </c>
      <c r="H81" s="530">
        <v>999999</v>
      </c>
      <c r="I81" s="121">
        <v>0</v>
      </c>
      <c r="J81" s="121">
        <v>0</v>
      </c>
    </row>
    <row r="82" spans="2:11">
      <c r="B82" s="499" t="s">
        <v>86</v>
      </c>
      <c r="C82" s="499" t="s">
        <v>87</v>
      </c>
      <c r="D82" s="396">
        <f>'e (sf)'!C13</f>
        <v>0.13419264841314441</v>
      </c>
      <c r="E82" s="530">
        <v>999999</v>
      </c>
      <c r="F82" s="530">
        <v>35</v>
      </c>
      <c r="G82" s="530">
        <v>999999</v>
      </c>
      <c r="H82" s="530">
        <v>999999</v>
      </c>
      <c r="I82" s="121">
        <v>0</v>
      </c>
      <c r="J82" s="121">
        <v>0</v>
      </c>
    </row>
    <row r="83" spans="2:11">
      <c r="B83" s="499" t="s">
        <v>88</v>
      </c>
      <c r="C83" s="499" t="s">
        <v>89</v>
      </c>
      <c r="D83" s="533">
        <v>-99</v>
      </c>
      <c r="E83" s="530">
        <v>-99</v>
      </c>
      <c r="F83" s="530">
        <v>-99</v>
      </c>
      <c r="G83" s="530">
        <v>-99</v>
      </c>
      <c r="H83" s="530">
        <v>-99</v>
      </c>
      <c r="I83" s="530">
        <v>-99</v>
      </c>
      <c r="J83" s="530">
        <v>-99</v>
      </c>
      <c r="K83" s="499" t="s">
        <v>90</v>
      </c>
    </row>
    <row r="84" spans="2:11">
      <c r="B84" s="499" t="s">
        <v>91</v>
      </c>
      <c r="C84" s="499" t="s">
        <v>92</v>
      </c>
      <c r="D84" s="396">
        <f>S.smolt!B18</f>
        <v>0.72160909090909098</v>
      </c>
      <c r="E84" s="530">
        <v>999999</v>
      </c>
      <c r="F84" s="530">
        <v>5</v>
      </c>
      <c r="G84" s="530">
        <v>999999</v>
      </c>
      <c r="H84" s="530">
        <v>999999</v>
      </c>
      <c r="I84" s="121">
        <v>0</v>
      </c>
      <c r="J84" s="121">
        <v>0</v>
      </c>
      <c r="K84" s="499" t="s">
        <v>93</v>
      </c>
    </row>
    <row r="85" spans="2:11">
      <c r="B85" s="499" t="s">
        <v>94</v>
      </c>
      <c r="C85" s="499" t="s">
        <v>95</v>
      </c>
      <c r="D85" s="396">
        <v>1</v>
      </c>
      <c r="E85" s="530">
        <v>999999</v>
      </c>
      <c r="F85" s="530">
        <v>999999</v>
      </c>
      <c r="G85" s="530">
        <v>999999</v>
      </c>
      <c r="H85" s="530">
        <v>999999</v>
      </c>
      <c r="I85" s="121">
        <v>0</v>
      </c>
      <c r="J85" s="121">
        <v>0</v>
      </c>
    </row>
    <row r="86" spans="2:11">
      <c r="B86" s="499" t="s">
        <v>96</v>
      </c>
      <c r="C86" s="499" t="s">
        <v>97</v>
      </c>
      <c r="D86" s="396">
        <f>m!D92</f>
        <v>8.0873749999999994E-2</v>
      </c>
      <c r="E86" s="530">
        <v>999999</v>
      </c>
      <c r="F86" s="530">
        <v>80</v>
      </c>
      <c r="G86" s="530">
        <v>999999</v>
      </c>
      <c r="H86" s="530">
        <v>999999</v>
      </c>
      <c r="I86" s="121">
        <v>0</v>
      </c>
      <c r="J86" s="121">
        <v>0</v>
      </c>
    </row>
    <row r="87" spans="2:11">
      <c r="B87" s="499" t="s">
        <v>98</v>
      </c>
      <c r="C87" s="499" t="s">
        <v>99</v>
      </c>
      <c r="D87" s="396">
        <f>m!D104</f>
        <v>0.47448750000000001</v>
      </c>
      <c r="E87" s="530">
        <v>999999</v>
      </c>
      <c r="F87" s="530">
        <v>80</v>
      </c>
      <c r="G87" s="530">
        <v>999999</v>
      </c>
      <c r="H87" s="530">
        <v>999999</v>
      </c>
      <c r="I87" s="121">
        <v>0</v>
      </c>
      <c r="J87" s="121">
        <v>0</v>
      </c>
    </row>
    <row r="88" spans="2:11">
      <c r="B88" s="499" t="s">
        <v>100</v>
      </c>
      <c r="C88" s="499" t="s">
        <v>101</v>
      </c>
      <c r="D88" s="396">
        <f>m!D107</f>
        <v>0.65820000000000001</v>
      </c>
      <c r="E88" s="530">
        <v>999999</v>
      </c>
      <c r="F88" s="530">
        <v>80</v>
      </c>
      <c r="G88" s="530">
        <v>999999</v>
      </c>
      <c r="H88" s="530">
        <v>999999</v>
      </c>
      <c r="I88" s="121">
        <v>0</v>
      </c>
      <c r="J88" s="121">
        <v>0</v>
      </c>
    </row>
    <row r="89" spans="2:11">
      <c r="B89" s="499" t="s">
        <v>102</v>
      </c>
      <c r="C89" s="499" t="s">
        <v>103</v>
      </c>
      <c r="D89" s="534">
        <f>m!D107</f>
        <v>0.65820000000000001</v>
      </c>
      <c r="E89" s="530">
        <v>999999</v>
      </c>
      <c r="F89" s="530">
        <v>80</v>
      </c>
      <c r="G89" s="530">
        <v>999999</v>
      </c>
      <c r="H89" s="530">
        <v>999999</v>
      </c>
      <c r="I89" s="121">
        <v>0</v>
      </c>
      <c r="J89" s="121">
        <v>0</v>
      </c>
    </row>
    <row r="90" spans="2:11">
      <c r="B90" s="499" t="s">
        <v>104</v>
      </c>
      <c r="C90" s="499" t="s">
        <v>105</v>
      </c>
      <c r="D90" s="534">
        <f>m!D107</f>
        <v>0.65820000000000001</v>
      </c>
      <c r="E90" s="530">
        <v>999999</v>
      </c>
      <c r="F90" s="530">
        <v>80</v>
      </c>
      <c r="G90" s="530">
        <v>999999</v>
      </c>
      <c r="H90" s="530">
        <v>999999</v>
      </c>
      <c r="I90" s="121">
        <v>0</v>
      </c>
      <c r="J90" s="121">
        <v>0</v>
      </c>
    </row>
    <row r="91" spans="2:11">
      <c r="B91" s="499" t="s">
        <v>106</v>
      </c>
      <c r="C91" s="499" t="s">
        <v>107</v>
      </c>
      <c r="D91" s="534">
        <f>m!D107</f>
        <v>0.65820000000000001</v>
      </c>
      <c r="E91" s="530">
        <v>999999</v>
      </c>
      <c r="F91" s="530">
        <v>80</v>
      </c>
      <c r="G91" s="530">
        <v>999999</v>
      </c>
      <c r="H91" s="530">
        <v>999999</v>
      </c>
      <c r="I91" s="121">
        <v>0</v>
      </c>
      <c r="J91" s="121">
        <v>0</v>
      </c>
    </row>
    <row r="92" spans="2:11">
      <c r="B92" s="499" t="s">
        <v>108</v>
      </c>
      <c r="C92" s="499" t="s">
        <v>109</v>
      </c>
      <c r="D92" s="534">
        <f>m!D107</f>
        <v>0.65820000000000001</v>
      </c>
      <c r="E92" s="530">
        <v>999999</v>
      </c>
      <c r="F92" s="530">
        <v>80</v>
      </c>
      <c r="G92" s="530">
        <v>999999</v>
      </c>
      <c r="H92" s="530">
        <v>999999</v>
      </c>
      <c r="I92" s="121">
        <v>0</v>
      </c>
      <c r="J92" s="121">
        <v>0</v>
      </c>
    </row>
    <row r="93" spans="2:11">
      <c r="B93" s="499" t="s">
        <v>110</v>
      </c>
      <c r="C93" s="499" t="s">
        <v>111</v>
      </c>
      <c r="D93" s="535">
        <v>0</v>
      </c>
      <c r="E93" s="121">
        <v>999999</v>
      </c>
      <c r="F93" s="121">
        <v>999999</v>
      </c>
      <c r="G93" s="121">
        <v>999999</v>
      </c>
      <c r="H93" s="121">
        <v>999999</v>
      </c>
      <c r="I93" s="121">
        <v>0</v>
      </c>
      <c r="J93" s="121">
        <v>0</v>
      </c>
    </row>
    <row r="94" spans="2:11">
      <c r="B94" s="499" t="s">
        <v>112</v>
      </c>
      <c r="C94" s="499" t="s">
        <v>113</v>
      </c>
      <c r="D94" s="535">
        <v>0</v>
      </c>
      <c r="E94" s="121">
        <v>999999</v>
      </c>
      <c r="F94" s="121">
        <v>999999</v>
      </c>
      <c r="G94" s="121">
        <v>999999</v>
      </c>
      <c r="H94" s="121">
        <v>999999</v>
      </c>
      <c r="I94" s="121">
        <v>0</v>
      </c>
      <c r="J94" s="121">
        <v>0</v>
      </c>
    </row>
    <row r="95" spans="2:11">
      <c r="B95" s="499" t="s">
        <v>114</v>
      </c>
      <c r="C95" s="499" t="s">
        <v>115</v>
      </c>
      <c r="D95" s="535">
        <v>0</v>
      </c>
      <c r="E95" s="121">
        <v>999999</v>
      </c>
      <c r="F95" s="121">
        <v>999999</v>
      </c>
      <c r="G95" s="121">
        <v>999999</v>
      </c>
      <c r="H95" s="121">
        <v>999999</v>
      </c>
      <c r="I95" s="121">
        <v>0</v>
      </c>
      <c r="J95" s="121">
        <v>0</v>
      </c>
    </row>
    <row r="98" spans="1:56">
      <c r="A98" s="1" t="s">
        <v>116</v>
      </c>
      <c r="H98" s="45"/>
      <c r="AA98" s="499" t="s">
        <v>117</v>
      </c>
    </row>
    <row r="99" spans="1:56">
      <c r="C99" s="499" t="s">
        <v>118</v>
      </c>
      <c r="H99" s="499" t="s">
        <v>119</v>
      </c>
      <c r="V99" s="499" t="s">
        <v>120</v>
      </c>
      <c r="AA99" s="4" t="s">
        <v>121</v>
      </c>
      <c r="AB99" s="4"/>
      <c r="AC99" s="4" t="s">
        <v>122</v>
      </c>
      <c r="AD99" s="4"/>
      <c r="AE99" s="4"/>
      <c r="AF99" s="4"/>
      <c r="AG99" s="4"/>
      <c r="AH99" s="4"/>
      <c r="AI99" s="4"/>
      <c r="AJ99" s="4"/>
      <c r="AK99" s="4" t="s">
        <v>123</v>
      </c>
      <c r="AL99" s="4"/>
    </row>
    <row r="100" spans="1:56">
      <c r="B100" s="6" t="s">
        <v>124</v>
      </c>
      <c r="C100" s="6" t="s">
        <v>125</v>
      </c>
      <c r="D100" s="6" t="s">
        <v>126</v>
      </c>
      <c r="E100" s="6" t="s">
        <v>127</v>
      </c>
      <c r="F100" s="6" t="s">
        <v>128</v>
      </c>
      <c r="G100" s="6" t="s">
        <v>49</v>
      </c>
      <c r="H100" s="6" t="s">
        <v>129</v>
      </c>
      <c r="I100" s="6" t="s">
        <v>130</v>
      </c>
      <c r="J100" s="6" t="s">
        <v>131</v>
      </c>
      <c r="K100" s="6" t="s">
        <v>132</v>
      </c>
      <c r="L100" s="6" t="s">
        <v>133</v>
      </c>
      <c r="M100" s="6" t="s">
        <v>134</v>
      </c>
      <c r="N100" s="6" t="s">
        <v>135</v>
      </c>
      <c r="O100" s="6" t="s">
        <v>136</v>
      </c>
      <c r="P100" s="6" t="s">
        <v>137</v>
      </c>
      <c r="Q100" s="6" t="s">
        <v>138</v>
      </c>
      <c r="R100" s="6" t="s">
        <v>139</v>
      </c>
      <c r="S100" s="6" t="s">
        <v>140</v>
      </c>
      <c r="T100" s="6" t="s">
        <v>141</v>
      </c>
      <c r="U100" s="6" t="s">
        <v>142</v>
      </c>
      <c r="V100" s="6" t="s">
        <v>143</v>
      </c>
      <c r="W100" s="6" t="s">
        <v>144</v>
      </c>
      <c r="X100" s="6" t="s">
        <v>145</v>
      </c>
      <c r="Y100" s="6" t="s">
        <v>146</v>
      </c>
      <c r="Z100" s="6" t="s">
        <v>147</v>
      </c>
      <c r="AA100" s="9" t="s">
        <v>148</v>
      </c>
      <c r="AB100" s="9" t="s">
        <v>149</v>
      </c>
      <c r="AC100" s="9" t="s">
        <v>150</v>
      </c>
      <c r="AD100" s="9" t="s">
        <v>130</v>
      </c>
      <c r="AE100" s="9" t="s">
        <v>131</v>
      </c>
      <c r="AF100" s="9" t="s">
        <v>136</v>
      </c>
      <c r="AG100" s="9" t="s">
        <v>137</v>
      </c>
      <c r="AH100" s="9" t="s">
        <v>138</v>
      </c>
      <c r="AI100" s="9" t="s">
        <v>151</v>
      </c>
      <c r="AJ100" s="9" t="s">
        <v>152</v>
      </c>
      <c r="AK100" s="9" t="s">
        <v>153</v>
      </c>
      <c r="AL100" s="9" t="s">
        <v>154</v>
      </c>
      <c r="AM100" s="6" t="s">
        <v>155</v>
      </c>
      <c r="AP100" s="6" t="s">
        <v>49</v>
      </c>
    </row>
    <row r="101" spans="1:56">
      <c r="B101" s="499">
        <v>0</v>
      </c>
      <c r="C101" s="396">
        <f>'e (sf)'!U11</f>
        <v>0.48784836172599255</v>
      </c>
      <c r="D101" s="530">
        <v>999999</v>
      </c>
      <c r="E101" s="530">
        <v>25</v>
      </c>
      <c r="F101" s="530">
        <v>999999</v>
      </c>
      <c r="G101" s="530">
        <v>999999</v>
      </c>
      <c r="H101" s="592">
        <v>2.3457054437165954E-2</v>
      </c>
      <c r="I101" s="536">
        <f>(1-H101)*f!C27</f>
        <v>0</v>
      </c>
      <c r="J101" s="536">
        <f>1-I101-H101</f>
        <v>0.97654294556283405</v>
      </c>
      <c r="K101" s="530">
        <v>999999</v>
      </c>
      <c r="L101" s="530">
        <v>40</v>
      </c>
      <c r="M101" s="530">
        <v>999999</v>
      </c>
      <c r="N101" s="530">
        <v>999999</v>
      </c>
      <c r="O101" s="592">
        <v>2.3457054437165954E-2</v>
      </c>
      <c r="P101" s="536">
        <f>(1-O101)*f!B27</f>
        <v>0</v>
      </c>
      <c r="Q101" s="536">
        <f>1-P101-O101</f>
        <v>0.97654294556283405</v>
      </c>
      <c r="R101" s="530">
        <v>999999</v>
      </c>
      <c r="S101" s="530">
        <v>40</v>
      </c>
      <c r="T101" s="530">
        <v>999999</v>
      </c>
      <c r="U101" s="530">
        <v>999999</v>
      </c>
      <c r="V101" s="121">
        <v>1</v>
      </c>
      <c r="W101" s="121">
        <v>0</v>
      </c>
      <c r="X101" s="121">
        <v>0</v>
      </c>
      <c r="Y101" s="121">
        <v>0</v>
      </c>
      <c r="Z101" s="121">
        <v>0</v>
      </c>
      <c r="AA101" s="121">
        <v>0</v>
      </c>
      <c r="AB101" s="121">
        <v>0</v>
      </c>
      <c r="AC101" s="121">
        <v>0</v>
      </c>
      <c r="AD101" s="121">
        <v>0</v>
      </c>
      <c r="AE101" s="121">
        <v>0</v>
      </c>
      <c r="AF101" s="121">
        <v>0</v>
      </c>
      <c r="AG101" s="121">
        <v>0</v>
      </c>
      <c r="AH101" s="121">
        <v>0</v>
      </c>
      <c r="AI101" s="121">
        <v>0</v>
      </c>
      <c r="AJ101" s="121">
        <v>0</v>
      </c>
      <c r="AK101" s="121">
        <v>0</v>
      </c>
      <c r="AL101" s="121">
        <v>0</v>
      </c>
      <c r="AM101" s="491">
        <f>f!D17</f>
        <v>11.096877459504327</v>
      </c>
      <c r="AP101" s="435">
        <v>2</v>
      </c>
    </row>
    <row r="102" spans="1:56">
      <c r="B102" s="499">
        <v>1</v>
      </c>
      <c r="C102" s="396">
        <f>'e (sf)'!V11</f>
        <v>0.3434652836786164</v>
      </c>
      <c r="D102" s="530">
        <v>999999</v>
      </c>
      <c r="E102" s="530">
        <v>25</v>
      </c>
      <c r="F102" s="530">
        <v>999999</v>
      </c>
      <c r="G102" s="530">
        <v>999999</v>
      </c>
      <c r="H102" s="592">
        <v>0.5731918720242003</v>
      </c>
      <c r="I102" s="536">
        <f>(1-H102)*f!C28</f>
        <v>0</v>
      </c>
      <c r="J102" s="536">
        <f t="shared" ref="J102:J103" si="0">1-I102-H102</f>
        <v>0.4268081279757997</v>
      </c>
      <c r="K102" s="530">
        <v>999999</v>
      </c>
      <c r="L102" s="530">
        <v>20</v>
      </c>
      <c r="M102" s="530">
        <v>999999</v>
      </c>
      <c r="N102" s="530">
        <v>999999</v>
      </c>
      <c r="O102" s="592">
        <v>0.5731918720242003</v>
      </c>
      <c r="P102" s="536">
        <f>(1-O102)*f!B28</f>
        <v>0</v>
      </c>
      <c r="Q102" s="536">
        <f t="shared" ref="Q102:Q103" si="1">1-P102-O102</f>
        <v>0.4268081279757997</v>
      </c>
      <c r="R102" s="530">
        <v>999999</v>
      </c>
      <c r="S102" s="530">
        <v>20</v>
      </c>
      <c r="T102" s="530">
        <v>999999</v>
      </c>
      <c r="U102" s="530">
        <v>999999</v>
      </c>
      <c r="V102" s="121">
        <v>1</v>
      </c>
      <c r="W102" s="121">
        <v>0</v>
      </c>
      <c r="X102" s="121">
        <v>0</v>
      </c>
      <c r="Y102" s="121">
        <v>0</v>
      </c>
      <c r="Z102" s="121">
        <v>0</v>
      </c>
      <c r="AA102" s="121">
        <v>0</v>
      </c>
      <c r="AB102" s="121">
        <v>0</v>
      </c>
      <c r="AC102" s="121">
        <v>0</v>
      </c>
      <c r="AD102" s="121">
        <v>0</v>
      </c>
      <c r="AE102" s="121">
        <v>0</v>
      </c>
      <c r="AF102" s="121">
        <v>0</v>
      </c>
      <c r="AG102" s="121">
        <v>0</v>
      </c>
      <c r="AH102" s="121">
        <v>0</v>
      </c>
      <c r="AI102" s="121">
        <v>0</v>
      </c>
      <c r="AJ102" s="121">
        <v>0</v>
      </c>
      <c r="AK102" s="121">
        <v>0</v>
      </c>
      <c r="AL102" s="121">
        <v>0</v>
      </c>
      <c r="AM102" s="537">
        <f>f!D18</f>
        <v>38.06904278109397</v>
      </c>
      <c r="AP102" s="435">
        <v>2</v>
      </c>
    </row>
    <row r="103" spans="1:56">
      <c r="B103" s="499">
        <v>2</v>
      </c>
      <c r="C103" s="396">
        <f>'e (sf)'!W11</f>
        <v>0.35455328883972964</v>
      </c>
      <c r="D103" s="530">
        <v>999999</v>
      </c>
      <c r="E103" s="530">
        <v>25</v>
      </c>
      <c r="F103" s="530">
        <v>999999</v>
      </c>
      <c r="G103" s="530">
        <v>999999</v>
      </c>
      <c r="H103" s="590">
        <v>1</v>
      </c>
      <c r="I103" s="536">
        <f>(1-H103)*f!C29</f>
        <v>0</v>
      </c>
      <c r="J103" s="536">
        <f t="shared" si="0"/>
        <v>0</v>
      </c>
      <c r="K103" s="530">
        <v>999999</v>
      </c>
      <c r="L103" s="530">
        <v>40</v>
      </c>
      <c r="M103" s="530">
        <v>999999</v>
      </c>
      <c r="N103" s="530">
        <v>999999</v>
      </c>
      <c r="O103" s="591">
        <v>1</v>
      </c>
      <c r="P103" s="536">
        <f>(1-O103)*f!B29</f>
        <v>0</v>
      </c>
      <c r="Q103" s="536">
        <f t="shared" si="1"/>
        <v>0</v>
      </c>
      <c r="R103" s="530">
        <v>999999</v>
      </c>
      <c r="S103" s="530">
        <v>40</v>
      </c>
      <c r="T103" s="530">
        <v>999999</v>
      </c>
      <c r="U103" s="530">
        <v>999999</v>
      </c>
      <c r="V103" s="121">
        <v>1</v>
      </c>
      <c r="W103" s="121">
        <v>0</v>
      </c>
      <c r="X103" s="121">
        <v>0</v>
      </c>
      <c r="Y103" s="121">
        <v>0</v>
      </c>
      <c r="Z103" s="121">
        <v>0</v>
      </c>
      <c r="AA103" s="121">
        <v>0</v>
      </c>
      <c r="AB103" s="121">
        <v>0</v>
      </c>
      <c r="AC103" s="121">
        <v>0</v>
      </c>
      <c r="AD103" s="121">
        <v>0</v>
      </c>
      <c r="AE103" s="121">
        <v>0</v>
      </c>
      <c r="AF103" s="121">
        <v>0</v>
      </c>
      <c r="AG103" s="121">
        <v>0</v>
      </c>
      <c r="AH103" s="121">
        <v>0</v>
      </c>
      <c r="AI103" s="121">
        <v>0</v>
      </c>
      <c r="AJ103" s="121">
        <v>0</v>
      </c>
      <c r="AK103" s="121">
        <v>0</v>
      </c>
      <c r="AL103" s="121">
        <v>0</v>
      </c>
      <c r="AM103" s="537">
        <f>f!D19</f>
        <v>74.701108144460321</v>
      </c>
      <c r="AP103" s="435">
        <v>2</v>
      </c>
    </row>
    <row r="104" spans="1:56">
      <c r="B104" s="499">
        <v>3</v>
      </c>
      <c r="C104" s="534">
        <f>'e (sf)'!W11</f>
        <v>0.35455328883972964</v>
      </c>
      <c r="D104" s="530">
        <v>999999</v>
      </c>
      <c r="E104" s="530">
        <v>25</v>
      </c>
      <c r="F104" s="530">
        <v>999999</v>
      </c>
      <c r="G104" s="530">
        <v>999999</v>
      </c>
      <c r="H104" s="592">
        <v>0</v>
      </c>
      <c r="I104" s="592">
        <v>0</v>
      </c>
      <c r="J104" s="592">
        <v>0</v>
      </c>
      <c r="K104" s="530">
        <v>999999</v>
      </c>
      <c r="L104" s="530">
        <v>40</v>
      </c>
      <c r="M104" s="530">
        <v>999999</v>
      </c>
      <c r="N104" s="530">
        <v>999999</v>
      </c>
      <c r="O104" s="592">
        <v>0</v>
      </c>
      <c r="P104" s="592">
        <v>0</v>
      </c>
      <c r="Q104" s="592">
        <v>0</v>
      </c>
      <c r="R104" s="530">
        <v>999999</v>
      </c>
      <c r="S104" s="530">
        <v>40</v>
      </c>
      <c r="T104" s="530">
        <v>999999</v>
      </c>
      <c r="U104" s="530">
        <v>999999</v>
      </c>
      <c r="V104" s="121">
        <v>1</v>
      </c>
      <c r="W104" s="121">
        <v>0</v>
      </c>
      <c r="X104" s="121">
        <v>0</v>
      </c>
      <c r="Y104" s="121">
        <v>0</v>
      </c>
      <c r="Z104" s="121">
        <v>0</v>
      </c>
      <c r="AA104" s="121">
        <v>0</v>
      </c>
      <c r="AB104" s="121">
        <v>0</v>
      </c>
      <c r="AC104" s="121">
        <v>0</v>
      </c>
      <c r="AD104" s="121">
        <v>0</v>
      </c>
      <c r="AE104" s="121">
        <v>0</v>
      </c>
      <c r="AF104" s="121">
        <v>0</v>
      </c>
      <c r="AG104" s="121">
        <v>0</v>
      </c>
      <c r="AH104" s="121">
        <v>0</v>
      </c>
      <c r="AI104" s="121">
        <v>0</v>
      </c>
      <c r="AJ104" s="121">
        <v>0</v>
      </c>
      <c r="AK104" s="121">
        <v>0</v>
      </c>
      <c r="AL104" s="121">
        <v>0</v>
      </c>
      <c r="AM104" s="537">
        <f>f!D20</f>
        <v>123.40228269788216</v>
      </c>
      <c r="AP104" s="435">
        <v>2</v>
      </c>
      <c r="BD104" s="15"/>
    </row>
    <row r="105" spans="1:56">
      <c r="B105" s="499">
        <v>4</v>
      </c>
      <c r="C105" s="534">
        <f>'e (sf)'!W11</f>
        <v>0.35455328883972964</v>
      </c>
      <c r="D105" s="530">
        <v>999999</v>
      </c>
      <c r="E105" s="530">
        <v>25</v>
      </c>
      <c r="F105" s="530">
        <v>999999</v>
      </c>
      <c r="G105" s="530">
        <v>999999</v>
      </c>
      <c r="H105" s="592">
        <v>0</v>
      </c>
      <c r="I105" s="592">
        <v>0</v>
      </c>
      <c r="J105" s="592">
        <v>0</v>
      </c>
      <c r="K105" s="530">
        <v>999999</v>
      </c>
      <c r="L105" s="530">
        <v>40</v>
      </c>
      <c r="M105" s="530">
        <v>999999</v>
      </c>
      <c r="N105" s="530">
        <v>999999</v>
      </c>
      <c r="O105" s="592">
        <v>0</v>
      </c>
      <c r="P105" s="592">
        <v>0</v>
      </c>
      <c r="Q105" s="592">
        <v>0</v>
      </c>
      <c r="R105" s="530">
        <v>999999</v>
      </c>
      <c r="S105" s="530">
        <v>40</v>
      </c>
      <c r="T105" s="530">
        <v>999999</v>
      </c>
      <c r="U105" s="530">
        <v>999999</v>
      </c>
      <c r="V105" s="121">
        <v>1</v>
      </c>
      <c r="W105" s="121">
        <v>0</v>
      </c>
      <c r="X105" s="121">
        <v>0</v>
      </c>
      <c r="Y105" s="121">
        <v>0</v>
      </c>
      <c r="Z105" s="121">
        <v>0</v>
      </c>
      <c r="AA105" s="121">
        <v>0</v>
      </c>
      <c r="AB105" s="121">
        <v>0</v>
      </c>
      <c r="AC105" s="121">
        <v>0</v>
      </c>
      <c r="AD105" s="121">
        <v>0</v>
      </c>
      <c r="AE105" s="121">
        <v>0</v>
      </c>
      <c r="AF105" s="121">
        <v>0</v>
      </c>
      <c r="AG105" s="121">
        <v>0</v>
      </c>
      <c r="AH105" s="121">
        <v>0</v>
      </c>
      <c r="AI105" s="121">
        <v>0</v>
      </c>
      <c r="AJ105" s="121">
        <v>0</v>
      </c>
      <c r="AK105" s="121">
        <v>0</v>
      </c>
      <c r="AL105" s="121">
        <v>0</v>
      </c>
      <c r="AM105" s="537">
        <f>f!D21</f>
        <v>202.03699174910949</v>
      </c>
      <c r="AP105" s="435">
        <v>2</v>
      </c>
    </row>
    <row r="106" spans="1:56">
      <c r="B106" s="499">
        <v>5</v>
      </c>
      <c r="C106" s="534">
        <f>'e (sf)'!W11</f>
        <v>0.35455328883972964</v>
      </c>
      <c r="D106" s="530">
        <v>999999</v>
      </c>
      <c r="E106" s="530">
        <v>25</v>
      </c>
      <c r="F106" s="530">
        <v>999999</v>
      </c>
      <c r="G106" s="530">
        <v>999999</v>
      </c>
      <c r="H106" s="592">
        <v>0</v>
      </c>
      <c r="I106" s="592">
        <v>0</v>
      </c>
      <c r="J106" s="592">
        <v>0</v>
      </c>
      <c r="K106" s="530">
        <v>999999</v>
      </c>
      <c r="L106" s="530">
        <v>40</v>
      </c>
      <c r="M106" s="530">
        <v>999999</v>
      </c>
      <c r="N106" s="530">
        <v>999999</v>
      </c>
      <c r="O106" s="592">
        <v>0</v>
      </c>
      <c r="P106" s="592">
        <v>0</v>
      </c>
      <c r="Q106" s="592">
        <v>0</v>
      </c>
      <c r="R106" s="530">
        <v>999999</v>
      </c>
      <c r="S106" s="530">
        <v>40</v>
      </c>
      <c r="T106" s="530">
        <v>999999</v>
      </c>
      <c r="U106" s="530">
        <v>999999</v>
      </c>
      <c r="V106" s="121">
        <v>1</v>
      </c>
      <c r="W106" s="121">
        <v>0</v>
      </c>
      <c r="X106" s="121">
        <v>0</v>
      </c>
      <c r="Y106" s="121">
        <v>0</v>
      </c>
      <c r="Z106" s="121">
        <v>0</v>
      </c>
      <c r="AA106" s="121">
        <v>0</v>
      </c>
      <c r="AB106" s="121">
        <v>0</v>
      </c>
      <c r="AC106" s="121">
        <v>0</v>
      </c>
      <c r="AD106" s="121">
        <v>0</v>
      </c>
      <c r="AE106" s="121">
        <v>0</v>
      </c>
      <c r="AF106" s="121">
        <v>0</v>
      </c>
      <c r="AG106" s="121">
        <v>0</v>
      </c>
      <c r="AH106" s="121">
        <v>0</v>
      </c>
      <c r="AI106" s="121">
        <v>0</v>
      </c>
      <c r="AJ106" s="121">
        <v>0</v>
      </c>
      <c r="AK106" s="121">
        <v>0</v>
      </c>
      <c r="AL106" s="121">
        <v>0</v>
      </c>
      <c r="AM106" s="537">
        <f>f!D22</f>
        <v>247.57548242307968</v>
      </c>
      <c r="AP106" s="435">
        <v>2</v>
      </c>
    </row>
    <row r="107" spans="1:56">
      <c r="B107" s="499">
        <v>6</v>
      </c>
      <c r="C107" s="534">
        <f>'e (sf)'!W11</f>
        <v>0.35455328883972964</v>
      </c>
      <c r="D107" s="530">
        <v>999999</v>
      </c>
      <c r="E107" s="530">
        <v>25</v>
      </c>
      <c r="F107" s="530">
        <v>999999</v>
      </c>
      <c r="G107" s="530">
        <v>999999</v>
      </c>
      <c r="H107" s="592">
        <v>0</v>
      </c>
      <c r="I107" s="592">
        <v>0</v>
      </c>
      <c r="J107" s="592">
        <v>0</v>
      </c>
      <c r="K107" s="530">
        <v>999999</v>
      </c>
      <c r="L107" s="530">
        <v>40</v>
      </c>
      <c r="M107" s="530">
        <v>999999</v>
      </c>
      <c r="N107" s="530">
        <v>999999</v>
      </c>
      <c r="O107" s="592">
        <v>0</v>
      </c>
      <c r="P107" s="592">
        <v>0</v>
      </c>
      <c r="Q107" s="592">
        <v>0</v>
      </c>
      <c r="R107" s="530">
        <v>999999</v>
      </c>
      <c r="S107" s="530">
        <v>40</v>
      </c>
      <c r="T107" s="530">
        <v>999999</v>
      </c>
      <c r="U107" s="530">
        <v>999999</v>
      </c>
      <c r="V107" s="121">
        <v>1</v>
      </c>
      <c r="W107" s="121">
        <v>0</v>
      </c>
      <c r="X107" s="121">
        <v>0</v>
      </c>
      <c r="Y107" s="121">
        <v>0</v>
      </c>
      <c r="Z107" s="121">
        <v>0</v>
      </c>
      <c r="AA107" s="121">
        <v>0</v>
      </c>
      <c r="AB107" s="121">
        <v>0</v>
      </c>
      <c r="AC107" s="121">
        <v>0</v>
      </c>
      <c r="AD107" s="121">
        <v>0</v>
      </c>
      <c r="AE107" s="121">
        <v>0</v>
      </c>
      <c r="AF107" s="121">
        <v>0</v>
      </c>
      <c r="AG107" s="121">
        <v>0</v>
      </c>
      <c r="AH107" s="121">
        <v>0</v>
      </c>
      <c r="AI107" s="121">
        <v>0</v>
      </c>
      <c r="AJ107" s="121">
        <v>0</v>
      </c>
      <c r="AK107" s="121">
        <v>0</v>
      </c>
      <c r="AL107" s="121">
        <v>0</v>
      </c>
      <c r="AM107" s="537">
        <f>f!D23</f>
        <v>315.08610858755986</v>
      </c>
      <c r="AP107" s="416">
        <v>9999</v>
      </c>
    </row>
    <row r="108" spans="1:56">
      <c r="B108" s="499">
        <v>7</v>
      </c>
      <c r="C108" s="535">
        <v>0</v>
      </c>
      <c r="D108" s="530">
        <v>999999</v>
      </c>
      <c r="E108" s="530">
        <v>999999</v>
      </c>
      <c r="F108" s="530">
        <v>999999</v>
      </c>
      <c r="G108" s="530">
        <v>999999</v>
      </c>
      <c r="H108" s="535">
        <v>1</v>
      </c>
      <c r="I108" s="535">
        <v>0</v>
      </c>
      <c r="J108" s="535">
        <v>0</v>
      </c>
      <c r="K108" s="530">
        <v>999999</v>
      </c>
      <c r="L108" s="530">
        <v>999999</v>
      </c>
      <c r="M108" s="530">
        <v>999999</v>
      </c>
      <c r="N108" s="530">
        <v>999999</v>
      </c>
      <c r="O108" s="535">
        <v>1</v>
      </c>
      <c r="P108" s="535">
        <v>0</v>
      </c>
      <c r="Q108" s="535">
        <v>0</v>
      </c>
      <c r="R108" s="530">
        <v>999999</v>
      </c>
      <c r="S108" s="530">
        <v>999999</v>
      </c>
      <c r="T108" s="530">
        <v>999999</v>
      </c>
      <c r="U108" s="530">
        <v>999999</v>
      </c>
      <c r="V108" s="121">
        <v>1</v>
      </c>
      <c r="W108" s="121">
        <v>0</v>
      </c>
      <c r="X108" s="121">
        <v>0</v>
      </c>
      <c r="Y108" s="121">
        <v>0</v>
      </c>
      <c r="Z108" s="121">
        <v>0</v>
      </c>
      <c r="AA108" s="121">
        <v>0</v>
      </c>
      <c r="AB108" s="121">
        <v>0</v>
      </c>
      <c r="AC108" s="121">
        <v>0</v>
      </c>
      <c r="AD108" s="121">
        <v>0</v>
      </c>
      <c r="AE108" s="121">
        <v>0</v>
      </c>
      <c r="AF108" s="121">
        <v>0</v>
      </c>
      <c r="AG108" s="121">
        <v>0</v>
      </c>
      <c r="AH108" s="121">
        <v>0</v>
      </c>
      <c r="AI108" s="121">
        <v>0</v>
      </c>
      <c r="AJ108" s="121">
        <v>0</v>
      </c>
      <c r="AK108" s="121">
        <v>0</v>
      </c>
      <c r="AL108" s="121">
        <v>0</v>
      </c>
      <c r="AM108" s="537">
        <f>AM107</f>
        <v>315.08610858755986</v>
      </c>
      <c r="AP108" s="7">
        <v>9999</v>
      </c>
    </row>
    <row r="109" spans="1:56">
      <c r="B109" s="499">
        <v>8</v>
      </c>
      <c r="C109" s="535">
        <v>0</v>
      </c>
      <c r="D109" s="530">
        <v>999999</v>
      </c>
      <c r="E109" s="530">
        <v>999999</v>
      </c>
      <c r="F109" s="530">
        <v>999999</v>
      </c>
      <c r="G109" s="530">
        <v>999999</v>
      </c>
      <c r="H109" s="535">
        <v>1</v>
      </c>
      <c r="I109" s="535">
        <v>0</v>
      </c>
      <c r="J109" s="535">
        <v>0</v>
      </c>
      <c r="K109" s="530">
        <v>999999</v>
      </c>
      <c r="L109" s="530">
        <v>999999</v>
      </c>
      <c r="M109" s="530">
        <v>999999</v>
      </c>
      <c r="N109" s="530">
        <v>999999</v>
      </c>
      <c r="O109" s="535">
        <v>1</v>
      </c>
      <c r="P109" s="535">
        <v>0</v>
      </c>
      <c r="Q109" s="535">
        <v>0</v>
      </c>
      <c r="R109" s="530">
        <v>999999</v>
      </c>
      <c r="S109" s="530">
        <v>999999</v>
      </c>
      <c r="T109" s="530">
        <v>999999</v>
      </c>
      <c r="U109" s="530">
        <v>999999</v>
      </c>
      <c r="V109" s="121">
        <v>1</v>
      </c>
      <c r="W109" s="121">
        <v>0</v>
      </c>
      <c r="X109" s="121">
        <v>0</v>
      </c>
      <c r="Y109" s="121">
        <v>0</v>
      </c>
      <c r="Z109" s="121">
        <v>0</v>
      </c>
      <c r="AA109" s="121">
        <v>0</v>
      </c>
      <c r="AB109" s="121">
        <v>0</v>
      </c>
      <c r="AC109" s="121">
        <v>0</v>
      </c>
      <c r="AD109" s="121">
        <v>0</v>
      </c>
      <c r="AE109" s="121">
        <v>0</v>
      </c>
      <c r="AF109" s="121">
        <v>0</v>
      </c>
      <c r="AG109" s="121">
        <v>0</v>
      </c>
      <c r="AH109" s="121">
        <v>0</v>
      </c>
      <c r="AI109" s="121">
        <v>0</v>
      </c>
      <c r="AJ109" s="121">
        <v>0</v>
      </c>
      <c r="AK109" s="121">
        <v>0</v>
      </c>
      <c r="AL109" s="121">
        <v>0</v>
      </c>
      <c r="AM109" s="537">
        <f>AM108</f>
        <v>315.08610858755986</v>
      </c>
      <c r="AP109" s="7">
        <v>9999</v>
      </c>
    </row>
    <row r="110" spans="1:56">
      <c r="B110" s="499">
        <v>9</v>
      </c>
      <c r="C110" s="535">
        <v>0</v>
      </c>
      <c r="D110" s="530">
        <v>999999</v>
      </c>
      <c r="E110" s="530">
        <v>999999</v>
      </c>
      <c r="F110" s="530">
        <v>999999</v>
      </c>
      <c r="G110" s="530">
        <v>999999</v>
      </c>
      <c r="H110" s="535">
        <v>1</v>
      </c>
      <c r="I110" s="535">
        <v>0</v>
      </c>
      <c r="J110" s="535">
        <v>0</v>
      </c>
      <c r="K110" s="530">
        <v>999999</v>
      </c>
      <c r="L110" s="530">
        <v>999999</v>
      </c>
      <c r="M110" s="530">
        <v>999999</v>
      </c>
      <c r="N110" s="530">
        <v>999999</v>
      </c>
      <c r="O110" s="535">
        <v>1</v>
      </c>
      <c r="P110" s="535">
        <v>0</v>
      </c>
      <c r="Q110" s="535">
        <v>0</v>
      </c>
      <c r="R110" s="530">
        <v>999999</v>
      </c>
      <c r="S110" s="530">
        <v>999999</v>
      </c>
      <c r="T110" s="530">
        <v>999999</v>
      </c>
      <c r="U110" s="530">
        <v>999999</v>
      </c>
      <c r="V110" s="121">
        <v>1</v>
      </c>
      <c r="W110" s="121">
        <v>0</v>
      </c>
      <c r="X110" s="121">
        <v>0</v>
      </c>
      <c r="Y110" s="121">
        <v>0</v>
      </c>
      <c r="Z110" s="121">
        <v>0</v>
      </c>
      <c r="AA110" s="121">
        <v>0</v>
      </c>
      <c r="AB110" s="121">
        <v>0</v>
      </c>
      <c r="AC110" s="121">
        <v>0</v>
      </c>
      <c r="AD110" s="121">
        <v>0</v>
      </c>
      <c r="AE110" s="121">
        <v>0</v>
      </c>
      <c r="AF110" s="121">
        <v>0</v>
      </c>
      <c r="AG110" s="121">
        <v>0</v>
      </c>
      <c r="AH110" s="121">
        <v>0</v>
      </c>
      <c r="AI110" s="121">
        <v>0</v>
      </c>
      <c r="AJ110" s="121">
        <v>0</v>
      </c>
      <c r="AK110" s="121">
        <v>0</v>
      </c>
      <c r="AL110" s="121">
        <v>0</v>
      </c>
      <c r="AM110" s="537">
        <f>AM109</f>
        <v>315.08610858755986</v>
      </c>
      <c r="AP110" s="7">
        <v>9999</v>
      </c>
    </row>
    <row r="113" spans="1:63">
      <c r="A113" s="1" t="s">
        <v>160</v>
      </c>
      <c r="S113" s="499" t="s">
        <v>161</v>
      </c>
    </row>
    <row r="114" spans="1:63">
      <c r="E114" s="499" t="s">
        <v>162</v>
      </c>
      <c r="N114" s="499" t="s">
        <v>163</v>
      </c>
      <c r="S114" s="4" t="s">
        <v>164</v>
      </c>
      <c r="T114" s="4"/>
      <c r="U114" s="4"/>
      <c r="V114" s="4"/>
      <c r="W114" s="4" t="s">
        <v>165</v>
      </c>
      <c r="X114" s="4"/>
    </row>
    <row r="115" spans="1:63">
      <c r="B115" s="6" t="s">
        <v>75</v>
      </c>
      <c r="C115" s="6" t="s">
        <v>166</v>
      </c>
      <c r="D115" s="401" t="s">
        <v>167</v>
      </c>
      <c r="E115" s="6" t="s">
        <v>168</v>
      </c>
      <c r="F115" s="6" t="s">
        <v>169</v>
      </c>
      <c r="G115" s="6" t="s">
        <v>170</v>
      </c>
      <c r="H115" s="6" t="s">
        <v>135</v>
      </c>
      <c r="I115" s="401" t="s">
        <v>171</v>
      </c>
      <c r="J115" s="6" t="s">
        <v>172</v>
      </c>
      <c r="K115" s="6" t="s">
        <v>173</v>
      </c>
      <c r="L115" s="6" t="s">
        <v>174</v>
      </c>
      <c r="M115" s="6" t="s">
        <v>142</v>
      </c>
      <c r="N115" s="6" t="s">
        <v>175</v>
      </c>
      <c r="O115" s="6" t="s">
        <v>176</v>
      </c>
      <c r="P115" s="6" t="s">
        <v>177</v>
      </c>
      <c r="Q115" s="6" t="s">
        <v>178</v>
      </c>
      <c r="R115" s="6" t="s">
        <v>12</v>
      </c>
      <c r="S115" s="9" t="s">
        <v>179</v>
      </c>
      <c r="T115" s="9" t="s">
        <v>180</v>
      </c>
      <c r="U115" s="9" t="s">
        <v>179</v>
      </c>
      <c r="V115" s="9" t="s">
        <v>180</v>
      </c>
      <c r="W115" s="9" t="s">
        <v>181</v>
      </c>
      <c r="X115" s="9" t="s">
        <v>33</v>
      </c>
    </row>
    <row r="116" spans="1:63">
      <c r="B116" s="499" t="s">
        <v>96</v>
      </c>
      <c r="C116" s="499">
        <v>1</v>
      </c>
      <c r="D116" s="396">
        <f>m!D111</f>
        <v>0.45939999999999998</v>
      </c>
      <c r="E116" s="530">
        <v>999999</v>
      </c>
      <c r="F116" s="530">
        <v>40</v>
      </c>
      <c r="G116" s="530">
        <v>999999</v>
      </c>
      <c r="H116" s="530">
        <v>999999</v>
      </c>
      <c r="I116" s="396">
        <f>D116</f>
        <v>0.45939999999999998</v>
      </c>
      <c r="J116" s="530">
        <v>999999</v>
      </c>
      <c r="K116" s="530">
        <v>40</v>
      </c>
      <c r="L116" s="530">
        <v>999999</v>
      </c>
      <c r="M116" s="530">
        <v>999999</v>
      </c>
      <c r="N116" s="540">
        <v>1.0000000000000001E+50</v>
      </c>
      <c r="O116" s="121">
        <v>0</v>
      </c>
      <c r="P116" s="121">
        <v>0</v>
      </c>
      <c r="Q116" s="121">
        <v>0</v>
      </c>
      <c r="R116" s="121">
        <v>0</v>
      </c>
      <c r="S116" s="121">
        <v>0</v>
      </c>
      <c r="T116" s="121">
        <v>0</v>
      </c>
      <c r="U116" s="121">
        <v>0</v>
      </c>
      <c r="V116" s="121">
        <v>0</v>
      </c>
      <c r="W116" s="121">
        <v>0</v>
      </c>
      <c r="X116" s="121">
        <v>0</v>
      </c>
    </row>
    <row r="117" spans="1:63">
      <c r="B117" s="499" t="s">
        <v>98</v>
      </c>
      <c r="C117" s="499">
        <v>2</v>
      </c>
      <c r="D117" s="396">
        <f>m!D115</f>
        <v>0.98619999999999997</v>
      </c>
      <c r="E117" s="530">
        <v>999999</v>
      </c>
      <c r="F117" s="530">
        <v>40</v>
      </c>
      <c r="G117" s="530">
        <v>999999</v>
      </c>
      <c r="H117" s="530">
        <v>999999</v>
      </c>
      <c r="I117" s="396">
        <f>D117</f>
        <v>0.98619999999999997</v>
      </c>
      <c r="J117" s="530">
        <v>999999</v>
      </c>
      <c r="K117" s="530">
        <v>40</v>
      </c>
      <c r="L117" s="530">
        <v>999999</v>
      </c>
      <c r="M117" s="530">
        <v>999999</v>
      </c>
      <c r="N117" s="540">
        <v>1.0000000000000001E+50</v>
      </c>
      <c r="O117" s="121">
        <v>0</v>
      </c>
      <c r="P117" s="121">
        <v>0</v>
      </c>
      <c r="Q117" s="121">
        <v>0</v>
      </c>
      <c r="R117" s="121">
        <v>0</v>
      </c>
      <c r="S117" s="121">
        <v>0</v>
      </c>
      <c r="T117" s="121">
        <v>0</v>
      </c>
      <c r="U117" s="121">
        <v>0</v>
      </c>
      <c r="V117" s="121">
        <v>0</v>
      </c>
      <c r="W117" s="121">
        <v>0</v>
      </c>
      <c r="X117" s="121">
        <v>0</v>
      </c>
    </row>
    <row r="118" spans="1:63">
      <c r="B118" s="499" t="s">
        <v>100</v>
      </c>
      <c r="C118" s="499">
        <v>3</v>
      </c>
      <c r="D118" s="396">
        <v>1</v>
      </c>
      <c r="E118" s="530">
        <v>999999</v>
      </c>
      <c r="F118" s="530">
        <v>40</v>
      </c>
      <c r="G118" s="530">
        <v>999999</v>
      </c>
      <c r="H118" s="530">
        <v>999999</v>
      </c>
      <c r="I118" s="396">
        <f>D118</f>
        <v>1</v>
      </c>
      <c r="J118" s="530">
        <v>999999</v>
      </c>
      <c r="K118" s="530">
        <v>40</v>
      </c>
      <c r="L118" s="530">
        <v>999999</v>
      </c>
      <c r="M118" s="530">
        <v>999999</v>
      </c>
      <c r="N118" s="540">
        <v>1.0000000000000001E+50</v>
      </c>
      <c r="O118" s="121">
        <v>0</v>
      </c>
      <c r="P118" s="121">
        <v>0</v>
      </c>
      <c r="Q118" s="121">
        <v>0</v>
      </c>
      <c r="R118" s="121">
        <v>0</v>
      </c>
      <c r="S118" s="121">
        <v>0</v>
      </c>
      <c r="T118" s="121">
        <v>0</v>
      </c>
      <c r="U118" s="121">
        <v>0</v>
      </c>
      <c r="V118" s="121">
        <v>0</v>
      </c>
      <c r="W118" s="121">
        <v>0</v>
      </c>
      <c r="X118" s="121">
        <v>0</v>
      </c>
    </row>
    <row r="119" spans="1:63">
      <c r="B119" s="499" t="s">
        <v>102</v>
      </c>
      <c r="C119" s="499">
        <v>4</v>
      </c>
      <c r="D119" s="396">
        <v>1</v>
      </c>
      <c r="E119" s="530">
        <v>999999</v>
      </c>
      <c r="F119" s="530">
        <v>40</v>
      </c>
      <c r="G119" s="530">
        <v>999999</v>
      </c>
      <c r="H119" s="530">
        <v>999999</v>
      </c>
      <c r="I119" s="396">
        <v>1</v>
      </c>
      <c r="J119" s="530">
        <v>999999</v>
      </c>
      <c r="K119" s="530">
        <v>40</v>
      </c>
      <c r="L119" s="530">
        <v>999999</v>
      </c>
      <c r="M119" s="530">
        <v>999999</v>
      </c>
      <c r="N119" s="540">
        <v>1.0000000000000001E+50</v>
      </c>
      <c r="O119" s="121">
        <v>0</v>
      </c>
      <c r="P119" s="121">
        <v>0</v>
      </c>
      <c r="Q119" s="121">
        <v>0</v>
      </c>
      <c r="R119" s="121">
        <v>0</v>
      </c>
      <c r="S119" s="121">
        <v>0</v>
      </c>
      <c r="T119" s="121">
        <v>0</v>
      </c>
      <c r="U119" s="121">
        <v>0</v>
      </c>
      <c r="V119" s="121">
        <v>0</v>
      </c>
      <c r="W119" s="121">
        <v>0</v>
      </c>
      <c r="X119" s="121">
        <v>0</v>
      </c>
      <c r="BK119" s="499" t="s">
        <v>182</v>
      </c>
    </row>
    <row r="120" spans="1:63">
      <c r="B120" s="499" t="s">
        <v>104</v>
      </c>
      <c r="C120" s="499">
        <v>5</v>
      </c>
      <c r="D120" s="396">
        <v>1</v>
      </c>
      <c r="E120" s="530">
        <v>999999</v>
      </c>
      <c r="F120" s="530">
        <v>999999</v>
      </c>
      <c r="G120" s="530">
        <v>999999</v>
      </c>
      <c r="H120" s="530">
        <v>999999</v>
      </c>
      <c r="I120" s="396">
        <v>1</v>
      </c>
      <c r="J120" s="530">
        <v>999999</v>
      </c>
      <c r="K120" s="530">
        <v>40</v>
      </c>
      <c r="L120" s="530">
        <v>999999</v>
      </c>
      <c r="M120" s="530">
        <v>999999</v>
      </c>
      <c r="N120" s="540">
        <v>1.0000000000000001E+50</v>
      </c>
      <c r="O120" s="121">
        <v>0</v>
      </c>
      <c r="P120" s="121">
        <v>0</v>
      </c>
      <c r="Q120" s="121">
        <v>0</v>
      </c>
      <c r="R120" s="121">
        <v>0</v>
      </c>
      <c r="S120" s="121">
        <v>0</v>
      </c>
      <c r="T120" s="121">
        <v>0</v>
      </c>
      <c r="U120" s="121">
        <v>0</v>
      </c>
      <c r="V120" s="121">
        <v>0</v>
      </c>
      <c r="W120" s="121">
        <v>0</v>
      </c>
      <c r="X120" s="121">
        <v>0</v>
      </c>
    </row>
    <row r="121" spans="1:63">
      <c r="B121" s="499" t="s">
        <v>106</v>
      </c>
      <c r="C121" s="499">
        <v>6</v>
      </c>
      <c r="D121" s="396">
        <v>1</v>
      </c>
      <c r="E121" s="530">
        <v>999999</v>
      </c>
      <c r="F121" s="530">
        <v>999999</v>
      </c>
      <c r="G121" s="530">
        <v>999999</v>
      </c>
      <c r="H121" s="530">
        <v>999999</v>
      </c>
      <c r="I121" s="396">
        <v>1</v>
      </c>
      <c r="J121" s="530">
        <v>999999</v>
      </c>
      <c r="K121" s="530">
        <v>40</v>
      </c>
      <c r="L121" s="530">
        <v>999999</v>
      </c>
      <c r="M121" s="530">
        <v>999999</v>
      </c>
      <c r="N121" s="540">
        <v>1.0000000000000001E+50</v>
      </c>
      <c r="O121" s="121">
        <v>0</v>
      </c>
      <c r="P121" s="121">
        <v>0</v>
      </c>
      <c r="Q121" s="121">
        <v>0</v>
      </c>
      <c r="R121" s="121">
        <v>0</v>
      </c>
      <c r="S121" s="121">
        <v>0</v>
      </c>
      <c r="T121" s="121">
        <v>0</v>
      </c>
      <c r="U121" s="121">
        <v>0</v>
      </c>
      <c r="V121" s="121">
        <v>0</v>
      </c>
      <c r="W121" s="121">
        <v>0</v>
      </c>
      <c r="X121" s="121">
        <v>0</v>
      </c>
    </row>
    <row r="122" spans="1:63">
      <c r="B122" s="499" t="s">
        <v>108</v>
      </c>
      <c r="C122" s="499">
        <v>7</v>
      </c>
      <c r="D122" s="396">
        <v>1</v>
      </c>
      <c r="E122" s="530">
        <v>999999</v>
      </c>
      <c r="F122" s="530">
        <v>999999</v>
      </c>
      <c r="G122" s="530">
        <v>999999</v>
      </c>
      <c r="H122" s="530">
        <v>999999</v>
      </c>
      <c r="I122" s="396">
        <v>1</v>
      </c>
      <c r="J122" s="530">
        <v>999999</v>
      </c>
      <c r="K122" s="530">
        <v>40</v>
      </c>
      <c r="L122" s="530">
        <v>999999</v>
      </c>
      <c r="M122" s="530">
        <v>999999</v>
      </c>
      <c r="N122" s="540">
        <v>1.0000000000000001E+50</v>
      </c>
      <c r="O122" s="121">
        <v>0</v>
      </c>
      <c r="P122" s="121">
        <v>0</v>
      </c>
      <c r="Q122" s="121">
        <v>0</v>
      </c>
      <c r="R122" s="121">
        <v>0</v>
      </c>
      <c r="S122" s="121">
        <v>0</v>
      </c>
      <c r="T122" s="121">
        <v>0</v>
      </c>
      <c r="U122" s="121">
        <v>0</v>
      </c>
      <c r="V122" s="121">
        <v>0</v>
      </c>
      <c r="W122" s="121">
        <v>0</v>
      </c>
      <c r="X122" s="121">
        <v>0</v>
      </c>
    </row>
    <row r="123" spans="1:63">
      <c r="B123" s="499" t="s">
        <v>110</v>
      </c>
      <c r="C123" s="499">
        <v>8</v>
      </c>
      <c r="D123" s="396">
        <v>0</v>
      </c>
      <c r="E123" s="530">
        <v>999999</v>
      </c>
      <c r="F123" s="530">
        <v>999999</v>
      </c>
      <c r="G123" s="530">
        <v>999999</v>
      </c>
      <c r="H123" s="530">
        <v>999999</v>
      </c>
      <c r="I123" s="396">
        <v>0</v>
      </c>
      <c r="J123" s="530">
        <v>999999</v>
      </c>
      <c r="K123" s="530">
        <v>999999</v>
      </c>
      <c r="L123" s="530">
        <v>999999</v>
      </c>
      <c r="M123" s="530">
        <v>999999</v>
      </c>
      <c r="N123" s="540">
        <v>1.0000000000000001E+50</v>
      </c>
      <c r="O123" s="121">
        <v>0</v>
      </c>
      <c r="P123" s="121">
        <v>0</v>
      </c>
      <c r="Q123" s="121">
        <v>0</v>
      </c>
      <c r="R123" s="121">
        <v>0</v>
      </c>
      <c r="S123" s="121">
        <v>0</v>
      </c>
      <c r="T123" s="121">
        <v>0</v>
      </c>
      <c r="U123" s="121">
        <v>0</v>
      </c>
      <c r="V123" s="121">
        <v>0</v>
      </c>
      <c r="W123" s="121">
        <v>0</v>
      </c>
      <c r="X123" s="121">
        <v>0</v>
      </c>
    </row>
    <row r="124" spans="1:63">
      <c r="B124" s="499" t="s">
        <v>112</v>
      </c>
      <c r="C124" s="499">
        <v>9</v>
      </c>
      <c r="D124" s="396">
        <v>0</v>
      </c>
      <c r="E124" s="530">
        <v>999999</v>
      </c>
      <c r="F124" s="530">
        <v>999999</v>
      </c>
      <c r="G124" s="530">
        <v>999999</v>
      </c>
      <c r="H124" s="530">
        <v>999999</v>
      </c>
      <c r="I124" s="396">
        <v>0</v>
      </c>
      <c r="J124" s="530">
        <v>999999</v>
      </c>
      <c r="K124" s="530">
        <v>999999</v>
      </c>
      <c r="L124" s="530">
        <v>999999</v>
      </c>
      <c r="M124" s="530">
        <v>999999</v>
      </c>
      <c r="N124" s="540">
        <v>1.0000000000000001E+50</v>
      </c>
      <c r="O124" s="121">
        <v>0</v>
      </c>
      <c r="P124" s="121">
        <v>0</v>
      </c>
      <c r="Q124" s="121">
        <v>0</v>
      </c>
      <c r="R124" s="121">
        <v>0</v>
      </c>
      <c r="S124" s="121">
        <v>0</v>
      </c>
      <c r="T124" s="121">
        <v>0</v>
      </c>
      <c r="U124" s="121">
        <v>0</v>
      </c>
      <c r="V124" s="121">
        <v>0</v>
      </c>
      <c r="W124" s="121">
        <v>0</v>
      </c>
      <c r="X124" s="121">
        <v>0</v>
      </c>
    </row>
    <row r="125" spans="1:63">
      <c r="B125" s="499" t="s">
        <v>114</v>
      </c>
      <c r="C125" s="499">
        <v>10</v>
      </c>
      <c r="D125" s="396">
        <v>0</v>
      </c>
      <c r="E125" s="530">
        <v>999999</v>
      </c>
      <c r="F125" s="530">
        <v>999999</v>
      </c>
      <c r="G125" s="530">
        <v>999999</v>
      </c>
      <c r="H125" s="530">
        <v>999999</v>
      </c>
      <c r="I125" s="396">
        <v>0</v>
      </c>
      <c r="J125" s="530">
        <v>999999</v>
      </c>
      <c r="K125" s="530">
        <v>999999</v>
      </c>
      <c r="L125" s="530">
        <v>999999</v>
      </c>
      <c r="M125" s="530">
        <v>999999</v>
      </c>
      <c r="N125" s="540">
        <v>1.0000000000000001E+50</v>
      </c>
      <c r="O125" s="121">
        <v>0</v>
      </c>
      <c r="P125" s="121">
        <v>0</v>
      </c>
      <c r="Q125" s="121">
        <v>0</v>
      </c>
      <c r="R125" s="121">
        <v>0</v>
      </c>
      <c r="S125" s="121">
        <v>0</v>
      </c>
      <c r="T125" s="121">
        <v>0</v>
      </c>
      <c r="U125" s="121">
        <v>0</v>
      </c>
      <c r="V125" s="121">
        <v>0</v>
      </c>
      <c r="W125" s="121">
        <v>0</v>
      </c>
      <c r="X125" s="121">
        <v>0</v>
      </c>
    </row>
    <row r="128" spans="1:63">
      <c r="A128" s="1" t="s">
        <v>183</v>
      </c>
    </row>
    <row r="129" spans="1:87">
      <c r="P129" s="499" t="s">
        <v>176</v>
      </c>
      <c r="Q129" s="499" t="s">
        <v>176</v>
      </c>
      <c r="R129" s="499" t="s">
        <v>176</v>
      </c>
      <c r="S129" s="499" t="s">
        <v>176</v>
      </c>
      <c r="T129" s="499" t="s">
        <v>176</v>
      </c>
      <c r="U129" s="499" t="s">
        <v>176</v>
      </c>
      <c r="V129" s="499" t="s">
        <v>176</v>
      </c>
      <c r="W129" s="499" t="s">
        <v>176</v>
      </c>
      <c r="X129" s="499" t="s">
        <v>176</v>
      </c>
      <c r="Y129" s="499" t="s">
        <v>176</v>
      </c>
      <c r="Z129" s="499" t="s">
        <v>176</v>
      </c>
      <c r="AA129" s="499" t="s">
        <v>176</v>
      </c>
      <c r="AB129" s="499" t="s">
        <v>184</v>
      </c>
      <c r="AC129" s="499" t="s">
        <v>184</v>
      </c>
      <c r="AD129" s="499" t="s">
        <v>184</v>
      </c>
      <c r="AE129" s="499" t="s">
        <v>184</v>
      </c>
      <c r="AF129" s="499" t="s">
        <v>184</v>
      </c>
      <c r="AG129" s="499" t="s">
        <v>184</v>
      </c>
      <c r="AH129" s="499" t="s">
        <v>184</v>
      </c>
      <c r="AI129" s="499" t="s">
        <v>184</v>
      </c>
      <c r="AJ129" s="499" t="s">
        <v>184</v>
      </c>
      <c r="AK129" s="499" t="s">
        <v>184</v>
      </c>
      <c r="AL129" s="499" t="s">
        <v>184</v>
      </c>
      <c r="AM129" s="499" t="s">
        <v>184</v>
      </c>
      <c r="AN129" s="499" t="s">
        <v>178</v>
      </c>
      <c r="AO129" s="499" t="s">
        <v>178</v>
      </c>
      <c r="AP129" s="499" t="s">
        <v>178</v>
      </c>
      <c r="AQ129" s="499" t="s">
        <v>178</v>
      </c>
      <c r="AR129" s="499" t="s">
        <v>178</v>
      </c>
      <c r="AS129" s="499" t="s">
        <v>178</v>
      </c>
      <c r="AT129" s="499" t="s">
        <v>178</v>
      </c>
      <c r="AU129" s="499" t="s">
        <v>178</v>
      </c>
      <c r="AV129" s="499" t="s">
        <v>178</v>
      </c>
      <c r="AW129" s="499" t="s">
        <v>178</v>
      </c>
      <c r="AX129" s="499" t="s">
        <v>178</v>
      </c>
      <c r="AY129" s="499" t="s">
        <v>178</v>
      </c>
      <c r="AZ129" s="499" t="s">
        <v>12</v>
      </c>
      <c r="BA129" s="499" t="s">
        <v>12</v>
      </c>
      <c r="BB129" s="499" t="s">
        <v>12</v>
      </c>
      <c r="BC129" s="499" t="s">
        <v>12</v>
      </c>
      <c r="BD129" s="499" t="s">
        <v>12</v>
      </c>
      <c r="BE129" s="499" t="s">
        <v>12</v>
      </c>
      <c r="BF129" s="499" t="s">
        <v>12</v>
      </c>
      <c r="BG129" s="499" t="s">
        <v>12</v>
      </c>
      <c r="BH129" s="499" t="s">
        <v>12</v>
      </c>
      <c r="BI129" s="499" t="s">
        <v>12</v>
      </c>
      <c r="BJ129" s="499" t="s">
        <v>12</v>
      </c>
      <c r="BK129" s="499" t="s">
        <v>12</v>
      </c>
      <c r="BL129" s="499" t="s">
        <v>32</v>
      </c>
      <c r="BM129" s="499" t="s">
        <v>32</v>
      </c>
      <c r="BN129" s="499" t="s">
        <v>32</v>
      </c>
      <c r="BO129" s="499" t="s">
        <v>32</v>
      </c>
      <c r="BP129" s="499" t="s">
        <v>32</v>
      </c>
      <c r="BQ129" s="499" t="s">
        <v>32</v>
      </c>
      <c r="BR129" s="499" t="s">
        <v>32</v>
      </c>
      <c r="BS129" s="499" t="s">
        <v>32</v>
      </c>
      <c r="BT129" s="499" t="s">
        <v>32</v>
      </c>
      <c r="BU129" s="499" t="s">
        <v>32</v>
      </c>
      <c r="BV129" s="499" t="s">
        <v>32</v>
      </c>
      <c r="BW129" s="499" t="s">
        <v>32</v>
      </c>
      <c r="BX129" s="499" t="s">
        <v>185</v>
      </c>
      <c r="BY129" s="499" t="s">
        <v>185</v>
      </c>
      <c r="BZ129" s="499" t="s">
        <v>185</v>
      </c>
      <c r="CA129" s="499" t="s">
        <v>185</v>
      </c>
      <c r="CB129" s="499" t="s">
        <v>185</v>
      </c>
      <c r="CC129" s="499" t="s">
        <v>185</v>
      </c>
      <c r="CD129" s="499" t="s">
        <v>185</v>
      </c>
      <c r="CE129" s="499" t="s">
        <v>185</v>
      </c>
      <c r="CF129" s="499" t="s">
        <v>185</v>
      </c>
      <c r="CG129" s="499" t="s">
        <v>185</v>
      </c>
      <c r="CH129" s="499" t="s">
        <v>185</v>
      </c>
      <c r="CI129" s="499" t="s">
        <v>185</v>
      </c>
    </row>
    <row r="130" spans="1:87">
      <c r="B130" s="6" t="s">
        <v>186</v>
      </c>
      <c r="C130" s="6" t="s">
        <v>75</v>
      </c>
      <c r="D130" s="6" t="s">
        <v>34</v>
      </c>
      <c r="E130" s="6" t="s">
        <v>35</v>
      </c>
      <c r="F130" s="6" t="s">
        <v>36</v>
      </c>
      <c r="G130" s="6" t="s">
        <v>37</v>
      </c>
      <c r="H130" s="6" t="s">
        <v>38</v>
      </c>
      <c r="I130" s="6" t="s">
        <v>39</v>
      </c>
      <c r="J130" s="6" t="s">
        <v>40</v>
      </c>
      <c r="K130" s="6" t="s">
        <v>41</v>
      </c>
      <c r="L130" s="6" t="s">
        <v>42</v>
      </c>
      <c r="M130" s="6" t="s">
        <v>43</v>
      </c>
      <c r="N130" s="6" t="s">
        <v>44</v>
      </c>
      <c r="O130" s="6" t="s">
        <v>45</v>
      </c>
      <c r="P130" s="6" t="s">
        <v>34</v>
      </c>
      <c r="Q130" s="6" t="s">
        <v>35</v>
      </c>
      <c r="R130" s="6" t="s">
        <v>36</v>
      </c>
      <c r="S130" s="6" t="s">
        <v>37</v>
      </c>
      <c r="T130" s="6" t="s">
        <v>38</v>
      </c>
      <c r="U130" s="6" t="s">
        <v>39</v>
      </c>
      <c r="V130" s="6" t="s">
        <v>40</v>
      </c>
      <c r="W130" s="6" t="s">
        <v>41</v>
      </c>
      <c r="X130" s="6" t="s">
        <v>42</v>
      </c>
      <c r="Y130" s="6" t="s">
        <v>43</v>
      </c>
      <c r="Z130" s="6" t="s">
        <v>44</v>
      </c>
      <c r="AA130" s="6" t="s">
        <v>45</v>
      </c>
      <c r="AB130" s="6" t="s">
        <v>34</v>
      </c>
      <c r="AC130" s="6" t="s">
        <v>35</v>
      </c>
      <c r="AD130" s="6" t="s">
        <v>36</v>
      </c>
      <c r="AE130" s="6" t="s">
        <v>37</v>
      </c>
      <c r="AF130" s="6" t="s">
        <v>38</v>
      </c>
      <c r="AG130" s="6" t="s">
        <v>39</v>
      </c>
      <c r="AH130" s="6" t="s">
        <v>40</v>
      </c>
      <c r="AI130" s="6" t="s">
        <v>41</v>
      </c>
      <c r="AJ130" s="6" t="s">
        <v>42</v>
      </c>
      <c r="AK130" s="6" t="s">
        <v>43</v>
      </c>
      <c r="AL130" s="6" t="s">
        <v>44</v>
      </c>
      <c r="AM130" s="6" t="s">
        <v>45</v>
      </c>
      <c r="AN130" s="6" t="s">
        <v>34</v>
      </c>
      <c r="AO130" s="6" t="s">
        <v>35</v>
      </c>
      <c r="AP130" s="6" t="s">
        <v>36</v>
      </c>
      <c r="AQ130" s="6" t="s">
        <v>37</v>
      </c>
      <c r="AR130" s="6" t="s">
        <v>38</v>
      </c>
      <c r="AS130" s="6" t="s">
        <v>39</v>
      </c>
      <c r="AT130" s="6" t="s">
        <v>40</v>
      </c>
      <c r="AU130" s="6" t="s">
        <v>41</v>
      </c>
      <c r="AV130" s="6" t="s">
        <v>42</v>
      </c>
      <c r="AW130" s="6" t="s">
        <v>43</v>
      </c>
      <c r="AX130" s="6" t="s">
        <v>44</v>
      </c>
      <c r="AY130" s="6" t="s">
        <v>45</v>
      </c>
      <c r="AZ130" s="6" t="s">
        <v>34</v>
      </c>
      <c r="BA130" s="6" t="s">
        <v>35</v>
      </c>
      <c r="BB130" s="6" t="s">
        <v>36</v>
      </c>
      <c r="BC130" s="6" t="s">
        <v>37</v>
      </c>
      <c r="BD130" s="6" t="s">
        <v>38</v>
      </c>
      <c r="BE130" s="6" t="s">
        <v>39</v>
      </c>
      <c r="BF130" s="6" t="s">
        <v>40</v>
      </c>
      <c r="BG130" s="6" t="s">
        <v>41</v>
      </c>
      <c r="BH130" s="6" t="s">
        <v>42</v>
      </c>
      <c r="BI130" s="6" t="s">
        <v>43</v>
      </c>
      <c r="BJ130" s="6" t="s">
        <v>44</v>
      </c>
      <c r="BK130" s="6" t="s">
        <v>45</v>
      </c>
      <c r="BL130" s="6" t="s">
        <v>34</v>
      </c>
      <c r="BM130" s="6" t="s">
        <v>35</v>
      </c>
      <c r="BN130" s="6" t="s">
        <v>36</v>
      </c>
      <c r="BO130" s="6" t="s">
        <v>37</v>
      </c>
      <c r="BP130" s="6" t="s">
        <v>38</v>
      </c>
      <c r="BQ130" s="6" t="s">
        <v>39</v>
      </c>
      <c r="BR130" s="6" t="s">
        <v>40</v>
      </c>
      <c r="BS130" s="6" t="s">
        <v>41</v>
      </c>
      <c r="BT130" s="6" t="s">
        <v>42</v>
      </c>
      <c r="BU130" s="6" t="s">
        <v>43</v>
      </c>
      <c r="BV130" s="6" t="s">
        <v>44</v>
      </c>
      <c r="BW130" s="6" t="s">
        <v>45</v>
      </c>
      <c r="BX130" s="6" t="s">
        <v>34</v>
      </c>
      <c r="BY130" s="6" t="s">
        <v>35</v>
      </c>
      <c r="BZ130" s="6" t="s">
        <v>36</v>
      </c>
      <c r="CA130" s="6" t="s">
        <v>37</v>
      </c>
      <c r="CB130" s="6" t="s">
        <v>38</v>
      </c>
      <c r="CC130" s="6" t="s">
        <v>39</v>
      </c>
      <c r="CD130" s="6" t="s">
        <v>40</v>
      </c>
      <c r="CE130" s="6" t="s">
        <v>41</v>
      </c>
      <c r="CF130" s="6" t="s">
        <v>42</v>
      </c>
      <c r="CG130" s="6" t="s">
        <v>43</v>
      </c>
      <c r="CH130" s="6" t="s">
        <v>44</v>
      </c>
      <c r="CI130" s="6" t="s">
        <v>45</v>
      </c>
    </row>
    <row r="131" spans="1:87">
      <c r="B131" s="499" t="s">
        <v>187</v>
      </c>
      <c r="C131" s="499" t="s">
        <v>188</v>
      </c>
      <c r="D131" s="7">
        <v>1</v>
      </c>
      <c r="E131" s="7">
        <v>1</v>
      </c>
      <c r="F131" s="7">
        <v>1</v>
      </c>
      <c r="G131" s="7">
        <v>1</v>
      </c>
      <c r="H131" s="7">
        <v>1</v>
      </c>
      <c r="I131" s="7">
        <v>1</v>
      </c>
      <c r="J131" s="7">
        <v>1</v>
      </c>
      <c r="K131" s="7">
        <v>1</v>
      </c>
      <c r="L131" s="7">
        <v>1</v>
      </c>
      <c r="M131" s="7">
        <v>1</v>
      </c>
      <c r="N131" s="7">
        <v>1</v>
      </c>
      <c r="O131" s="7">
        <v>1</v>
      </c>
      <c r="P131" s="7">
        <v>0</v>
      </c>
      <c r="Q131" s="7">
        <v>0</v>
      </c>
      <c r="R131" s="7">
        <v>0</v>
      </c>
      <c r="S131" s="7">
        <v>0</v>
      </c>
      <c r="T131" s="7">
        <v>0</v>
      </c>
      <c r="U131" s="7">
        <v>0</v>
      </c>
      <c r="V131" s="7">
        <v>0</v>
      </c>
      <c r="W131" s="7">
        <v>0</v>
      </c>
      <c r="X131" s="7">
        <v>0</v>
      </c>
      <c r="Y131" s="7">
        <v>0</v>
      </c>
      <c r="Z131" s="7">
        <v>0</v>
      </c>
      <c r="AA131" s="7">
        <v>0</v>
      </c>
      <c r="AB131" s="7">
        <v>0</v>
      </c>
      <c r="AC131" s="7">
        <v>0</v>
      </c>
      <c r="AD131" s="7">
        <v>0</v>
      </c>
      <c r="AE131" s="7">
        <v>0</v>
      </c>
      <c r="AF131" s="7">
        <v>0</v>
      </c>
      <c r="AG131" s="7">
        <v>0</v>
      </c>
      <c r="AH131" s="7">
        <v>0</v>
      </c>
      <c r="AI131" s="7">
        <v>0</v>
      </c>
      <c r="AJ131" s="7">
        <v>0</v>
      </c>
      <c r="AK131" s="7">
        <v>0</v>
      </c>
      <c r="AL131" s="7">
        <v>0</v>
      </c>
      <c r="AM131" s="7">
        <v>0</v>
      </c>
      <c r="AN131" s="7">
        <v>0</v>
      </c>
      <c r="AO131" s="7">
        <v>0</v>
      </c>
      <c r="AP131" s="7">
        <v>0</v>
      </c>
      <c r="AQ131" s="7">
        <v>0</v>
      </c>
      <c r="AR131" s="7">
        <v>0</v>
      </c>
      <c r="AS131" s="7">
        <v>0</v>
      </c>
      <c r="AT131" s="7">
        <v>0</v>
      </c>
      <c r="AU131" s="7">
        <v>0</v>
      </c>
      <c r="AV131" s="7">
        <v>0</v>
      </c>
      <c r="AW131" s="7">
        <v>0</v>
      </c>
      <c r="AX131" s="7">
        <v>0</v>
      </c>
      <c r="AY131" s="7">
        <v>0</v>
      </c>
      <c r="AZ131" s="7">
        <v>0</v>
      </c>
      <c r="BA131" s="7">
        <v>0</v>
      </c>
      <c r="BB131" s="7">
        <v>0</v>
      </c>
      <c r="BC131" s="7">
        <v>0</v>
      </c>
      <c r="BD131" s="7">
        <v>0</v>
      </c>
      <c r="BE131" s="7">
        <v>0</v>
      </c>
      <c r="BF131" s="7">
        <v>0</v>
      </c>
      <c r="BG131" s="7">
        <v>0</v>
      </c>
      <c r="BH131" s="7">
        <v>0</v>
      </c>
      <c r="BI131" s="7">
        <v>0</v>
      </c>
      <c r="BJ131" s="7">
        <v>0</v>
      </c>
      <c r="BK131" s="7">
        <v>0</v>
      </c>
      <c r="BL131" s="7">
        <v>1</v>
      </c>
      <c r="BM131" s="7">
        <v>1</v>
      </c>
      <c r="BN131" s="7">
        <v>1</v>
      </c>
      <c r="BO131" s="7">
        <v>1</v>
      </c>
      <c r="BP131" s="7">
        <v>1</v>
      </c>
      <c r="BQ131" s="7">
        <v>1</v>
      </c>
      <c r="BR131" s="7">
        <v>1</v>
      </c>
      <c r="BS131" s="7">
        <v>1</v>
      </c>
      <c r="BT131" s="7">
        <v>1</v>
      </c>
      <c r="BU131" s="7">
        <v>1</v>
      </c>
      <c r="BV131" s="7">
        <v>1</v>
      </c>
      <c r="BW131" s="7">
        <v>1</v>
      </c>
      <c r="BX131" s="7">
        <v>0</v>
      </c>
      <c r="BY131" s="7">
        <v>0</v>
      </c>
      <c r="BZ131" s="7">
        <v>0</v>
      </c>
      <c r="CA131" s="7">
        <v>0</v>
      </c>
      <c r="CB131" s="7">
        <v>0</v>
      </c>
      <c r="CC131" s="7">
        <v>0</v>
      </c>
      <c r="CD131" s="7">
        <v>0</v>
      </c>
      <c r="CE131" s="7">
        <v>0</v>
      </c>
      <c r="CF131" s="7">
        <v>0</v>
      </c>
      <c r="CG131" s="7">
        <v>0</v>
      </c>
      <c r="CH131" s="7">
        <v>0</v>
      </c>
      <c r="CI131" s="7">
        <v>0</v>
      </c>
    </row>
    <row r="132" spans="1:87">
      <c r="B132" s="499" t="s">
        <v>82</v>
      </c>
      <c r="C132" s="499" t="s">
        <v>67</v>
      </c>
      <c r="D132" s="7">
        <v>1</v>
      </c>
      <c r="E132" s="7">
        <v>1</v>
      </c>
      <c r="F132" s="7">
        <v>1</v>
      </c>
      <c r="G132" s="7">
        <v>1</v>
      </c>
      <c r="H132" s="7">
        <v>1</v>
      </c>
      <c r="I132" s="7">
        <v>1</v>
      </c>
      <c r="J132" s="7">
        <v>1</v>
      </c>
      <c r="K132" s="7">
        <v>1</v>
      </c>
      <c r="L132" s="7">
        <v>1</v>
      </c>
      <c r="M132" s="7">
        <v>1</v>
      </c>
      <c r="N132" s="7">
        <v>1</v>
      </c>
      <c r="O132" s="7">
        <v>1</v>
      </c>
      <c r="P132" s="7">
        <v>0</v>
      </c>
      <c r="Q132" s="7">
        <v>0</v>
      </c>
      <c r="R132" s="7">
        <v>0</v>
      </c>
      <c r="S132" s="7">
        <v>0</v>
      </c>
      <c r="T132" s="7">
        <v>0</v>
      </c>
      <c r="U132" s="7">
        <v>0</v>
      </c>
      <c r="V132" s="7">
        <v>0</v>
      </c>
      <c r="W132" s="7">
        <v>0</v>
      </c>
      <c r="X132" s="7">
        <v>0</v>
      </c>
      <c r="Y132" s="7">
        <v>0</v>
      </c>
      <c r="Z132" s="7">
        <v>0</v>
      </c>
      <c r="AA132" s="7">
        <v>0</v>
      </c>
      <c r="AB132" s="7">
        <v>0</v>
      </c>
      <c r="AC132" s="7">
        <v>0</v>
      </c>
      <c r="AD132" s="7">
        <v>0</v>
      </c>
      <c r="AE132" s="7">
        <v>0</v>
      </c>
      <c r="AF132" s="7">
        <v>0</v>
      </c>
      <c r="AG132" s="7">
        <v>0</v>
      </c>
      <c r="AH132" s="7">
        <v>0</v>
      </c>
      <c r="AI132" s="7">
        <v>0</v>
      </c>
      <c r="AJ132" s="7">
        <v>0</v>
      </c>
      <c r="AK132" s="7">
        <v>0</v>
      </c>
      <c r="AL132" s="7">
        <v>0</v>
      </c>
      <c r="AM132" s="7">
        <v>0</v>
      </c>
      <c r="AN132" s="7">
        <v>0</v>
      </c>
      <c r="AO132" s="7">
        <v>0</v>
      </c>
      <c r="AP132" s="7">
        <v>0</v>
      </c>
      <c r="AQ132" s="7">
        <v>0</v>
      </c>
      <c r="AR132" s="7">
        <v>0</v>
      </c>
      <c r="AS132" s="7">
        <v>0</v>
      </c>
      <c r="AT132" s="7">
        <v>0</v>
      </c>
      <c r="AU132" s="7">
        <v>0</v>
      </c>
      <c r="AV132" s="7">
        <v>0</v>
      </c>
      <c r="AW132" s="7">
        <v>0</v>
      </c>
      <c r="AX132" s="7">
        <v>0</v>
      </c>
      <c r="AY132" s="7">
        <v>0</v>
      </c>
      <c r="AZ132" s="7">
        <v>0</v>
      </c>
      <c r="BA132" s="7">
        <v>0</v>
      </c>
      <c r="BB132" s="7">
        <v>0</v>
      </c>
      <c r="BC132" s="7">
        <v>0</v>
      </c>
      <c r="BD132" s="7">
        <v>0</v>
      </c>
      <c r="BE132" s="7">
        <v>0</v>
      </c>
      <c r="BF132" s="7">
        <v>0</v>
      </c>
      <c r="BG132" s="7">
        <v>0</v>
      </c>
      <c r="BH132" s="7">
        <v>0</v>
      </c>
      <c r="BI132" s="7">
        <v>0</v>
      </c>
      <c r="BJ132" s="7">
        <v>0</v>
      </c>
      <c r="BK132" s="7">
        <v>0</v>
      </c>
      <c r="BL132" s="7">
        <v>1</v>
      </c>
      <c r="BM132" s="7">
        <v>1</v>
      </c>
      <c r="BN132" s="7">
        <v>1</v>
      </c>
      <c r="BO132" s="7">
        <v>1</v>
      </c>
      <c r="BP132" s="7">
        <v>1</v>
      </c>
      <c r="BQ132" s="7">
        <v>1</v>
      </c>
      <c r="BR132" s="7">
        <v>1</v>
      </c>
      <c r="BS132" s="7">
        <v>1</v>
      </c>
      <c r="BT132" s="7">
        <v>1</v>
      </c>
      <c r="BU132" s="7">
        <v>1</v>
      </c>
      <c r="BV132" s="7">
        <v>1</v>
      </c>
      <c r="BW132" s="7">
        <v>1</v>
      </c>
      <c r="BX132" s="7">
        <v>0</v>
      </c>
      <c r="BY132" s="7">
        <v>0</v>
      </c>
      <c r="BZ132" s="7">
        <v>0</v>
      </c>
      <c r="CA132" s="7">
        <v>0</v>
      </c>
      <c r="CB132" s="7">
        <v>0</v>
      </c>
      <c r="CC132" s="7">
        <v>0</v>
      </c>
      <c r="CD132" s="7">
        <v>0</v>
      </c>
      <c r="CE132" s="7">
        <v>0</v>
      </c>
      <c r="CF132" s="7">
        <v>0</v>
      </c>
      <c r="CG132" s="7">
        <v>0</v>
      </c>
      <c r="CH132" s="7">
        <v>0</v>
      </c>
      <c r="CI132" s="7">
        <v>0</v>
      </c>
    </row>
    <row r="133" spans="1:87">
      <c r="B133" s="499" t="s">
        <v>84</v>
      </c>
      <c r="C133" s="499" t="s">
        <v>63</v>
      </c>
      <c r="D133" s="7">
        <v>1</v>
      </c>
      <c r="E133" s="7">
        <v>1</v>
      </c>
      <c r="F133" s="7">
        <v>1</v>
      </c>
      <c r="G133" s="7">
        <v>1</v>
      </c>
      <c r="H133" s="7">
        <v>1</v>
      </c>
      <c r="I133" s="7">
        <v>1</v>
      </c>
      <c r="J133" s="7">
        <v>1</v>
      </c>
      <c r="K133" s="7">
        <v>1</v>
      </c>
      <c r="L133" s="7">
        <v>1</v>
      </c>
      <c r="M133" s="7">
        <v>1</v>
      </c>
      <c r="N133" s="7">
        <v>1</v>
      </c>
      <c r="O133" s="7">
        <v>1</v>
      </c>
      <c r="P133" s="7">
        <v>0</v>
      </c>
      <c r="Q133" s="7">
        <v>0</v>
      </c>
      <c r="R133" s="7">
        <v>0</v>
      </c>
      <c r="S133" s="7">
        <v>0</v>
      </c>
      <c r="T133" s="7">
        <v>0</v>
      </c>
      <c r="U133" s="7">
        <v>0</v>
      </c>
      <c r="V133" s="7">
        <v>0</v>
      </c>
      <c r="W133" s="7">
        <v>0</v>
      </c>
      <c r="X133" s="7">
        <v>0</v>
      </c>
      <c r="Y133" s="7">
        <v>0</v>
      </c>
      <c r="Z133" s="7">
        <v>0</v>
      </c>
      <c r="AA133" s="7">
        <v>0</v>
      </c>
      <c r="AB133" s="7">
        <v>0</v>
      </c>
      <c r="AC133" s="7">
        <v>0</v>
      </c>
      <c r="AD133" s="7">
        <v>0</v>
      </c>
      <c r="AE133" s="7">
        <v>0</v>
      </c>
      <c r="AF133" s="7">
        <v>0</v>
      </c>
      <c r="AG133" s="7">
        <v>0</v>
      </c>
      <c r="AH133" s="7">
        <v>0</v>
      </c>
      <c r="AI133" s="7">
        <v>0</v>
      </c>
      <c r="AJ133" s="7">
        <v>0</v>
      </c>
      <c r="AK133" s="7">
        <v>0</v>
      </c>
      <c r="AL133" s="7">
        <v>0</v>
      </c>
      <c r="AM133" s="7">
        <v>0</v>
      </c>
      <c r="AN133" s="7">
        <v>0</v>
      </c>
      <c r="AO133" s="7">
        <v>0</v>
      </c>
      <c r="AP133" s="7">
        <v>0</v>
      </c>
      <c r="AQ133" s="7">
        <v>0</v>
      </c>
      <c r="AR133" s="7">
        <v>0</v>
      </c>
      <c r="AS133" s="7">
        <v>0</v>
      </c>
      <c r="AT133" s="7">
        <v>0</v>
      </c>
      <c r="AU133" s="7">
        <v>0</v>
      </c>
      <c r="AV133" s="7">
        <v>0</v>
      </c>
      <c r="AW133" s="7">
        <v>0</v>
      </c>
      <c r="AX133" s="7">
        <v>0</v>
      </c>
      <c r="AY133" s="7">
        <v>0</v>
      </c>
      <c r="AZ133" s="7">
        <v>0</v>
      </c>
      <c r="BA133" s="7">
        <v>0</v>
      </c>
      <c r="BB133" s="7">
        <v>0</v>
      </c>
      <c r="BC133" s="7">
        <v>0</v>
      </c>
      <c r="BD133" s="7">
        <v>0</v>
      </c>
      <c r="BE133" s="7">
        <v>0</v>
      </c>
      <c r="BF133" s="7">
        <v>0</v>
      </c>
      <c r="BG133" s="7">
        <v>0</v>
      </c>
      <c r="BH133" s="7">
        <v>0</v>
      </c>
      <c r="BI133" s="7">
        <v>0</v>
      </c>
      <c r="BJ133" s="7">
        <v>0</v>
      </c>
      <c r="BK133" s="7">
        <v>0</v>
      </c>
      <c r="BL133" s="7">
        <v>1</v>
      </c>
      <c r="BM133" s="7">
        <v>1</v>
      </c>
      <c r="BN133" s="7">
        <v>1</v>
      </c>
      <c r="BO133" s="7">
        <v>1</v>
      </c>
      <c r="BP133" s="7">
        <v>1</v>
      </c>
      <c r="BQ133" s="7">
        <v>1</v>
      </c>
      <c r="BR133" s="7">
        <v>1</v>
      </c>
      <c r="BS133" s="7">
        <v>1</v>
      </c>
      <c r="BT133" s="7">
        <v>1</v>
      </c>
      <c r="BU133" s="7">
        <v>1</v>
      </c>
      <c r="BV133" s="7">
        <v>1</v>
      </c>
      <c r="BW133" s="7">
        <v>1</v>
      </c>
      <c r="BX133" s="7">
        <v>0</v>
      </c>
      <c r="BY133" s="7">
        <v>0</v>
      </c>
      <c r="BZ133" s="7">
        <v>0</v>
      </c>
      <c r="CA133" s="7">
        <v>0</v>
      </c>
      <c r="CB133" s="7">
        <v>0</v>
      </c>
      <c r="CC133" s="7">
        <v>0</v>
      </c>
      <c r="CD133" s="7">
        <v>0</v>
      </c>
      <c r="CE133" s="7">
        <v>0</v>
      </c>
      <c r="CF133" s="7">
        <v>0</v>
      </c>
      <c r="CG133" s="7">
        <v>0</v>
      </c>
      <c r="CH133" s="7">
        <v>0</v>
      </c>
      <c r="CI133" s="7">
        <v>0</v>
      </c>
    </row>
    <row r="134" spans="1:87">
      <c r="B134" s="499" t="s">
        <v>86</v>
      </c>
      <c r="C134" s="499" t="s">
        <v>64</v>
      </c>
      <c r="D134" s="7">
        <v>1</v>
      </c>
      <c r="E134" s="7">
        <v>1</v>
      </c>
      <c r="F134" s="7">
        <v>1</v>
      </c>
      <c r="G134" s="7">
        <v>1</v>
      </c>
      <c r="H134" s="7">
        <v>1</v>
      </c>
      <c r="I134" s="7">
        <v>1</v>
      </c>
      <c r="J134" s="7">
        <v>1</v>
      </c>
      <c r="K134" s="7">
        <v>1</v>
      </c>
      <c r="L134" s="7">
        <v>1</v>
      </c>
      <c r="M134" s="7">
        <v>1</v>
      </c>
      <c r="N134" s="7">
        <v>1</v>
      </c>
      <c r="O134" s="7">
        <v>1</v>
      </c>
      <c r="P134" s="7">
        <v>0</v>
      </c>
      <c r="Q134" s="7">
        <v>0</v>
      </c>
      <c r="R134" s="7">
        <v>0</v>
      </c>
      <c r="S134" s="7">
        <v>0</v>
      </c>
      <c r="T134" s="7">
        <v>0</v>
      </c>
      <c r="U134" s="7">
        <v>0</v>
      </c>
      <c r="V134" s="7">
        <v>0</v>
      </c>
      <c r="W134" s="7">
        <v>0</v>
      </c>
      <c r="X134" s="7">
        <v>0</v>
      </c>
      <c r="Y134" s="7">
        <v>0</v>
      </c>
      <c r="Z134" s="7">
        <v>0</v>
      </c>
      <c r="AA134" s="7">
        <v>0</v>
      </c>
      <c r="AB134" s="7">
        <v>0</v>
      </c>
      <c r="AC134" s="7">
        <v>0</v>
      </c>
      <c r="AD134" s="7">
        <v>0</v>
      </c>
      <c r="AE134" s="7">
        <v>0</v>
      </c>
      <c r="AF134" s="7">
        <v>0</v>
      </c>
      <c r="AG134" s="7">
        <v>0</v>
      </c>
      <c r="AH134" s="7">
        <v>0</v>
      </c>
      <c r="AI134" s="7">
        <v>0</v>
      </c>
      <c r="AJ134" s="7">
        <v>0</v>
      </c>
      <c r="AK134" s="7">
        <v>0</v>
      </c>
      <c r="AL134" s="7">
        <v>0</v>
      </c>
      <c r="AM134" s="7">
        <v>0</v>
      </c>
      <c r="AN134" s="7">
        <v>0</v>
      </c>
      <c r="AO134" s="7">
        <v>0</v>
      </c>
      <c r="AP134" s="7">
        <v>0</v>
      </c>
      <c r="AQ134" s="7">
        <v>0</v>
      </c>
      <c r="AR134" s="7">
        <v>0</v>
      </c>
      <c r="AS134" s="7">
        <v>0</v>
      </c>
      <c r="AT134" s="7">
        <v>0</v>
      </c>
      <c r="AU134" s="7">
        <v>0</v>
      </c>
      <c r="AV134" s="7">
        <v>0</v>
      </c>
      <c r="AW134" s="7">
        <v>0</v>
      </c>
      <c r="AX134" s="7">
        <v>0</v>
      </c>
      <c r="AY134" s="7">
        <v>0</v>
      </c>
      <c r="AZ134" s="7">
        <v>0</v>
      </c>
      <c r="BA134" s="7">
        <v>0</v>
      </c>
      <c r="BB134" s="7">
        <v>0</v>
      </c>
      <c r="BC134" s="7">
        <v>0</v>
      </c>
      <c r="BD134" s="7">
        <v>0</v>
      </c>
      <c r="BE134" s="7">
        <v>0</v>
      </c>
      <c r="BF134" s="7">
        <v>0</v>
      </c>
      <c r="BG134" s="7">
        <v>0</v>
      </c>
      <c r="BH134" s="7">
        <v>0</v>
      </c>
      <c r="BI134" s="7">
        <v>0</v>
      </c>
      <c r="BJ134" s="7">
        <v>0</v>
      </c>
      <c r="BK134" s="7">
        <v>0</v>
      </c>
      <c r="BL134" s="7">
        <v>1</v>
      </c>
      <c r="BM134" s="7">
        <v>1</v>
      </c>
      <c r="BN134" s="7">
        <v>1</v>
      </c>
      <c r="BO134" s="7">
        <v>1</v>
      </c>
      <c r="BP134" s="7">
        <v>1</v>
      </c>
      <c r="BQ134" s="7">
        <v>1</v>
      </c>
      <c r="BR134" s="7">
        <v>1</v>
      </c>
      <c r="BS134" s="7">
        <v>1</v>
      </c>
      <c r="BT134" s="7">
        <v>1</v>
      </c>
      <c r="BU134" s="7">
        <v>1</v>
      </c>
      <c r="BV134" s="7">
        <v>1</v>
      </c>
      <c r="BW134" s="7">
        <v>1</v>
      </c>
      <c r="BX134" s="7">
        <v>0</v>
      </c>
      <c r="BY134" s="7">
        <v>0</v>
      </c>
      <c r="BZ134" s="7">
        <v>0</v>
      </c>
      <c r="CA134" s="7">
        <v>0</v>
      </c>
      <c r="CB134" s="7">
        <v>0</v>
      </c>
      <c r="CC134" s="7">
        <v>0</v>
      </c>
      <c r="CD134" s="7">
        <v>0</v>
      </c>
      <c r="CE134" s="7">
        <v>0</v>
      </c>
      <c r="CF134" s="7">
        <v>0</v>
      </c>
      <c r="CG134" s="7">
        <v>0</v>
      </c>
      <c r="CH134" s="7">
        <v>0</v>
      </c>
      <c r="CI134" s="7">
        <v>0</v>
      </c>
    </row>
    <row r="135" spans="1:87">
      <c r="B135" s="499" t="s">
        <v>88</v>
      </c>
      <c r="C135" s="499" t="s">
        <v>65</v>
      </c>
      <c r="D135" s="7">
        <v>1</v>
      </c>
      <c r="E135" s="7">
        <v>1</v>
      </c>
      <c r="F135" s="7">
        <v>1</v>
      </c>
      <c r="G135" s="7">
        <v>1</v>
      </c>
      <c r="H135" s="7">
        <v>1</v>
      </c>
      <c r="I135" s="7">
        <v>1</v>
      </c>
      <c r="J135" s="7">
        <v>1</v>
      </c>
      <c r="K135" s="7">
        <v>1</v>
      </c>
      <c r="L135" s="7">
        <v>1</v>
      </c>
      <c r="M135" s="7">
        <v>1</v>
      </c>
      <c r="N135" s="7">
        <v>1</v>
      </c>
      <c r="O135" s="7">
        <v>1</v>
      </c>
      <c r="P135" s="7">
        <v>0</v>
      </c>
      <c r="Q135" s="7">
        <v>0</v>
      </c>
      <c r="R135" s="7">
        <v>0</v>
      </c>
      <c r="S135" s="7">
        <v>0</v>
      </c>
      <c r="T135" s="7">
        <v>0</v>
      </c>
      <c r="U135" s="7">
        <v>0</v>
      </c>
      <c r="V135" s="7">
        <v>0</v>
      </c>
      <c r="W135" s="7">
        <v>0</v>
      </c>
      <c r="X135" s="7">
        <v>0</v>
      </c>
      <c r="Y135" s="7">
        <v>0</v>
      </c>
      <c r="Z135" s="7">
        <v>0</v>
      </c>
      <c r="AA135" s="7">
        <v>0</v>
      </c>
      <c r="AB135" s="7">
        <v>0</v>
      </c>
      <c r="AC135" s="7">
        <v>0</v>
      </c>
      <c r="AD135" s="7">
        <v>0</v>
      </c>
      <c r="AE135" s="7">
        <v>0</v>
      </c>
      <c r="AF135" s="7">
        <v>0</v>
      </c>
      <c r="AG135" s="7">
        <v>0</v>
      </c>
      <c r="AH135" s="7">
        <v>0</v>
      </c>
      <c r="AI135" s="7">
        <v>0</v>
      </c>
      <c r="AJ135" s="7">
        <v>0</v>
      </c>
      <c r="AK135" s="7">
        <v>0</v>
      </c>
      <c r="AL135" s="7">
        <v>0</v>
      </c>
      <c r="AM135" s="7">
        <v>0</v>
      </c>
      <c r="AN135" s="7">
        <v>0</v>
      </c>
      <c r="AO135" s="7">
        <v>0</v>
      </c>
      <c r="AP135" s="7">
        <v>0</v>
      </c>
      <c r="AQ135" s="7">
        <v>0</v>
      </c>
      <c r="AR135" s="7">
        <v>0</v>
      </c>
      <c r="AS135" s="7">
        <v>0</v>
      </c>
      <c r="AT135" s="7">
        <v>0</v>
      </c>
      <c r="AU135" s="7">
        <v>0</v>
      </c>
      <c r="AV135" s="7">
        <v>0</v>
      </c>
      <c r="AW135" s="7">
        <v>0</v>
      </c>
      <c r="AX135" s="7">
        <v>0</v>
      </c>
      <c r="AY135" s="7">
        <v>0</v>
      </c>
      <c r="AZ135" s="7">
        <v>0</v>
      </c>
      <c r="BA135" s="7">
        <v>0</v>
      </c>
      <c r="BB135" s="7">
        <v>0</v>
      </c>
      <c r="BC135" s="7">
        <v>0</v>
      </c>
      <c r="BD135" s="7">
        <v>0</v>
      </c>
      <c r="BE135" s="7">
        <v>0</v>
      </c>
      <c r="BF135" s="7">
        <v>0</v>
      </c>
      <c r="BG135" s="7">
        <v>0</v>
      </c>
      <c r="BH135" s="7">
        <v>0</v>
      </c>
      <c r="BI135" s="7">
        <v>0</v>
      </c>
      <c r="BJ135" s="7">
        <v>0</v>
      </c>
      <c r="BK135" s="7">
        <v>0</v>
      </c>
      <c r="BL135" s="7">
        <v>1</v>
      </c>
      <c r="BM135" s="7">
        <v>1</v>
      </c>
      <c r="BN135" s="7">
        <v>1</v>
      </c>
      <c r="BO135" s="7">
        <v>1</v>
      </c>
      <c r="BP135" s="7">
        <v>1</v>
      </c>
      <c r="BQ135" s="7">
        <v>1</v>
      </c>
      <c r="BR135" s="7">
        <v>1</v>
      </c>
      <c r="BS135" s="7">
        <v>1</v>
      </c>
      <c r="BT135" s="7">
        <v>1</v>
      </c>
      <c r="BU135" s="7">
        <v>1</v>
      </c>
      <c r="BV135" s="7">
        <v>1</v>
      </c>
      <c r="BW135" s="7">
        <v>1</v>
      </c>
      <c r="BX135" s="7">
        <v>0</v>
      </c>
      <c r="BY135" s="7">
        <v>0</v>
      </c>
      <c r="BZ135" s="7">
        <v>0</v>
      </c>
      <c r="CA135" s="7">
        <v>0</v>
      </c>
      <c r="CB135" s="7">
        <v>0</v>
      </c>
      <c r="CC135" s="7">
        <v>0</v>
      </c>
      <c r="CD135" s="7">
        <v>0</v>
      </c>
      <c r="CE135" s="7">
        <v>0</v>
      </c>
      <c r="CF135" s="7">
        <v>0</v>
      </c>
      <c r="CG135" s="7">
        <v>0</v>
      </c>
      <c r="CH135" s="7">
        <v>0</v>
      </c>
      <c r="CI135" s="7">
        <v>0</v>
      </c>
    </row>
    <row r="138" spans="1:87">
      <c r="A138" s="1" t="s">
        <v>189</v>
      </c>
    </row>
    <row r="139" spans="1:87">
      <c r="B139" s="6"/>
      <c r="C139" s="6" t="s">
        <v>190</v>
      </c>
      <c r="D139" s="6" t="s">
        <v>176</v>
      </c>
      <c r="E139" s="6" t="s">
        <v>177</v>
      </c>
      <c r="F139" s="6" t="s">
        <v>178</v>
      </c>
      <c r="G139" s="6" t="s">
        <v>12</v>
      </c>
      <c r="H139" s="6" t="s">
        <v>191</v>
      </c>
      <c r="I139" s="6" t="s">
        <v>192</v>
      </c>
      <c r="K139" s="6" t="s">
        <v>12</v>
      </c>
    </row>
    <row r="140" spans="1:87">
      <c r="B140" s="499" t="s">
        <v>193</v>
      </c>
      <c r="C140" s="426">
        <f>1-S.AdRvr!H5</f>
        <v>0.42407160938437849</v>
      </c>
      <c r="D140" s="7">
        <v>0</v>
      </c>
      <c r="E140" s="7">
        <v>0</v>
      </c>
      <c r="F140" s="7">
        <v>0</v>
      </c>
      <c r="G140" s="416">
        <v>0.127</v>
      </c>
      <c r="H140" s="7">
        <v>0</v>
      </c>
      <c r="I140" s="7">
        <v>0</v>
      </c>
      <c r="K140" s="416">
        <v>0.127</v>
      </c>
      <c r="L140" s="499" t="s">
        <v>846</v>
      </c>
    </row>
    <row r="141" spans="1:87">
      <c r="B141" s="499" t="s">
        <v>194</v>
      </c>
      <c r="C141" s="7">
        <v>0</v>
      </c>
      <c r="D141" s="7">
        <v>0</v>
      </c>
      <c r="E141" s="7">
        <v>0</v>
      </c>
      <c r="F141" s="7">
        <v>0</v>
      </c>
      <c r="G141" s="7">
        <v>0</v>
      </c>
      <c r="H141" s="7">
        <v>0</v>
      </c>
      <c r="I141" s="7">
        <v>0</v>
      </c>
      <c r="K141" s="7">
        <v>0</v>
      </c>
    </row>
    <row r="145" spans="1:12">
      <c r="A145" s="1" t="s">
        <v>195</v>
      </c>
      <c r="B145" s="1"/>
      <c r="C145" s="1"/>
    </row>
    <row r="146" spans="1:12">
      <c r="B146" s="6" t="s">
        <v>196</v>
      </c>
      <c r="C146" s="6"/>
      <c r="D146" s="6"/>
      <c r="E146" s="6"/>
      <c r="F146" s="6"/>
    </row>
    <row r="147" spans="1:12">
      <c r="B147" s="499" t="s">
        <v>63</v>
      </c>
      <c r="C147" s="499" t="s">
        <v>64</v>
      </c>
      <c r="D147" s="499" t="s">
        <v>197</v>
      </c>
      <c r="E147" s="499" t="s">
        <v>66</v>
      </c>
    </row>
    <row r="148" spans="1:12">
      <c r="B148" s="7">
        <v>0</v>
      </c>
      <c r="C148" s="7">
        <v>0</v>
      </c>
      <c r="D148" s="7">
        <v>0</v>
      </c>
      <c r="E148" s="7">
        <v>0</v>
      </c>
    </row>
    <row r="151" spans="1:12">
      <c r="A151" s="1" t="s">
        <v>198</v>
      </c>
    </row>
    <row r="152" spans="1:12">
      <c r="B152" s="6" t="s">
        <v>199</v>
      </c>
      <c r="C152" s="6" t="s">
        <v>200</v>
      </c>
      <c r="D152" s="6" t="s">
        <v>188</v>
      </c>
      <c r="E152" s="6" t="s">
        <v>67</v>
      </c>
      <c r="F152" s="6" t="s">
        <v>63</v>
      </c>
      <c r="G152" s="6" t="s">
        <v>197</v>
      </c>
      <c r="H152" s="6" t="s">
        <v>66</v>
      </c>
      <c r="I152" s="6" t="s">
        <v>201</v>
      </c>
    </row>
    <row r="153" spans="1:12">
      <c r="B153" s="499" t="s">
        <v>202</v>
      </c>
      <c r="C153" s="499" t="s">
        <v>203</v>
      </c>
      <c r="D153" s="7">
        <v>1</v>
      </c>
      <c r="E153" s="7">
        <v>1</v>
      </c>
      <c r="F153" s="7">
        <v>1</v>
      </c>
      <c r="G153" s="7">
        <v>1</v>
      </c>
      <c r="H153" s="7">
        <v>1</v>
      </c>
      <c r="I153" s="7">
        <v>1</v>
      </c>
      <c r="J153" s="5" t="s">
        <v>204</v>
      </c>
      <c r="K153" s="5"/>
      <c r="L153" s="5"/>
    </row>
    <row r="154" spans="1:12">
      <c r="B154" s="499" t="s">
        <v>205</v>
      </c>
      <c r="C154" s="499" t="s">
        <v>206</v>
      </c>
      <c r="D154" s="7">
        <v>1</v>
      </c>
      <c r="E154" s="7">
        <v>1</v>
      </c>
      <c r="F154" s="7">
        <v>1</v>
      </c>
      <c r="G154" s="7">
        <v>1</v>
      </c>
      <c r="H154" s="7">
        <v>1</v>
      </c>
      <c r="I154" s="7">
        <v>1</v>
      </c>
      <c r="J154" s="5" t="s">
        <v>207</v>
      </c>
      <c r="K154" s="5"/>
      <c r="L154" s="5"/>
    </row>
    <row r="155" spans="1:12">
      <c r="B155" s="499" t="s">
        <v>208</v>
      </c>
      <c r="C155" s="499" t="s">
        <v>209</v>
      </c>
      <c r="D155" s="7">
        <v>1</v>
      </c>
      <c r="E155" s="7">
        <v>1</v>
      </c>
      <c r="F155" s="7">
        <v>1</v>
      </c>
      <c r="G155" s="7">
        <v>1</v>
      </c>
      <c r="H155" s="7">
        <v>1</v>
      </c>
      <c r="I155" s="7">
        <v>1</v>
      </c>
      <c r="J155" s="5" t="s">
        <v>210</v>
      </c>
      <c r="K155" s="5"/>
      <c r="L155" s="5"/>
    </row>
    <row r="156" spans="1:12">
      <c r="B156" s="499" t="s">
        <v>211</v>
      </c>
      <c r="C156" s="499" t="s">
        <v>212</v>
      </c>
      <c r="D156" s="7">
        <v>1</v>
      </c>
      <c r="E156" s="7">
        <v>1</v>
      </c>
      <c r="F156" s="7">
        <v>1</v>
      </c>
      <c r="G156" s="7">
        <v>1</v>
      </c>
      <c r="H156" s="7">
        <v>1</v>
      </c>
      <c r="I156" s="7">
        <v>1</v>
      </c>
    </row>
    <row r="157" spans="1:12">
      <c r="B157" s="499" t="s">
        <v>213</v>
      </c>
      <c r="C157" s="499" t="s">
        <v>214</v>
      </c>
      <c r="D157" s="7">
        <v>1</v>
      </c>
      <c r="E157" s="7">
        <v>1</v>
      </c>
      <c r="F157" s="7">
        <v>1</v>
      </c>
      <c r="G157" s="7">
        <v>1</v>
      </c>
      <c r="H157" s="7">
        <v>1</v>
      </c>
      <c r="I157" s="7">
        <v>1</v>
      </c>
    </row>
    <row r="158" spans="1:12">
      <c r="B158" s="499" t="s">
        <v>215</v>
      </c>
      <c r="C158" s="499" t="s">
        <v>216</v>
      </c>
      <c r="D158" s="7">
        <v>1</v>
      </c>
      <c r="E158" s="7">
        <v>1</v>
      </c>
      <c r="F158" s="7">
        <v>1</v>
      </c>
      <c r="G158" s="7">
        <v>1</v>
      </c>
      <c r="H158" s="7">
        <v>1</v>
      </c>
      <c r="I158" s="7">
        <v>1</v>
      </c>
    </row>
    <row r="159" spans="1:12">
      <c r="B159" s="499" t="s">
        <v>217</v>
      </c>
      <c r="C159" s="499" t="s">
        <v>218</v>
      </c>
      <c r="D159" s="7">
        <v>1</v>
      </c>
      <c r="E159" s="7">
        <v>1</v>
      </c>
      <c r="F159" s="7">
        <v>1</v>
      </c>
      <c r="G159" s="7">
        <v>1</v>
      </c>
      <c r="H159" s="7">
        <v>1</v>
      </c>
      <c r="I159" s="7">
        <v>1</v>
      </c>
    </row>
    <row r="160" spans="1:12">
      <c r="B160" s="499" t="s">
        <v>219</v>
      </c>
      <c r="C160" s="499" t="s">
        <v>220</v>
      </c>
      <c r="D160" s="7">
        <v>1</v>
      </c>
      <c r="E160" s="7">
        <v>1</v>
      </c>
      <c r="F160" s="7">
        <v>1</v>
      </c>
      <c r="G160" s="7">
        <v>1</v>
      </c>
      <c r="H160" s="7">
        <v>1</v>
      </c>
      <c r="I160" s="7">
        <v>1</v>
      </c>
    </row>
    <row r="161" spans="1:13">
      <c r="B161" s="499" t="s">
        <v>221</v>
      </c>
      <c r="C161" s="499" t="s">
        <v>222</v>
      </c>
      <c r="D161" s="7">
        <v>1</v>
      </c>
      <c r="E161" s="7">
        <v>1</v>
      </c>
      <c r="F161" s="7">
        <v>1</v>
      </c>
      <c r="G161" s="7">
        <v>1</v>
      </c>
      <c r="H161" s="7">
        <v>1</v>
      </c>
      <c r="I161" s="7">
        <v>1</v>
      </c>
    </row>
    <row r="162" spans="1:13">
      <c r="B162" s="499" t="s">
        <v>223</v>
      </c>
      <c r="C162" s="499" t="s">
        <v>224</v>
      </c>
      <c r="D162" s="7">
        <v>1</v>
      </c>
      <c r="E162" s="7">
        <v>1</v>
      </c>
      <c r="F162" s="7">
        <v>1</v>
      </c>
      <c r="G162" s="7">
        <v>1</v>
      </c>
      <c r="H162" s="7">
        <v>1</v>
      </c>
      <c r="I162" s="7">
        <v>1</v>
      </c>
    </row>
    <row r="163" spans="1:13">
      <c r="B163" s="499" t="s">
        <v>225</v>
      </c>
      <c r="C163" s="499" t="s">
        <v>226</v>
      </c>
      <c r="D163" s="7">
        <v>1</v>
      </c>
      <c r="E163" s="7">
        <v>1</v>
      </c>
      <c r="F163" s="7">
        <v>1</v>
      </c>
      <c r="G163" s="7">
        <v>1</v>
      </c>
      <c r="H163" s="7">
        <v>1</v>
      </c>
      <c r="I163" s="7">
        <v>1</v>
      </c>
    </row>
    <row r="166" spans="1:13">
      <c r="A166" s="1" t="s">
        <v>227</v>
      </c>
      <c r="B166" s="1"/>
      <c r="C166" s="1"/>
      <c r="D166" s="1"/>
      <c r="E166" s="1"/>
    </row>
    <row r="167" spans="1:13">
      <c r="B167" s="13"/>
      <c r="C167" s="13"/>
      <c r="D167" s="13" t="s">
        <v>228</v>
      </c>
      <c r="E167" s="13"/>
      <c r="F167" s="13"/>
      <c r="G167" s="13"/>
      <c r="H167" s="13"/>
      <c r="I167" s="13"/>
      <c r="J167" s="13"/>
      <c r="K167" s="13"/>
      <c r="L167" s="13"/>
      <c r="M167" s="13"/>
    </row>
    <row r="168" spans="1:13">
      <c r="B168" s="6" t="s">
        <v>199</v>
      </c>
      <c r="C168" s="6" t="s">
        <v>200</v>
      </c>
      <c r="D168" s="6">
        <v>1</v>
      </c>
      <c r="E168" s="6">
        <v>2</v>
      </c>
      <c r="F168" s="6">
        <v>3</v>
      </c>
      <c r="G168" s="6">
        <v>4</v>
      </c>
      <c r="H168" s="6">
        <v>5</v>
      </c>
      <c r="I168" s="6">
        <v>6</v>
      </c>
      <c r="J168" s="6">
        <v>7</v>
      </c>
      <c r="K168" s="6">
        <v>8</v>
      </c>
      <c r="L168" s="6">
        <v>9</v>
      </c>
      <c r="M168" s="6">
        <v>10</v>
      </c>
    </row>
    <row r="169" spans="1:13">
      <c r="B169" s="499" t="s">
        <v>202</v>
      </c>
      <c r="C169" s="499" t="s">
        <v>203</v>
      </c>
      <c r="D169" s="267">
        <f>f!C11</f>
        <v>4090.9228635271579</v>
      </c>
      <c r="E169" s="267">
        <f>f!C12</f>
        <v>7021.3100064774535</v>
      </c>
      <c r="F169" s="267">
        <f>f!C13</f>
        <v>10170.074024482548</v>
      </c>
      <c r="G169" s="267">
        <f>f!C13</f>
        <v>10170.074024482548</v>
      </c>
      <c r="H169" s="267">
        <f>f!C13</f>
        <v>10170.074024482548</v>
      </c>
      <c r="I169" s="267">
        <f>f!C13</f>
        <v>10170.074024482548</v>
      </c>
      <c r="J169" s="267">
        <f>f!C13</f>
        <v>10170.074024482548</v>
      </c>
      <c r="K169" s="267">
        <f>f!C13</f>
        <v>10170.074024482548</v>
      </c>
      <c r="L169" s="267">
        <f>f!C13</f>
        <v>10170.074024482548</v>
      </c>
      <c r="M169" s="267">
        <f>f!C13</f>
        <v>10170.074024482548</v>
      </c>
    </row>
    <row r="170" spans="1:13">
      <c r="B170" s="499" t="s">
        <v>205</v>
      </c>
      <c r="C170" s="499" t="s">
        <v>206</v>
      </c>
      <c r="D170" s="7">
        <v>4000</v>
      </c>
      <c r="E170" s="7">
        <v>7000</v>
      </c>
      <c r="F170" s="7">
        <v>10000</v>
      </c>
      <c r="G170" s="7">
        <v>10000</v>
      </c>
      <c r="H170" s="7">
        <v>10000</v>
      </c>
      <c r="I170" s="7">
        <v>10000</v>
      </c>
      <c r="J170" s="7">
        <v>10000</v>
      </c>
      <c r="K170" s="7">
        <v>10000</v>
      </c>
      <c r="L170" s="7">
        <v>10000</v>
      </c>
      <c r="M170" s="7">
        <v>10000</v>
      </c>
    </row>
    <row r="171" spans="1:13">
      <c r="B171" s="499" t="s">
        <v>208</v>
      </c>
      <c r="C171" s="499" t="s">
        <v>209</v>
      </c>
      <c r="D171" s="7">
        <v>4000</v>
      </c>
      <c r="E171" s="7">
        <v>7000</v>
      </c>
      <c r="F171" s="7">
        <v>10000</v>
      </c>
      <c r="G171" s="7">
        <v>10000</v>
      </c>
      <c r="H171" s="7">
        <v>10000</v>
      </c>
      <c r="I171" s="7">
        <v>10000</v>
      </c>
      <c r="J171" s="7">
        <v>10000</v>
      </c>
      <c r="K171" s="7">
        <v>10000</v>
      </c>
      <c r="L171" s="7">
        <v>10000</v>
      </c>
      <c r="M171" s="7">
        <v>10000</v>
      </c>
    </row>
    <row r="172" spans="1:13">
      <c r="B172" s="499" t="s">
        <v>211</v>
      </c>
      <c r="C172" s="499" t="s">
        <v>212</v>
      </c>
      <c r="D172" s="7">
        <v>4000</v>
      </c>
      <c r="E172" s="7">
        <v>7000</v>
      </c>
      <c r="F172" s="7">
        <v>10000</v>
      </c>
      <c r="G172" s="7">
        <v>10000</v>
      </c>
      <c r="H172" s="7">
        <v>10000</v>
      </c>
      <c r="I172" s="7">
        <v>10000</v>
      </c>
      <c r="J172" s="7">
        <v>10000</v>
      </c>
      <c r="K172" s="7">
        <v>10000</v>
      </c>
      <c r="L172" s="7">
        <v>10000</v>
      </c>
      <c r="M172" s="7">
        <v>10000</v>
      </c>
    </row>
    <row r="173" spans="1:13">
      <c r="B173" s="499" t="s">
        <v>213</v>
      </c>
      <c r="C173" s="499" t="s">
        <v>214</v>
      </c>
      <c r="D173" s="7">
        <v>4000</v>
      </c>
      <c r="E173" s="7">
        <v>7000</v>
      </c>
      <c r="F173" s="7">
        <v>10000</v>
      </c>
      <c r="G173" s="7">
        <v>10000</v>
      </c>
      <c r="H173" s="7">
        <v>10000</v>
      </c>
      <c r="I173" s="7">
        <v>10000</v>
      </c>
      <c r="J173" s="7">
        <v>10000</v>
      </c>
      <c r="K173" s="7">
        <v>10000</v>
      </c>
      <c r="L173" s="7">
        <v>10000</v>
      </c>
      <c r="M173" s="7">
        <v>10000</v>
      </c>
    </row>
    <row r="174" spans="1:13">
      <c r="B174" s="499" t="s">
        <v>215</v>
      </c>
      <c r="C174" s="499" t="s">
        <v>216</v>
      </c>
      <c r="D174" s="7">
        <v>4000</v>
      </c>
      <c r="E174" s="7">
        <v>7000</v>
      </c>
      <c r="F174" s="7">
        <v>10000</v>
      </c>
      <c r="G174" s="7">
        <v>10000</v>
      </c>
      <c r="H174" s="7">
        <v>10000</v>
      </c>
      <c r="I174" s="7">
        <v>10000</v>
      </c>
      <c r="J174" s="7">
        <v>10000</v>
      </c>
      <c r="K174" s="7">
        <v>10000</v>
      </c>
      <c r="L174" s="7">
        <v>10000</v>
      </c>
      <c r="M174" s="7">
        <v>10000</v>
      </c>
    </row>
    <row r="175" spans="1:13">
      <c r="B175" s="499" t="s">
        <v>217</v>
      </c>
      <c r="C175" s="499" t="s">
        <v>218</v>
      </c>
      <c r="D175" s="7">
        <v>4000</v>
      </c>
      <c r="E175" s="7">
        <v>7000</v>
      </c>
      <c r="F175" s="7">
        <v>10000</v>
      </c>
      <c r="G175" s="7">
        <v>10000</v>
      </c>
      <c r="H175" s="7">
        <v>10000</v>
      </c>
      <c r="I175" s="7">
        <v>10000</v>
      </c>
      <c r="J175" s="7">
        <v>10000</v>
      </c>
      <c r="K175" s="7">
        <v>10000</v>
      </c>
      <c r="L175" s="7">
        <v>10000</v>
      </c>
      <c r="M175" s="7">
        <v>10000</v>
      </c>
    </row>
    <row r="176" spans="1:13">
      <c r="B176" s="499" t="s">
        <v>219</v>
      </c>
      <c r="C176" s="499" t="s">
        <v>220</v>
      </c>
      <c r="D176" s="7">
        <v>4000</v>
      </c>
      <c r="E176" s="7">
        <v>7000</v>
      </c>
      <c r="F176" s="7">
        <v>10000</v>
      </c>
      <c r="G176" s="7">
        <v>10000</v>
      </c>
      <c r="H176" s="7">
        <v>10000</v>
      </c>
      <c r="I176" s="7">
        <v>10000</v>
      </c>
      <c r="J176" s="7">
        <v>10000</v>
      </c>
      <c r="K176" s="7">
        <v>10000</v>
      </c>
      <c r="L176" s="7">
        <v>10000</v>
      </c>
      <c r="M176" s="7">
        <v>10000</v>
      </c>
    </row>
    <row r="177" spans="1:23">
      <c r="B177" s="499" t="s">
        <v>221</v>
      </c>
      <c r="C177" s="499" t="s">
        <v>222</v>
      </c>
      <c r="D177" s="7">
        <v>4000</v>
      </c>
      <c r="E177" s="7">
        <v>7000</v>
      </c>
      <c r="F177" s="7">
        <v>10000</v>
      </c>
      <c r="G177" s="7">
        <v>10000</v>
      </c>
      <c r="H177" s="7">
        <v>10000</v>
      </c>
      <c r="I177" s="7">
        <v>10000</v>
      </c>
      <c r="J177" s="7">
        <v>10000</v>
      </c>
      <c r="K177" s="7">
        <v>10000</v>
      </c>
      <c r="L177" s="7">
        <v>10000</v>
      </c>
      <c r="M177" s="7">
        <v>10000</v>
      </c>
    </row>
    <row r="178" spans="1:23">
      <c r="B178" s="499" t="s">
        <v>223</v>
      </c>
      <c r="C178" s="499" t="s">
        <v>224</v>
      </c>
      <c r="D178" s="7">
        <v>4000</v>
      </c>
      <c r="E178" s="7">
        <v>7000</v>
      </c>
      <c r="F178" s="7">
        <v>10000</v>
      </c>
      <c r="G178" s="7">
        <v>10000</v>
      </c>
      <c r="H178" s="7">
        <v>10000</v>
      </c>
      <c r="I178" s="7">
        <v>10000</v>
      </c>
      <c r="J178" s="7">
        <v>10000</v>
      </c>
      <c r="K178" s="7">
        <v>10000</v>
      </c>
      <c r="L178" s="7">
        <v>10000</v>
      </c>
      <c r="M178" s="7">
        <v>10000</v>
      </c>
    </row>
    <row r="179" spans="1:23">
      <c r="B179" s="499" t="s">
        <v>225</v>
      </c>
      <c r="C179" s="499" t="s">
        <v>226</v>
      </c>
      <c r="D179" s="7">
        <v>4000</v>
      </c>
      <c r="E179" s="7">
        <v>7000</v>
      </c>
      <c r="F179" s="7">
        <v>10000</v>
      </c>
      <c r="G179" s="7">
        <v>10000</v>
      </c>
      <c r="H179" s="7">
        <v>10000</v>
      </c>
      <c r="I179" s="7">
        <v>10000</v>
      </c>
      <c r="J179" s="7">
        <v>10000</v>
      </c>
      <c r="K179" s="7">
        <v>10000</v>
      </c>
      <c r="L179" s="7">
        <v>10000</v>
      </c>
      <c r="M179" s="7">
        <v>10000</v>
      </c>
    </row>
    <row r="182" spans="1:23">
      <c r="A182" s="1" t="s">
        <v>229</v>
      </c>
      <c r="D182" s="499" t="s">
        <v>230</v>
      </c>
      <c r="E182" s="499" t="s">
        <v>230</v>
      </c>
      <c r="F182" s="499" t="s">
        <v>230</v>
      </c>
      <c r="G182" s="499" t="s">
        <v>230</v>
      </c>
      <c r="H182" s="499" t="s">
        <v>230</v>
      </c>
      <c r="I182" s="499" t="s">
        <v>230</v>
      </c>
      <c r="J182" s="499" t="s">
        <v>230</v>
      </c>
      <c r="K182" s="499" t="s">
        <v>230</v>
      </c>
      <c r="L182" s="499" t="s">
        <v>230</v>
      </c>
      <c r="M182" s="499" t="s">
        <v>230</v>
      </c>
      <c r="N182" s="499" t="s">
        <v>231</v>
      </c>
      <c r="O182" s="499" t="s">
        <v>231</v>
      </c>
      <c r="P182" s="499" t="s">
        <v>231</v>
      </c>
      <c r="Q182" s="499" t="s">
        <v>231</v>
      </c>
      <c r="R182" s="499" t="s">
        <v>231</v>
      </c>
      <c r="S182" s="499" t="s">
        <v>231</v>
      </c>
      <c r="T182" s="499" t="s">
        <v>231</v>
      </c>
      <c r="U182" s="499" t="s">
        <v>231</v>
      </c>
      <c r="V182" s="499" t="s">
        <v>231</v>
      </c>
      <c r="W182" s="499" t="s">
        <v>231</v>
      </c>
    </row>
    <row r="183" spans="1:23">
      <c r="A183" s="14" t="s">
        <v>232</v>
      </c>
      <c r="D183" s="499" t="s">
        <v>233</v>
      </c>
      <c r="N183" s="499" t="s">
        <v>233</v>
      </c>
    </row>
    <row r="184" spans="1:23">
      <c r="B184" s="6" t="s">
        <v>199</v>
      </c>
      <c r="C184" s="6" t="s">
        <v>200</v>
      </c>
      <c r="D184" s="6">
        <v>1</v>
      </c>
      <c r="E184" s="6">
        <v>2</v>
      </c>
      <c r="F184" s="6">
        <v>3</v>
      </c>
      <c r="G184" s="6">
        <v>4</v>
      </c>
      <c r="H184" s="6">
        <v>5</v>
      </c>
      <c r="I184" s="6">
        <v>6</v>
      </c>
      <c r="J184" s="6">
        <v>7</v>
      </c>
      <c r="K184" s="6">
        <v>8</v>
      </c>
      <c r="L184" s="6">
        <v>9</v>
      </c>
      <c r="M184" s="6">
        <v>10</v>
      </c>
      <c r="N184" s="6">
        <v>1</v>
      </c>
      <c r="O184" s="6">
        <v>2</v>
      </c>
      <c r="P184" s="6">
        <v>3</v>
      </c>
      <c r="Q184" s="6">
        <v>4</v>
      </c>
      <c r="R184" s="6">
        <v>5</v>
      </c>
      <c r="S184" s="6">
        <v>6</v>
      </c>
      <c r="T184" s="6">
        <v>7</v>
      </c>
      <c r="U184" s="6">
        <v>8</v>
      </c>
      <c r="V184" s="6">
        <v>9</v>
      </c>
      <c r="W184" s="6">
        <v>10</v>
      </c>
    </row>
    <row r="185" spans="1:23">
      <c r="B185" s="499" t="s">
        <v>202</v>
      </c>
      <c r="C185" s="499" t="s">
        <v>203</v>
      </c>
      <c r="D185" s="264">
        <f>S.kelt!A27</f>
        <v>5.4227206260661485E-2</v>
      </c>
      <c r="E185" s="264">
        <f>S.kelt!B27</f>
        <v>5.3478870814264355E-2</v>
      </c>
      <c r="F185" s="264">
        <f>S.kelt!C27</f>
        <v>5.3478870814264355E-2</v>
      </c>
      <c r="G185" s="269">
        <v>0</v>
      </c>
      <c r="H185" s="269">
        <v>0</v>
      </c>
      <c r="I185" s="269">
        <v>0</v>
      </c>
      <c r="J185" s="7">
        <v>0</v>
      </c>
      <c r="K185" s="7">
        <v>0</v>
      </c>
      <c r="L185" s="7">
        <v>0</v>
      </c>
      <c r="M185" s="7">
        <v>0</v>
      </c>
      <c r="N185" s="264">
        <f>S.kelt!A27</f>
        <v>5.4227206260661485E-2</v>
      </c>
      <c r="O185" s="264">
        <f>S.kelt!B27</f>
        <v>5.3478870814264355E-2</v>
      </c>
      <c r="P185" s="264">
        <f>S.kelt!C27</f>
        <v>5.3478870814264355E-2</v>
      </c>
      <c r="Q185" s="269">
        <v>0</v>
      </c>
      <c r="R185" s="269">
        <v>0</v>
      </c>
      <c r="S185" s="269">
        <v>0</v>
      </c>
      <c r="T185" s="7">
        <v>0</v>
      </c>
      <c r="U185" s="7">
        <v>0</v>
      </c>
      <c r="V185" s="7">
        <v>0</v>
      </c>
      <c r="W185" s="7">
        <v>0</v>
      </c>
    </row>
    <row r="186" spans="1:23">
      <c r="B186" s="499" t="s">
        <v>205</v>
      </c>
      <c r="C186" s="499" t="s">
        <v>206</v>
      </c>
      <c r="D186" s="7">
        <v>0</v>
      </c>
      <c r="E186" s="7">
        <v>0</v>
      </c>
      <c r="F186" s="7">
        <v>0</v>
      </c>
      <c r="G186" s="7">
        <v>0</v>
      </c>
      <c r="H186" s="7">
        <v>0</v>
      </c>
      <c r="I186" s="7">
        <v>0</v>
      </c>
      <c r="J186" s="7">
        <v>0</v>
      </c>
      <c r="K186" s="7">
        <v>0</v>
      </c>
      <c r="L186" s="7">
        <v>0</v>
      </c>
      <c r="M186" s="7">
        <v>0</v>
      </c>
      <c r="N186" s="7">
        <v>0</v>
      </c>
      <c r="O186" s="7">
        <v>0</v>
      </c>
      <c r="P186" s="7">
        <v>0</v>
      </c>
      <c r="Q186" s="7">
        <v>0</v>
      </c>
      <c r="R186" s="7">
        <v>0</v>
      </c>
      <c r="S186" s="7">
        <v>0</v>
      </c>
      <c r="T186" s="7">
        <v>0</v>
      </c>
      <c r="U186" s="7">
        <v>0</v>
      </c>
      <c r="V186" s="7">
        <v>0</v>
      </c>
      <c r="W186" s="7">
        <v>0</v>
      </c>
    </row>
    <row r="187" spans="1:23">
      <c r="B187" s="499" t="s">
        <v>208</v>
      </c>
      <c r="C187" s="499" t="s">
        <v>209</v>
      </c>
      <c r="D187" s="7">
        <v>0</v>
      </c>
      <c r="E187" s="7">
        <v>0</v>
      </c>
      <c r="F187" s="7">
        <v>0</v>
      </c>
      <c r="G187" s="7">
        <v>0</v>
      </c>
      <c r="H187" s="7">
        <v>0</v>
      </c>
      <c r="I187" s="7">
        <v>0</v>
      </c>
      <c r="J187" s="7">
        <v>0</v>
      </c>
      <c r="K187" s="7">
        <v>0</v>
      </c>
      <c r="L187" s="7">
        <v>0</v>
      </c>
      <c r="M187" s="7">
        <v>0</v>
      </c>
      <c r="N187" s="7">
        <v>0</v>
      </c>
      <c r="O187" s="7">
        <v>0</v>
      </c>
      <c r="P187" s="7">
        <v>0</v>
      </c>
      <c r="Q187" s="7">
        <v>0</v>
      </c>
      <c r="R187" s="7">
        <v>0</v>
      </c>
      <c r="S187" s="7">
        <v>0</v>
      </c>
      <c r="T187" s="7">
        <v>0</v>
      </c>
      <c r="U187" s="7">
        <v>0</v>
      </c>
      <c r="V187" s="7">
        <v>0</v>
      </c>
      <c r="W187" s="7">
        <v>0</v>
      </c>
    </row>
    <row r="188" spans="1:23">
      <c r="B188" s="499" t="s">
        <v>211</v>
      </c>
      <c r="C188" s="499" t="s">
        <v>212</v>
      </c>
      <c r="D188" s="7">
        <v>0</v>
      </c>
      <c r="E188" s="7">
        <v>0</v>
      </c>
      <c r="F188" s="7">
        <v>0</v>
      </c>
      <c r="G188" s="7">
        <v>0</v>
      </c>
      <c r="H188" s="7">
        <v>0</v>
      </c>
      <c r="I188" s="7">
        <v>0</v>
      </c>
      <c r="J188" s="7">
        <v>0</v>
      </c>
      <c r="K188" s="7">
        <v>0</v>
      </c>
      <c r="L188" s="7">
        <v>0</v>
      </c>
      <c r="M188" s="7">
        <v>0</v>
      </c>
      <c r="N188" s="7">
        <v>0</v>
      </c>
      <c r="O188" s="7">
        <v>0</v>
      </c>
      <c r="P188" s="7">
        <v>0</v>
      </c>
      <c r="Q188" s="7">
        <v>0</v>
      </c>
      <c r="R188" s="7">
        <v>0</v>
      </c>
      <c r="S188" s="7">
        <v>0</v>
      </c>
      <c r="T188" s="7">
        <v>0</v>
      </c>
      <c r="U188" s="7">
        <v>0</v>
      </c>
      <c r="V188" s="7">
        <v>0</v>
      </c>
      <c r="W188" s="7">
        <v>0</v>
      </c>
    </row>
    <row r="189" spans="1:23">
      <c r="B189" s="499" t="s">
        <v>213</v>
      </c>
      <c r="C189" s="499" t="s">
        <v>214</v>
      </c>
      <c r="D189" s="7">
        <v>0</v>
      </c>
      <c r="E189" s="7">
        <v>0</v>
      </c>
      <c r="F189" s="7">
        <v>0</v>
      </c>
      <c r="G189" s="7">
        <v>0</v>
      </c>
      <c r="H189" s="7">
        <v>0</v>
      </c>
      <c r="I189" s="7">
        <v>0</v>
      </c>
      <c r="J189" s="7">
        <v>0</v>
      </c>
      <c r="K189" s="7">
        <v>0</v>
      </c>
      <c r="L189" s="7">
        <v>0</v>
      </c>
      <c r="M189" s="7">
        <v>0</v>
      </c>
      <c r="N189" s="7">
        <v>0</v>
      </c>
      <c r="O189" s="7">
        <v>0</v>
      </c>
      <c r="P189" s="7">
        <v>0</v>
      </c>
      <c r="Q189" s="7">
        <v>0</v>
      </c>
      <c r="R189" s="7">
        <v>0</v>
      </c>
      <c r="S189" s="7">
        <v>0</v>
      </c>
      <c r="T189" s="7">
        <v>0</v>
      </c>
      <c r="U189" s="7">
        <v>0</v>
      </c>
      <c r="V189" s="7">
        <v>0</v>
      </c>
      <c r="W189" s="7">
        <v>0</v>
      </c>
    </row>
    <row r="190" spans="1:23">
      <c r="B190" s="499" t="s">
        <v>215</v>
      </c>
      <c r="C190" s="499" t="s">
        <v>216</v>
      </c>
      <c r="D190" s="7">
        <v>0</v>
      </c>
      <c r="E190" s="7">
        <v>0</v>
      </c>
      <c r="F190" s="7">
        <v>0</v>
      </c>
      <c r="G190" s="7">
        <v>0</v>
      </c>
      <c r="H190" s="7">
        <v>0</v>
      </c>
      <c r="I190" s="7">
        <v>0</v>
      </c>
      <c r="J190" s="7">
        <v>0</v>
      </c>
      <c r="K190" s="7">
        <v>0</v>
      </c>
      <c r="L190" s="7">
        <v>0</v>
      </c>
      <c r="M190" s="7">
        <v>0</v>
      </c>
      <c r="N190" s="7">
        <v>0</v>
      </c>
      <c r="O190" s="7">
        <v>0</v>
      </c>
      <c r="P190" s="7">
        <v>0</v>
      </c>
      <c r="Q190" s="7">
        <v>0</v>
      </c>
      <c r="R190" s="7">
        <v>0</v>
      </c>
      <c r="S190" s="7">
        <v>0</v>
      </c>
      <c r="T190" s="7">
        <v>0</v>
      </c>
      <c r="U190" s="7">
        <v>0</v>
      </c>
      <c r="V190" s="7">
        <v>0</v>
      </c>
      <c r="W190" s="7">
        <v>0</v>
      </c>
    </row>
    <row r="191" spans="1:23">
      <c r="B191" s="499" t="s">
        <v>217</v>
      </c>
      <c r="C191" s="499" t="s">
        <v>218</v>
      </c>
      <c r="D191" s="7">
        <v>0</v>
      </c>
      <c r="E191" s="7">
        <v>0</v>
      </c>
      <c r="F191" s="7">
        <v>0</v>
      </c>
      <c r="G191" s="7">
        <v>0</v>
      </c>
      <c r="H191" s="7">
        <v>0</v>
      </c>
      <c r="I191" s="7">
        <v>0</v>
      </c>
      <c r="J191" s="7">
        <v>0</v>
      </c>
      <c r="K191" s="7">
        <v>0</v>
      </c>
      <c r="L191" s="7">
        <v>0</v>
      </c>
      <c r="M191" s="7">
        <v>0</v>
      </c>
      <c r="N191" s="7">
        <v>0</v>
      </c>
      <c r="O191" s="7">
        <v>0</v>
      </c>
      <c r="P191" s="7">
        <v>0</v>
      </c>
      <c r="Q191" s="7">
        <v>0</v>
      </c>
      <c r="R191" s="7">
        <v>0</v>
      </c>
      <c r="S191" s="7">
        <v>0</v>
      </c>
      <c r="T191" s="7">
        <v>0</v>
      </c>
      <c r="U191" s="7">
        <v>0</v>
      </c>
      <c r="V191" s="7">
        <v>0</v>
      </c>
      <c r="W191" s="7">
        <v>0</v>
      </c>
    </row>
    <row r="192" spans="1:23">
      <c r="B192" s="499" t="s">
        <v>219</v>
      </c>
      <c r="C192" s="499" t="s">
        <v>220</v>
      </c>
      <c r="D192" s="7">
        <v>0</v>
      </c>
      <c r="E192" s="7">
        <v>0</v>
      </c>
      <c r="F192" s="7">
        <v>0</v>
      </c>
      <c r="G192" s="7">
        <v>0</v>
      </c>
      <c r="H192" s="7">
        <v>0</v>
      </c>
      <c r="I192" s="7">
        <v>0</v>
      </c>
      <c r="J192" s="7">
        <v>0</v>
      </c>
      <c r="K192" s="7">
        <v>0</v>
      </c>
      <c r="L192" s="7">
        <v>0</v>
      </c>
      <c r="M192" s="7">
        <v>0</v>
      </c>
      <c r="N192" s="7">
        <v>0</v>
      </c>
      <c r="O192" s="7">
        <v>0</v>
      </c>
      <c r="P192" s="7">
        <v>0</v>
      </c>
      <c r="Q192" s="7">
        <v>0</v>
      </c>
      <c r="R192" s="7">
        <v>0</v>
      </c>
      <c r="S192" s="7">
        <v>0</v>
      </c>
      <c r="T192" s="7">
        <v>0</v>
      </c>
      <c r="U192" s="7">
        <v>0</v>
      </c>
      <c r="V192" s="7">
        <v>0</v>
      </c>
      <c r="W192" s="7">
        <v>0</v>
      </c>
    </row>
    <row r="193" spans="1:23">
      <c r="B193" s="499" t="s">
        <v>221</v>
      </c>
      <c r="C193" s="499" t="s">
        <v>222</v>
      </c>
      <c r="D193" s="7">
        <v>0</v>
      </c>
      <c r="E193" s="7">
        <v>0</v>
      </c>
      <c r="F193" s="7">
        <v>0</v>
      </c>
      <c r="G193" s="7">
        <v>0</v>
      </c>
      <c r="H193" s="7">
        <v>0</v>
      </c>
      <c r="I193" s="7">
        <v>0</v>
      </c>
      <c r="J193" s="7">
        <v>0</v>
      </c>
      <c r="K193" s="7">
        <v>0</v>
      </c>
      <c r="L193" s="7">
        <v>0</v>
      </c>
      <c r="M193" s="7">
        <v>0</v>
      </c>
      <c r="N193" s="7">
        <v>0</v>
      </c>
      <c r="O193" s="7">
        <v>0</v>
      </c>
      <c r="P193" s="7">
        <v>0</v>
      </c>
      <c r="Q193" s="7">
        <v>0</v>
      </c>
      <c r="R193" s="7">
        <v>0</v>
      </c>
      <c r="S193" s="7">
        <v>0</v>
      </c>
      <c r="T193" s="7">
        <v>0</v>
      </c>
      <c r="U193" s="7">
        <v>0</v>
      </c>
      <c r="V193" s="7">
        <v>0</v>
      </c>
      <c r="W193" s="7">
        <v>0</v>
      </c>
    </row>
    <row r="194" spans="1:23">
      <c r="B194" s="499" t="s">
        <v>223</v>
      </c>
      <c r="C194" s="499" t="s">
        <v>224</v>
      </c>
      <c r="D194" s="7">
        <v>0</v>
      </c>
      <c r="E194" s="7">
        <v>0</v>
      </c>
      <c r="F194" s="7">
        <v>0</v>
      </c>
      <c r="G194" s="7">
        <v>0</v>
      </c>
      <c r="H194" s="7">
        <v>0</v>
      </c>
      <c r="I194" s="7">
        <v>0</v>
      </c>
      <c r="J194" s="7">
        <v>0</v>
      </c>
      <c r="K194" s="7">
        <v>0</v>
      </c>
      <c r="L194" s="7">
        <v>0</v>
      </c>
      <c r="M194" s="7">
        <v>0</v>
      </c>
      <c r="N194" s="7">
        <v>0</v>
      </c>
      <c r="O194" s="7">
        <v>0</v>
      </c>
      <c r="P194" s="7">
        <v>0</v>
      </c>
      <c r="Q194" s="7">
        <v>0</v>
      </c>
      <c r="R194" s="7">
        <v>0</v>
      </c>
      <c r="S194" s="7">
        <v>0</v>
      </c>
      <c r="T194" s="7">
        <v>0</v>
      </c>
      <c r="U194" s="7">
        <v>0</v>
      </c>
      <c r="V194" s="7">
        <v>0</v>
      </c>
      <c r="W194" s="7">
        <v>0</v>
      </c>
    </row>
    <row r="195" spans="1:23">
      <c r="B195" s="499" t="s">
        <v>225</v>
      </c>
      <c r="C195" s="499" t="s">
        <v>226</v>
      </c>
      <c r="D195" s="7">
        <v>0</v>
      </c>
      <c r="E195" s="7">
        <v>0</v>
      </c>
      <c r="F195" s="7">
        <v>0</v>
      </c>
      <c r="G195" s="7">
        <v>0</v>
      </c>
      <c r="H195" s="7">
        <v>0</v>
      </c>
      <c r="I195" s="7">
        <v>0</v>
      </c>
      <c r="J195" s="7">
        <v>0</v>
      </c>
      <c r="K195" s="7">
        <v>0</v>
      </c>
      <c r="L195" s="7">
        <v>0</v>
      </c>
      <c r="M195" s="7">
        <v>0</v>
      </c>
      <c r="N195" s="7">
        <v>0</v>
      </c>
      <c r="O195" s="7">
        <v>0</v>
      </c>
      <c r="P195" s="7">
        <v>0</v>
      </c>
      <c r="Q195" s="7">
        <v>0</v>
      </c>
      <c r="R195" s="7">
        <v>0</v>
      </c>
      <c r="S195" s="7">
        <v>0</v>
      </c>
      <c r="T195" s="7">
        <v>0</v>
      </c>
      <c r="U195" s="7">
        <v>0</v>
      </c>
      <c r="V195" s="7">
        <v>0</v>
      </c>
      <c r="W195" s="7">
        <v>0</v>
      </c>
    </row>
    <row r="197" spans="1:23">
      <c r="A197" s="1" t="s">
        <v>234</v>
      </c>
      <c r="D197" s="499" t="s">
        <v>230</v>
      </c>
      <c r="E197" s="499" t="s">
        <v>230</v>
      </c>
      <c r="F197" s="499" t="s">
        <v>230</v>
      </c>
      <c r="G197" s="499" t="s">
        <v>230</v>
      </c>
      <c r="H197" s="499" t="s">
        <v>230</v>
      </c>
      <c r="I197" s="499" t="s">
        <v>230</v>
      </c>
      <c r="J197" s="499" t="s">
        <v>230</v>
      </c>
      <c r="K197" s="499" t="s">
        <v>230</v>
      </c>
      <c r="L197" s="499" t="s">
        <v>230</v>
      </c>
      <c r="M197" s="499" t="s">
        <v>230</v>
      </c>
      <c r="N197" s="499" t="s">
        <v>231</v>
      </c>
      <c r="O197" s="499" t="s">
        <v>231</v>
      </c>
      <c r="P197" s="499" t="s">
        <v>231</v>
      </c>
      <c r="Q197" s="499" t="s">
        <v>231</v>
      </c>
      <c r="R197" s="499" t="s">
        <v>231</v>
      </c>
      <c r="S197" s="499" t="s">
        <v>231</v>
      </c>
      <c r="T197" s="499" t="s">
        <v>231</v>
      </c>
      <c r="U197" s="499" t="s">
        <v>231</v>
      </c>
      <c r="V197" s="499" t="s">
        <v>231</v>
      </c>
      <c r="W197" s="499" t="s">
        <v>231</v>
      </c>
    </row>
    <row r="198" spans="1:23">
      <c r="A198" s="14" t="s">
        <v>235</v>
      </c>
      <c r="D198" s="499" t="s">
        <v>236</v>
      </c>
      <c r="N198" s="499" t="s">
        <v>236</v>
      </c>
    </row>
    <row r="199" spans="1:23">
      <c r="B199" s="6" t="s">
        <v>199</v>
      </c>
      <c r="C199" s="6" t="s">
        <v>200</v>
      </c>
      <c r="D199" s="6">
        <v>1</v>
      </c>
      <c r="E199" s="6">
        <v>2</v>
      </c>
      <c r="F199" s="6">
        <v>3</v>
      </c>
      <c r="G199" s="6">
        <v>4</v>
      </c>
      <c r="H199" s="6">
        <v>5</v>
      </c>
      <c r="I199" s="6">
        <v>6</v>
      </c>
      <c r="J199" s="6">
        <v>7</v>
      </c>
      <c r="K199" s="6">
        <v>8</v>
      </c>
      <c r="L199" s="6">
        <v>9</v>
      </c>
      <c r="M199" s="6">
        <v>10</v>
      </c>
      <c r="N199" s="6">
        <v>1</v>
      </c>
      <c r="O199" s="6">
        <v>2</v>
      </c>
      <c r="P199" s="6">
        <v>3</v>
      </c>
      <c r="Q199" s="6">
        <v>4</v>
      </c>
      <c r="R199" s="6">
        <v>5</v>
      </c>
      <c r="S199" s="6">
        <v>6</v>
      </c>
      <c r="T199" s="6">
        <v>7</v>
      </c>
      <c r="U199" s="6">
        <v>8</v>
      </c>
      <c r="V199" s="6">
        <v>9</v>
      </c>
      <c r="W199" s="6">
        <v>10</v>
      </c>
    </row>
    <row r="200" spans="1:23">
      <c r="B200" s="499" t="s">
        <v>202</v>
      </c>
      <c r="C200" s="499" t="s">
        <v>203</v>
      </c>
      <c r="D200" s="264">
        <f>S.kelt!A39*C104</f>
        <v>0.31909795995575668</v>
      </c>
      <c r="E200" s="264">
        <f>S.kelt!A39*C104</f>
        <v>0.31909795995575668</v>
      </c>
      <c r="F200" s="264">
        <f>S.kelt!A39*C104</f>
        <v>0.31909795995575668</v>
      </c>
      <c r="G200" s="264">
        <f>S.kelt!A39*C104</f>
        <v>0.31909795995575668</v>
      </c>
      <c r="H200" s="264">
        <f>S.kelt!A39*C104</f>
        <v>0.31909795995575668</v>
      </c>
      <c r="I200" s="264">
        <f>S.kelt!A39*C104</f>
        <v>0.31909795995575668</v>
      </c>
      <c r="J200" s="7">
        <v>0</v>
      </c>
      <c r="K200" s="7">
        <v>0</v>
      </c>
      <c r="L200" s="7">
        <v>0</v>
      </c>
      <c r="M200" s="7">
        <v>0</v>
      </c>
      <c r="N200" s="264">
        <f>S.kelt!A39*C104</f>
        <v>0.31909795995575668</v>
      </c>
      <c r="O200" s="264">
        <f>S.kelt!A39*C104</f>
        <v>0.31909795995575668</v>
      </c>
      <c r="P200" s="264">
        <f>S.kelt!A39*C104</f>
        <v>0.31909795995575668</v>
      </c>
      <c r="Q200" s="264">
        <f>S.kelt!A39*C104</f>
        <v>0.31909795995575668</v>
      </c>
      <c r="R200" s="264">
        <f>S.kelt!A39*C104</f>
        <v>0.31909795995575668</v>
      </c>
      <c r="S200" s="264">
        <f>S.kelt!A39*C104</f>
        <v>0.31909795995575668</v>
      </c>
      <c r="T200" s="7">
        <v>0</v>
      </c>
      <c r="U200" s="7">
        <v>0</v>
      </c>
      <c r="V200" s="7">
        <v>0</v>
      </c>
      <c r="W200" s="7">
        <v>0</v>
      </c>
    </row>
    <row r="201" spans="1:23">
      <c r="B201" s="499" t="s">
        <v>205</v>
      </c>
      <c r="C201" s="499" t="s">
        <v>206</v>
      </c>
      <c r="D201" s="7">
        <v>0</v>
      </c>
      <c r="E201" s="7">
        <v>0</v>
      </c>
      <c r="F201" s="7">
        <v>0</v>
      </c>
      <c r="G201" s="7">
        <v>0</v>
      </c>
      <c r="H201" s="7">
        <v>0</v>
      </c>
      <c r="I201" s="7">
        <v>0</v>
      </c>
      <c r="J201" s="7">
        <v>0</v>
      </c>
      <c r="K201" s="7">
        <v>0</v>
      </c>
      <c r="L201" s="7">
        <v>0</v>
      </c>
      <c r="M201" s="7">
        <v>0</v>
      </c>
      <c r="N201" s="7">
        <v>0</v>
      </c>
      <c r="O201" s="7">
        <v>0</v>
      </c>
      <c r="P201" s="7">
        <v>0</v>
      </c>
      <c r="Q201" s="7">
        <v>0</v>
      </c>
      <c r="R201" s="7">
        <v>0</v>
      </c>
      <c r="S201" s="7">
        <v>0</v>
      </c>
      <c r="T201" s="7">
        <v>0</v>
      </c>
      <c r="U201" s="7">
        <v>0</v>
      </c>
      <c r="V201" s="7">
        <v>0</v>
      </c>
      <c r="W201" s="7">
        <v>0</v>
      </c>
    </row>
    <row r="202" spans="1:23">
      <c r="B202" s="499" t="s">
        <v>208</v>
      </c>
      <c r="C202" s="499" t="s">
        <v>209</v>
      </c>
      <c r="D202" s="7">
        <v>0</v>
      </c>
      <c r="E202" s="7">
        <v>0</v>
      </c>
      <c r="F202" s="7">
        <v>0</v>
      </c>
      <c r="G202" s="7">
        <v>0</v>
      </c>
      <c r="H202" s="7">
        <v>0</v>
      </c>
      <c r="I202" s="7">
        <v>0</v>
      </c>
      <c r="J202" s="7">
        <v>0</v>
      </c>
      <c r="K202" s="7">
        <v>0</v>
      </c>
      <c r="L202" s="7">
        <v>0</v>
      </c>
      <c r="M202" s="7">
        <v>0</v>
      </c>
      <c r="N202" s="7">
        <v>0</v>
      </c>
      <c r="O202" s="7">
        <v>0</v>
      </c>
      <c r="P202" s="7">
        <v>0</v>
      </c>
      <c r="Q202" s="7">
        <v>0</v>
      </c>
      <c r="R202" s="7">
        <v>0</v>
      </c>
      <c r="S202" s="7">
        <v>0</v>
      </c>
      <c r="T202" s="7">
        <v>0</v>
      </c>
      <c r="U202" s="7">
        <v>0</v>
      </c>
      <c r="V202" s="7">
        <v>0</v>
      </c>
      <c r="W202" s="7">
        <v>0</v>
      </c>
    </row>
    <row r="203" spans="1:23">
      <c r="B203" s="499" t="s">
        <v>211</v>
      </c>
      <c r="C203" s="499" t="s">
        <v>212</v>
      </c>
      <c r="D203" s="7">
        <v>0</v>
      </c>
      <c r="E203" s="7">
        <v>0</v>
      </c>
      <c r="F203" s="7">
        <v>0</v>
      </c>
      <c r="G203" s="7">
        <v>0</v>
      </c>
      <c r="H203" s="7">
        <v>0</v>
      </c>
      <c r="I203" s="7">
        <v>0</v>
      </c>
      <c r="J203" s="7">
        <v>0</v>
      </c>
      <c r="K203" s="7">
        <v>0</v>
      </c>
      <c r="L203" s="7">
        <v>0</v>
      </c>
      <c r="M203" s="7">
        <v>0</v>
      </c>
      <c r="N203" s="7">
        <v>0</v>
      </c>
      <c r="O203" s="7">
        <v>0</v>
      </c>
      <c r="P203" s="7">
        <v>0</v>
      </c>
      <c r="Q203" s="7">
        <v>0</v>
      </c>
      <c r="R203" s="7">
        <v>0</v>
      </c>
      <c r="S203" s="7">
        <v>0</v>
      </c>
      <c r="T203" s="7">
        <v>0</v>
      </c>
      <c r="U203" s="7">
        <v>0</v>
      </c>
      <c r="V203" s="7">
        <v>0</v>
      </c>
      <c r="W203" s="7">
        <v>0</v>
      </c>
    </row>
    <row r="204" spans="1:23">
      <c r="B204" s="499" t="s">
        <v>213</v>
      </c>
      <c r="C204" s="499" t="s">
        <v>214</v>
      </c>
      <c r="D204" s="7">
        <v>0</v>
      </c>
      <c r="E204" s="7">
        <v>0</v>
      </c>
      <c r="F204" s="7">
        <v>0</v>
      </c>
      <c r="G204" s="7">
        <v>0</v>
      </c>
      <c r="H204" s="7">
        <v>0</v>
      </c>
      <c r="I204" s="7">
        <v>0</v>
      </c>
      <c r="J204" s="7">
        <v>0</v>
      </c>
      <c r="K204" s="7">
        <v>0</v>
      </c>
      <c r="L204" s="7">
        <v>0</v>
      </c>
      <c r="M204" s="7">
        <v>0</v>
      </c>
      <c r="N204" s="7">
        <v>0</v>
      </c>
      <c r="O204" s="7">
        <v>0</v>
      </c>
      <c r="P204" s="7">
        <v>0</v>
      </c>
      <c r="Q204" s="7">
        <v>0</v>
      </c>
      <c r="R204" s="7">
        <v>0</v>
      </c>
      <c r="S204" s="7">
        <v>0</v>
      </c>
      <c r="T204" s="7">
        <v>0</v>
      </c>
      <c r="U204" s="7">
        <v>0</v>
      </c>
      <c r="V204" s="7">
        <v>0</v>
      </c>
      <c r="W204" s="7">
        <v>0</v>
      </c>
    </row>
    <row r="205" spans="1:23">
      <c r="B205" s="499" t="s">
        <v>215</v>
      </c>
      <c r="C205" s="499" t="s">
        <v>216</v>
      </c>
      <c r="D205" s="7">
        <v>0</v>
      </c>
      <c r="E205" s="7">
        <v>0</v>
      </c>
      <c r="F205" s="7">
        <v>0</v>
      </c>
      <c r="G205" s="7">
        <v>0</v>
      </c>
      <c r="H205" s="7">
        <v>0</v>
      </c>
      <c r="I205" s="7">
        <v>0</v>
      </c>
      <c r="J205" s="7">
        <v>0</v>
      </c>
      <c r="K205" s="7">
        <v>0</v>
      </c>
      <c r="L205" s="7">
        <v>0</v>
      </c>
      <c r="M205" s="7">
        <v>0</v>
      </c>
      <c r="N205" s="7">
        <v>0</v>
      </c>
      <c r="O205" s="7">
        <v>0</v>
      </c>
      <c r="P205" s="7">
        <v>0</v>
      </c>
      <c r="Q205" s="7">
        <v>0</v>
      </c>
      <c r="R205" s="7">
        <v>0</v>
      </c>
      <c r="S205" s="7">
        <v>0</v>
      </c>
      <c r="T205" s="7">
        <v>0</v>
      </c>
      <c r="U205" s="7">
        <v>0</v>
      </c>
      <c r="V205" s="7">
        <v>0</v>
      </c>
      <c r="W205" s="7">
        <v>0</v>
      </c>
    </row>
    <row r="206" spans="1:23">
      <c r="B206" s="499" t="s">
        <v>217</v>
      </c>
      <c r="C206" s="499" t="s">
        <v>218</v>
      </c>
      <c r="D206" s="7">
        <v>0</v>
      </c>
      <c r="E206" s="7">
        <v>0</v>
      </c>
      <c r="F206" s="7">
        <v>0</v>
      </c>
      <c r="G206" s="7">
        <v>0</v>
      </c>
      <c r="H206" s="7">
        <v>0</v>
      </c>
      <c r="I206" s="7">
        <v>0</v>
      </c>
      <c r="J206" s="7">
        <v>0</v>
      </c>
      <c r="K206" s="7">
        <v>0</v>
      </c>
      <c r="L206" s="7">
        <v>0</v>
      </c>
      <c r="M206" s="7">
        <v>0</v>
      </c>
      <c r="N206" s="7">
        <v>0</v>
      </c>
      <c r="O206" s="7">
        <v>0</v>
      </c>
      <c r="P206" s="7">
        <v>0</v>
      </c>
      <c r="Q206" s="7">
        <v>0</v>
      </c>
      <c r="R206" s="7">
        <v>0</v>
      </c>
      <c r="S206" s="7">
        <v>0</v>
      </c>
      <c r="T206" s="7">
        <v>0</v>
      </c>
      <c r="U206" s="7">
        <v>0</v>
      </c>
      <c r="V206" s="7">
        <v>0</v>
      </c>
      <c r="W206" s="7">
        <v>0</v>
      </c>
    </row>
    <row r="207" spans="1:23">
      <c r="B207" s="499" t="s">
        <v>219</v>
      </c>
      <c r="C207" s="499" t="s">
        <v>220</v>
      </c>
      <c r="D207" s="7">
        <v>0</v>
      </c>
      <c r="E207" s="7">
        <v>0</v>
      </c>
      <c r="F207" s="7">
        <v>0</v>
      </c>
      <c r="G207" s="7">
        <v>0</v>
      </c>
      <c r="H207" s="7">
        <v>0</v>
      </c>
      <c r="I207" s="7">
        <v>0</v>
      </c>
      <c r="J207" s="7">
        <v>0</v>
      </c>
      <c r="K207" s="7">
        <v>0</v>
      </c>
      <c r="L207" s="7">
        <v>0</v>
      </c>
      <c r="M207" s="7">
        <v>0</v>
      </c>
      <c r="N207" s="7">
        <v>0</v>
      </c>
      <c r="O207" s="7">
        <v>0</v>
      </c>
      <c r="P207" s="7">
        <v>0</v>
      </c>
      <c r="Q207" s="7">
        <v>0</v>
      </c>
      <c r="R207" s="7">
        <v>0</v>
      </c>
      <c r="S207" s="7">
        <v>0</v>
      </c>
      <c r="T207" s="7">
        <v>0</v>
      </c>
      <c r="U207" s="7">
        <v>0</v>
      </c>
      <c r="V207" s="7">
        <v>0</v>
      </c>
      <c r="W207" s="7">
        <v>0</v>
      </c>
    </row>
    <row r="208" spans="1:23">
      <c r="B208" s="499" t="s">
        <v>221</v>
      </c>
      <c r="C208" s="499" t="s">
        <v>222</v>
      </c>
      <c r="D208" s="7">
        <v>0</v>
      </c>
      <c r="E208" s="7">
        <v>0</v>
      </c>
      <c r="F208" s="7">
        <v>0</v>
      </c>
      <c r="G208" s="7">
        <v>0</v>
      </c>
      <c r="H208" s="7">
        <v>0</v>
      </c>
      <c r="I208" s="7">
        <v>0</v>
      </c>
      <c r="J208" s="7">
        <v>0</v>
      </c>
      <c r="K208" s="7">
        <v>0</v>
      </c>
      <c r="L208" s="7">
        <v>0</v>
      </c>
      <c r="M208" s="7">
        <v>0</v>
      </c>
      <c r="N208" s="7">
        <v>0</v>
      </c>
      <c r="O208" s="7">
        <v>0</v>
      </c>
      <c r="P208" s="7">
        <v>0</v>
      </c>
      <c r="Q208" s="7">
        <v>0</v>
      </c>
      <c r="R208" s="7">
        <v>0</v>
      </c>
      <c r="S208" s="7">
        <v>0</v>
      </c>
      <c r="T208" s="7">
        <v>0</v>
      </c>
      <c r="U208" s="7">
        <v>0</v>
      </c>
      <c r="V208" s="7">
        <v>0</v>
      </c>
      <c r="W208" s="7">
        <v>0</v>
      </c>
    </row>
    <row r="209" spans="2:23">
      <c r="B209" s="499" t="s">
        <v>223</v>
      </c>
      <c r="C209" s="499" t="s">
        <v>224</v>
      </c>
      <c r="D209" s="7">
        <v>0</v>
      </c>
      <c r="E209" s="7">
        <v>0</v>
      </c>
      <c r="F209" s="7">
        <v>0</v>
      </c>
      <c r="G209" s="7">
        <v>0</v>
      </c>
      <c r="H209" s="7">
        <v>0</v>
      </c>
      <c r="I209" s="7">
        <v>0</v>
      </c>
      <c r="J209" s="7">
        <v>0</v>
      </c>
      <c r="K209" s="7">
        <v>0</v>
      </c>
      <c r="L209" s="7">
        <v>0</v>
      </c>
      <c r="M209" s="7">
        <v>0</v>
      </c>
      <c r="N209" s="7">
        <v>0</v>
      </c>
      <c r="O209" s="7">
        <v>0</v>
      </c>
      <c r="P209" s="7">
        <v>0</v>
      </c>
      <c r="Q209" s="7">
        <v>0</v>
      </c>
      <c r="R209" s="7">
        <v>0</v>
      </c>
      <c r="S209" s="7">
        <v>0</v>
      </c>
      <c r="T209" s="7">
        <v>0</v>
      </c>
      <c r="U209" s="7">
        <v>0</v>
      </c>
      <c r="V209" s="7">
        <v>0</v>
      </c>
      <c r="W209" s="7">
        <v>0</v>
      </c>
    </row>
    <row r="210" spans="2:23">
      <c r="B210" s="499" t="s">
        <v>225</v>
      </c>
      <c r="C210" s="499" t="s">
        <v>226</v>
      </c>
      <c r="D210" s="7">
        <v>0</v>
      </c>
      <c r="E210" s="7">
        <v>0</v>
      </c>
      <c r="F210" s="7">
        <v>0</v>
      </c>
      <c r="G210" s="7">
        <v>0</v>
      </c>
      <c r="H210" s="7">
        <v>0</v>
      </c>
      <c r="I210" s="7">
        <v>0</v>
      </c>
      <c r="J210" s="7">
        <v>0</v>
      </c>
      <c r="K210" s="7">
        <v>0</v>
      </c>
      <c r="L210" s="7">
        <v>0</v>
      </c>
      <c r="M210" s="7">
        <v>0</v>
      </c>
      <c r="N210" s="7">
        <v>0</v>
      </c>
      <c r="O210" s="7">
        <v>0</v>
      </c>
      <c r="P210" s="7">
        <v>0</v>
      </c>
      <c r="Q210" s="7">
        <v>0</v>
      </c>
      <c r="R210" s="7">
        <v>0</v>
      </c>
      <c r="S210" s="7">
        <v>0</v>
      </c>
      <c r="T210" s="7">
        <v>0</v>
      </c>
      <c r="U210" s="7">
        <v>0</v>
      </c>
      <c r="V210" s="7">
        <v>0</v>
      </c>
      <c r="W210" s="7">
        <v>0</v>
      </c>
    </row>
  </sheetData>
  <conditionalFormatting sqref="E80:H95">
    <cfRule type="cellIs" dxfId="52" priority="24" operator="equal">
      <formula>999999</formula>
    </cfRule>
  </conditionalFormatting>
  <conditionalFormatting sqref="D83:H83">
    <cfRule type="cellIs" dxfId="51" priority="23" operator="equal">
      <formula>-99</formula>
    </cfRule>
  </conditionalFormatting>
  <conditionalFormatting sqref="F101">
    <cfRule type="cellIs" dxfId="50" priority="22" operator="equal">
      <formula>999999</formula>
    </cfRule>
  </conditionalFormatting>
  <conditionalFormatting sqref="G101">
    <cfRule type="cellIs" dxfId="49" priority="21" operator="equal">
      <formula>999999</formula>
    </cfRule>
  </conditionalFormatting>
  <conditionalFormatting sqref="F102:G107">
    <cfRule type="cellIs" dxfId="48" priority="20" operator="equal">
      <formula>999999</formula>
    </cfRule>
  </conditionalFormatting>
  <conditionalFormatting sqref="F108:G110">
    <cfRule type="cellIs" dxfId="47" priority="19" operator="equal">
      <formula>999999</formula>
    </cfRule>
  </conditionalFormatting>
  <conditionalFormatting sqref="D101">
    <cfRule type="cellIs" dxfId="46" priority="18" operator="equal">
      <formula>999999</formula>
    </cfRule>
  </conditionalFormatting>
  <conditionalFormatting sqref="D102:D107">
    <cfRule type="cellIs" dxfId="45" priority="17" operator="equal">
      <formula>999999</formula>
    </cfRule>
  </conditionalFormatting>
  <conditionalFormatting sqref="D108:D110">
    <cfRule type="cellIs" dxfId="44" priority="16" operator="equal">
      <formula>999999</formula>
    </cfRule>
  </conditionalFormatting>
  <conditionalFormatting sqref="E108:E110">
    <cfRule type="cellIs" dxfId="43" priority="15" operator="equal">
      <formula>999999</formula>
    </cfRule>
  </conditionalFormatting>
  <conditionalFormatting sqref="K108:N110">
    <cfRule type="cellIs" dxfId="42" priority="14" operator="equal">
      <formula>999999</formula>
    </cfRule>
  </conditionalFormatting>
  <conditionalFormatting sqref="R108:U110">
    <cfRule type="cellIs" dxfId="41" priority="13" operator="equal">
      <formula>999999</formula>
    </cfRule>
  </conditionalFormatting>
  <conditionalFormatting sqref="R101:R107">
    <cfRule type="cellIs" dxfId="40" priority="12" operator="equal">
      <formula>999999</formula>
    </cfRule>
  </conditionalFormatting>
  <conditionalFormatting sqref="T101:U107">
    <cfRule type="cellIs" dxfId="39" priority="11" operator="equal">
      <formula>999999</formula>
    </cfRule>
  </conditionalFormatting>
  <conditionalFormatting sqref="K101:K107">
    <cfRule type="cellIs" dxfId="38" priority="10" operator="equal">
      <formula>999999</formula>
    </cfRule>
  </conditionalFormatting>
  <conditionalFormatting sqref="M101:N107">
    <cfRule type="cellIs" dxfId="37" priority="9" operator="equal">
      <formula>999999</formula>
    </cfRule>
  </conditionalFormatting>
  <conditionalFormatting sqref="I83:J83">
    <cfRule type="cellIs" dxfId="36" priority="8" operator="equal">
      <formula>999999</formula>
    </cfRule>
  </conditionalFormatting>
  <conditionalFormatting sqref="I83:J83">
    <cfRule type="cellIs" dxfId="35" priority="7" operator="equal">
      <formula>-99</formula>
    </cfRule>
  </conditionalFormatting>
  <conditionalFormatting sqref="E116:E125">
    <cfRule type="cellIs" dxfId="34" priority="6" operator="equal">
      <formula>999999</formula>
    </cfRule>
  </conditionalFormatting>
  <conditionalFormatting sqref="G116:H125">
    <cfRule type="cellIs" dxfId="33" priority="5" operator="equal">
      <formula>999999</formula>
    </cfRule>
  </conditionalFormatting>
  <conditionalFormatting sqref="F116:F125">
    <cfRule type="cellIs" dxfId="32" priority="4" operator="equal">
      <formula>999999</formula>
    </cfRule>
  </conditionalFormatting>
  <conditionalFormatting sqref="J123:M125">
    <cfRule type="cellIs" dxfId="31" priority="3" operator="equal">
      <formula>999999</formula>
    </cfRule>
  </conditionalFormatting>
  <conditionalFormatting sqref="J116:J122">
    <cfRule type="cellIs" dxfId="30" priority="2" operator="equal">
      <formula>999999</formula>
    </cfRule>
  </conditionalFormatting>
  <conditionalFormatting sqref="L116:M122">
    <cfRule type="cellIs" dxfId="29" priority="1" operator="equal">
      <formula>999999</formula>
    </cfRule>
  </conditionalFormatting>
  <pageMargins left="0.7" right="0.7" top="0.75" bottom="0.75" header="0.3" footer="0.3"/>
  <pageSetup orientation="portrait" horizontalDpi="360" verticalDpi="360"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sheetPr>
  <dimension ref="A1:R33"/>
  <sheetViews>
    <sheetView workbookViewId="0">
      <selection activeCell="F30" sqref="F30"/>
    </sheetView>
  </sheetViews>
  <sheetFormatPr defaultRowHeight="14.4"/>
  <cols>
    <col min="1" max="1" width="9.6640625" customWidth="1"/>
    <col min="2" max="2" width="13.5546875" bestFit="1" customWidth="1"/>
    <col min="3" max="3" width="10.88671875" bestFit="1" customWidth="1"/>
    <col min="4" max="4" width="11" bestFit="1" customWidth="1"/>
    <col min="5" max="5" width="12.88671875" bestFit="1" customWidth="1"/>
    <col min="6" max="7" width="9.109375" style="28"/>
  </cols>
  <sheetData>
    <row r="1" spans="1:18" ht="18">
      <c r="A1" s="56" t="s">
        <v>382</v>
      </c>
      <c r="B1" s="56"/>
    </row>
    <row r="3" spans="1:18" ht="15" thickBot="1"/>
    <row r="4" spans="1:18">
      <c r="A4" s="104" t="s">
        <v>35</v>
      </c>
      <c r="B4" s="105" t="s">
        <v>312</v>
      </c>
      <c r="C4" s="105" t="s">
        <v>307</v>
      </c>
      <c r="D4" s="105" t="s">
        <v>306</v>
      </c>
      <c r="E4" s="105" t="s">
        <v>311</v>
      </c>
      <c r="F4" s="105" t="s">
        <v>308</v>
      </c>
      <c r="G4" s="106" t="s">
        <v>309</v>
      </c>
      <c r="I4" s="235" t="s">
        <v>324</v>
      </c>
      <c r="J4" s="20"/>
      <c r="K4" s="20"/>
      <c r="L4" s="20"/>
      <c r="M4" s="20"/>
      <c r="N4" s="20"/>
      <c r="O4" s="20"/>
      <c r="P4" s="21"/>
    </row>
    <row r="5" spans="1:18" ht="16.2">
      <c r="A5" s="93" t="s">
        <v>332</v>
      </c>
      <c r="B5" s="13" t="s">
        <v>313</v>
      </c>
      <c r="C5" s="13" t="s">
        <v>314</v>
      </c>
      <c r="D5" s="13" t="s">
        <v>330</v>
      </c>
      <c r="E5" s="13" t="s">
        <v>310</v>
      </c>
      <c r="F5" s="58">
        <v>0.21279999999999999</v>
      </c>
      <c r="G5" s="199">
        <v>2.4300999999999999</v>
      </c>
      <c r="I5" s="93">
        <v>1.0229999999999999</v>
      </c>
      <c r="J5" s="13"/>
      <c r="K5" s="13"/>
      <c r="L5" s="13"/>
      <c r="M5" s="13"/>
      <c r="N5" s="13"/>
      <c r="O5" s="13"/>
      <c r="P5" s="97"/>
    </row>
    <row r="6" spans="1:18" ht="16.8" thickBot="1">
      <c r="A6" s="227" t="s">
        <v>327</v>
      </c>
      <c r="B6" s="42" t="s">
        <v>329</v>
      </c>
      <c r="C6" s="42" t="s">
        <v>328</v>
      </c>
      <c r="D6" s="42" t="s">
        <v>331</v>
      </c>
      <c r="E6" s="42" t="s">
        <v>310</v>
      </c>
      <c r="F6" s="242">
        <v>2.0000000000000001E-4</v>
      </c>
      <c r="G6" s="243">
        <v>2.5989</v>
      </c>
      <c r="I6" s="227" t="s">
        <v>326</v>
      </c>
      <c r="J6" s="42"/>
      <c r="K6" s="42"/>
      <c r="L6" s="42"/>
      <c r="M6" s="42"/>
      <c r="N6" s="42"/>
      <c r="O6" s="42"/>
      <c r="P6" s="102"/>
    </row>
    <row r="7" spans="1:18" ht="15" thickBot="1"/>
    <row r="8" spans="1:18">
      <c r="I8" s="235" t="s">
        <v>383</v>
      </c>
      <c r="J8" s="20"/>
      <c r="K8" s="20"/>
      <c r="L8" s="21"/>
    </row>
    <row r="9" spans="1:18" ht="15" thickBot="1">
      <c r="A9" s="1" t="s">
        <v>461</v>
      </c>
      <c r="I9" s="236" t="s">
        <v>384</v>
      </c>
      <c r="J9" s="51" t="s">
        <v>385</v>
      </c>
      <c r="K9" s="51" t="s">
        <v>386</v>
      </c>
      <c r="L9" s="237" t="s">
        <v>325</v>
      </c>
    </row>
    <row r="10" spans="1:18">
      <c r="A10" s="226" t="s">
        <v>292</v>
      </c>
      <c r="B10" s="220" t="s">
        <v>455</v>
      </c>
      <c r="C10" s="106" t="s">
        <v>454</v>
      </c>
      <c r="D10" s="28"/>
      <c r="I10" s="238">
        <v>0.40300000000000002</v>
      </c>
      <c r="J10" s="13">
        <v>2005</v>
      </c>
      <c r="K10" s="13" t="s">
        <v>387</v>
      </c>
      <c r="L10" s="97" t="s">
        <v>388</v>
      </c>
    </row>
    <row r="11" spans="1:18" ht="15.6">
      <c r="A11" s="93" t="s">
        <v>293</v>
      </c>
      <c r="B11" s="231">
        <f>S.AdOcn!C25</f>
        <v>57.92</v>
      </c>
      <c r="C11" s="406">
        <f>$F$5*(B11^$G$5)</f>
        <v>4090.9228635271579</v>
      </c>
      <c r="D11" s="28"/>
      <c r="I11" s="238">
        <v>0.40300000000000002</v>
      </c>
      <c r="J11" s="13">
        <v>2004</v>
      </c>
      <c r="K11" s="13" t="s">
        <v>387</v>
      </c>
      <c r="L11" s="97" t="s">
        <v>388</v>
      </c>
    </row>
    <row r="12" spans="1:18" ht="15.6">
      <c r="A12" s="93" t="s">
        <v>294</v>
      </c>
      <c r="B12" s="231">
        <f>S.AdOcn!D25</f>
        <v>72.337999999999994</v>
      </c>
      <c r="C12" s="406">
        <f>$F$5*(B12^$G$5)</f>
        <v>7021.3100064774535</v>
      </c>
      <c r="D12" s="28"/>
      <c r="I12" s="238">
        <v>0.46500000000000002</v>
      </c>
      <c r="J12" s="13">
        <v>2007</v>
      </c>
      <c r="K12" s="13" t="s">
        <v>387</v>
      </c>
      <c r="L12" s="97" t="s">
        <v>388</v>
      </c>
      <c r="M12" s="74"/>
      <c r="N12" s="74"/>
      <c r="O12" s="74"/>
      <c r="P12" s="74"/>
      <c r="Q12" s="74"/>
      <c r="R12" s="74"/>
    </row>
    <row r="13" spans="1:18" ht="16.2" thickBot="1">
      <c r="A13" s="227" t="s">
        <v>453</v>
      </c>
      <c r="B13" s="232">
        <f>S.AdOcn!E25</f>
        <v>84.251999999999995</v>
      </c>
      <c r="C13" s="407">
        <f>$F$5*(B13^$G$5)</f>
        <v>10170.074024482548</v>
      </c>
      <c r="D13" s="28"/>
      <c r="I13" s="238">
        <v>0.34899999999999998</v>
      </c>
      <c r="J13" s="13">
        <v>2012</v>
      </c>
      <c r="K13" s="13" t="s">
        <v>389</v>
      </c>
      <c r="L13" s="97" t="s">
        <v>390</v>
      </c>
      <c r="M13" s="74"/>
      <c r="N13" s="74"/>
      <c r="O13" s="74"/>
      <c r="P13" s="74"/>
      <c r="Q13" s="74"/>
      <c r="R13" s="74"/>
    </row>
    <row r="14" spans="1:18">
      <c r="B14" s="28"/>
      <c r="C14" s="28"/>
      <c r="D14" s="28"/>
      <c r="I14" s="238">
        <v>0.36</v>
      </c>
      <c r="J14" s="13" t="s">
        <v>391</v>
      </c>
      <c r="K14" s="13" t="s">
        <v>392</v>
      </c>
      <c r="L14" s="97" t="s">
        <v>393</v>
      </c>
      <c r="M14" s="74"/>
      <c r="N14" s="74"/>
      <c r="O14" s="74"/>
      <c r="P14" s="74"/>
      <c r="Q14" s="74"/>
      <c r="R14" s="74"/>
    </row>
    <row r="15" spans="1:18" ht="15" thickBot="1">
      <c r="A15" s="1" t="s">
        <v>462</v>
      </c>
      <c r="B15" s="28"/>
      <c r="C15" s="28"/>
      <c r="D15" s="28"/>
      <c r="I15" s="238">
        <v>0.4</v>
      </c>
      <c r="J15" s="13" t="s">
        <v>394</v>
      </c>
      <c r="K15" s="13" t="s">
        <v>395</v>
      </c>
      <c r="L15" s="97" t="s">
        <v>393</v>
      </c>
      <c r="M15" s="74"/>
      <c r="N15" s="74"/>
      <c r="O15" s="74"/>
      <c r="P15" s="74"/>
      <c r="Q15" s="74"/>
      <c r="R15" s="74"/>
    </row>
    <row r="16" spans="1:18">
      <c r="A16" s="230" t="s">
        <v>292</v>
      </c>
      <c r="B16" s="220" t="s">
        <v>459</v>
      </c>
      <c r="C16" s="220" t="s">
        <v>460</v>
      </c>
      <c r="D16" s="220" t="s">
        <v>454</v>
      </c>
      <c r="I16" s="238">
        <v>0.439</v>
      </c>
      <c r="J16" s="13">
        <v>2011</v>
      </c>
      <c r="K16" s="13" t="s">
        <v>396</v>
      </c>
      <c r="L16" s="97" t="s">
        <v>393</v>
      </c>
      <c r="M16" s="74"/>
      <c r="N16" s="74"/>
      <c r="O16" s="74"/>
      <c r="P16" s="74"/>
      <c r="Q16" s="74"/>
      <c r="R16" s="74"/>
    </row>
    <row r="17" spans="1:18" ht="15.6">
      <c r="A17" s="228" t="s">
        <v>456</v>
      </c>
      <c r="B17" s="233">
        <v>65.400000000000006</v>
      </c>
      <c r="C17" s="233">
        <f>B17*$I$5</f>
        <v>66.904200000000003</v>
      </c>
      <c r="D17" s="406">
        <f>$F$6*(C17^$G$6)</f>
        <v>11.096877459504327</v>
      </c>
      <c r="I17" s="238">
        <v>0.4</v>
      </c>
      <c r="J17" s="13">
        <v>2011</v>
      </c>
      <c r="K17" s="13" t="s">
        <v>396</v>
      </c>
      <c r="L17" s="97" t="s">
        <v>393</v>
      </c>
      <c r="M17" s="74"/>
      <c r="N17" s="74"/>
      <c r="O17" s="74"/>
      <c r="P17" s="74"/>
      <c r="Q17" s="74"/>
      <c r="R17" s="74"/>
    </row>
    <row r="18" spans="1:18" ht="15.6">
      <c r="A18" s="228" t="s">
        <v>263</v>
      </c>
      <c r="B18" s="233">
        <v>105.09375</v>
      </c>
      <c r="C18" s="233">
        <f t="shared" ref="C18:C23" si="0">B18*$I$5</f>
        <v>107.51090624999999</v>
      </c>
      <c r="D18" s="408">
        <f t="shared" ref="D18:D23" si="1">$F$6*(C18^$G$6)</f>
        <v>38.06904278109397</v>
      </c>
      <c r="I18" s="238">
        <v>0.34599999999999997</v>
      </c>
      <c r="J18" s="13">
        <v>2013</v>
      </c>
      <c r="K18" s="13" t="s">
        <v>396</v>
      </c>
      <c r="L18" s="97" t="s">
        <v>393</v>
      </c>
      <c r="M18" s="74"/>
      <c r="N18" s="74"/>
      <c r="O18" s="74"/>
      <c r="P18" s="74"/>
      <c r="Q18" s="74"/>
      <c r="R18" s="74"/>
    </row>
    <row r="19" spans="1:18" ht="15.6">
      <c r="A19" s="228" t="s">
        <v>264</v>
      </c>
      <c r="B19" s="233">
        <v>136.21428571428572</v>
      </c>
      <c r="C19" s="233">
        <f t="shared" si="0"/>
        <v>139.34721428571427</v>
      </c>
      <c r="D19" s="408">
        <f t="shared" si="1"/>
        <v>74.701108144460321</v>
      </c>
      <c r="I19" s="238">
        <v>0.39700000000000002</v>
      </c>
      <c r="J19" s="13">
        <v>2012</v>
      </c>
      <c r="K19" s="13" t="s">
        <v>397</v>
      </c>
      <c r="L19" s="97" t="s">
        <v>398</v>
      </c>
      <c r="M19" s="74"/>
      <c r="N19" s="74"/>
      <c r="O19" s="74"/>
      <c r="P19" s="74"/>
      <c r="Q19" s="74"/>
      <c r="R19" s="74"/>
    </row>
    <row r="20" spans="1:18" ht="15.6">
      <c r="A20" s="228" t="s">
        <v>265</v>
      </c>
      <c r="B20" s="233">
        <v>165.23529411764707</v>
      </c>
      <c r="C20" s="233">
        <f t="shared" si="0"/>
        <v>169.03570588235294</v>
      </c>
      <c r="D20" s="408">
        <f t="shared" si="1"/>
        <v>123.40228269788216</v>
      </c>
      <c r="I20" s="238">
        <v>0.48</v>
      </c>
      <c r="J20" s="13">
        <v>2008</v>
      </c>
      <c r="K20" s="13" t="s">
        <v>399</v>
      </c>
      <c r="L20" s="97" t="s">
        <v>400</v>
      </c>
      <c r="M20" s="74"/>
      <c r="N20" s="74"/>
      <c r="O20" s="74"/>
      <c r="P20" s="74"/>
      <c r="Q20" s="74"/>
      <c r="R20" s="74"/>
    </row>
    <row r="21" spans="1:18" ht="15.6">
      <c r="A21" s="228" t="s">
        <v>457</v>
      </c>
      <c r="B21" s="233">
        <v>199.75</v>
      </c>
      <c r="C21" s="233">
        <f t="shared" si="0"/>
        <v>204.34424999999999</v>
      </c>
      <c r="D21" s="408">
        <f t="shared" si="1"/>
        <v>202.03699174910949</v>
      </c>
      <c r="I21" s="239">
        <v>0.46800000000000003</v>
      </c>
      <c r="J21" s="6">
        <v>2007</v>
      </c>
      <c r="K21" s="6" t="s">
        <v>388</v>
      </c>
      <c r="L21" s="240"/>
      <c r="M21" s="74"/>
      <c r="N21" s="74"/>
      <c r="O21" s="74"/>
      <c r="P21" s="74"/>
      <c r="Q21" s="74"/>
      <c r="R21" s="74"/>
    </row>
    <row r="22" spans="1:18" ht="15.6">
      <c r="A22" s="228" t="s">
        <v>458</v>
      </c>
      <c r="B22" s="233">
        <v>216</v>
      </c>
      <c r="C22" s="233">
        <f t="shared" si="0"/>
        <v>220.96799999999999</v>
      </c>
      <c r="D22" s="408">
        <f t="shared" si="1"/>
        <v>247.57548242307968</v>
      </c>
      <c r="I22" s="238">
        <f>AVERAGE(I10:I21)</f>
        <v>0.40916666666666668</v>
      </c>
      <c r="J22" s="13" t="s">
        <v>401</v>
      </c>
      <c r="K22" s="565">
        <v>0.40920000000000001</v>
      </c>
      <c r="L22" s="97" t="s">
        <v>718</v>
      </c>
      <c r="M22" s="74"/>
      <c r="N22" s="74"/>
      <c r="O22" s="74"/>
      <c r="P22" s="74"/>
      <c r="Q22" s="74"/>
      <c r="R22" s="74"/>
    </row>
    <row r="23" spans="1:18" ht="15" thickBot="1">
      <c r="A23" s="229" t="s">
        <v>463</v>
      </c>
      <c r="B23" s="234">
        <v>237</v>
      </c>
      <c r="C23" s="234">
        <f t="shared" si="0"/>
        <v>242.45099999999996</v>
      </c>
      <c r="D23" s="405">
        <f t="shared" si="1"/>
        <v>315.08610858755986</v>
      </c>
      <c r="I23" s="93" t="s">
        <v>402</v>
      </c>
      <c r="J23" s="13"/>
      <c r="K23" s="13"/>
      <c r="L23" s="97"/>
      <c r="M23" s="74"/>
      <c r="N23" s="74"/>
      <c r="O23" s="74"/>
      <c r="P23" s="74"/>
      <c r="Q23" s="74"/>
      <c r="R23" s="74"/>
    </row>
    <row r="24" spans="1:18" ht="15" thickBot="1">
      <c r="I24" s="227" t="s">
        <v>403</v>
      </c>
      <c r="J24" s="42"/>
      <c r="K24" s="241"/>
      <c r="L24" s="102"/>
      <c r="M24" s="74"/>
      <c r="N24" s="74"/>
      <c r="O24" s="74"/>
      <c r="P24" s="74"/>
      <c r="Q24" s="74"/>
      <c r="R24" s="74"/>
    </row>
    <row r="25" spans="1:18" ht="15" thickBot="1">
      <c r="A25" s="1" t="s">
        <v>518</v>
      </c>
      <c r="M25" s="74"/>
      <c r="N25" s="74"/>
      <c r="O25" s="74"/>
      <c r="P25" s="74"/>
      <c r="Q25" s="74"/>
      <c r="R25" s="74"/>
    </row>
    <row r="26" spans="1:18">
      <c r="A26" s="230" t="s">
        <v>292</v>
      </c>
      <c r="B26" s="104" t="s">
        <v>270</v>
      </c>
      <c r="C26" s="220" t="s">
        <v>269</v>
      </c>
      <c r="M26" s="74"/>
      <c r="N26" s="74"/>
      <c r="O26" s="74"/>
      <c r="P26" s="74"/>
      <c r="Q26" s="74"/>
      <c r="R26" s="74"/>
    </row>
    <row r="27" spans="1:18">
      <c r="A27" s="228" t="s">
        <v>456</v>
      </c>
      <c r="B27" s="156">
        <v>0</v>
      </c>
      <c r="C27" s="259">
        <v>0</v>
      </c>
      <c r="K27" s="15">
        <f>1-K22</f>
        <v>0.59079999999999999</v>
      </c>
      <c r="M27" s="74"/>
      <c r="N27" s="74"/>
      <c r="O27" s="74"/>
      <c r="P27" s="74"/>
      <c r="Q27" s="74"/>
      <c r="R27" s="74"/>
    </row>
    <row r="28" spans="1:18">
      <c r="A28" s="228" t="s">
        <v>263</v>
      </c>
      <c r="B28" s="156">
        <v>0</v>
      </c>
      <c r="C28" s="259">
        <v>0</v>
      </c>
      <c r="M28" s="74"/>
      <c r="N28" s="74"/>
      <c r="O28" s="74"/>
      <c r="P28" s="74"/>
      <c r="Q28" s="74"/>
      <c r="R28" s="74"/>
    </row>
    <row r="29" spans="1:18">
      <c r="A29" s="228" t="s">
        <v>264</v>
      </c>
      <c r="B29" s="156">
        <v>0.45</v>
      </c>
      <c r="C29" s="259">
        <v>0.1</v>
      </c>
    </row>
    <row r="30" spans="1:18">
      <c r="A30" s="228" t="s">
        <v>265</v>
      </c>
      <c r="B30" s="156">
        <v>0.65</v>
      </c>
      <c r="C30" s="259">
        <v>0.35</v>
      </c>
    </row>
    <row r="31" spans="1:18">
      <c r="A31" s="228" t="s">
        <v>457</v>
      </c>
      <c r="B31" s="156">
        <v>0.8</v>
      </c>
      <c r="C31" s="259">
        <v>0.6</v>
      </c>
    </row>
    <row r="32" spans="1:18">
      <c r="A32" s="228" t="s">
        <v>458</v>
      </c>
      <c r="B32" s="156">
        <v>1</v>
      </c>
      <c r="C32" s="259">
        <v>0.8</v>
      </c>
    </row>
    <row r="33" spans="1:3" ht="15" thickBot="1">
      <c r="A33" s="229" t="s">
        <v>463</v>
      </c>
      <c r="B33" s="157">
        <v>1</v>
      </c>
      <c r="C33" s="260">
        <v>1</v>
      </c>
    </row>
  </sheetData>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1" tint="0.14999847407452621"/>
  </sheetPr>
  <dimension ref="A1:AH39"/>
  <sheetViews>
    <sheetView topLeftCell="J1" zoomScale="85" zoomScaleNormal="85" workbookViewId="0">
      <selection activeCell="AC26" sqref="AC25:AG26"/>
    </sheetView>
  </sheetViews>
  <sheetFormatPr defaultColWidth="9.109375" defaultRowHeight="14.4"/>
  <cols>
    <col min="1" max="1" width="9.109375" style="74"/>
    <col min="2" max="2" width="11.5546875" style="74" customWidth="1"/>
    <col min="3" max="3" width="7.88671875" style="74" customWidth="1"/>
    <col min="4" max="8" width="7.33203125" style="74" customWidth="1"/>
    <col min="9" max="9" width="6.5546875" style="74" customWidth="1"/>
    <col min="10" max="14" width="6.5546875" style="28" customWidth="1"/>
    <col min="15" max="15" width="8.6640625" style="28" customWidth="1"/>
    <col min="16" max="16" width="14.5546875" style="74" customWidth="1"/>
    <col min="17" max="17" width="8.6640625" style="74" customWidth="1"/>
    <col min="18" max="18" width="8.6640625" style="74" bestFit="1" customWidth="1"/>
    <col min="19" max="19" width="7.109375" style="28" customWidth="1"/>
    <col min="20" max="21" width="7.33203125" style="28" customWidth="1"/>
    <col min="22" max="26" width="7.33203125" style="74" customWidth="1"/>
    <col min="27" max="27" width="8.5546875" style="74" customWidth="1"/>
    <col min="28" max="28" width="9.109375" style="74"/>
    <col min="29" max="29" width="9.109375" style="297"/>
    <col min="30" max="30" width="9.109375" style="74"/>
    <col min="31" max="31" width="9.109375" style="297"/>
    <col min="32" max="16384" width="9.109375" style="74"/>
  </cols>
  <sheetData>
    <row r="1" spans="1:34" ht="18">
      <c r="A1" s="56" t="s">
        <v>441</v>
      </c>
      <c r="J1" s="74"/>
      <c r="K1" s="74"/>
      <c r="P1" s="28"/>
      <c r="Q1" s="28"/>
      <c r="S1" s="74"/>
      <c r="T1" s="74"/>
      <c r="V1" s="28"/>
      <c r="W1" s="28"/>
      <c r="AB1" s="297"/>
      <c r="AC1" s="74"/>
      <c r="AD1" s="297"/>
      <c r="AE1" s="74"/>
    </row>
    <row r="2" spans="1:34">
      <c r="A2" s="74" t="s">
        <v>448</v>
      </c>
      <c r="J2" s="74"/>
      <c r="K2" s="74"/>
      <c r="P2" s="28"/>
      <c r="Q2" s="28"/>
      <c r="S2" s="74"/>
      <c r="T2" s="74"/>
      <c r="V2" s="28"/>
      <c r="W2" s="28"/>
      <c r="AB2" s="297"/>
      <c r="AC2" s="74"/>
      <c r="AD2" s="297"/>
      <c r="AE2" s="74"/>
    </row>
    <row r="3" spans="1:34" ht="15" thickBot="1">
      <c r="A3" s="74" t="s">
        <v>577</v>
      </c>
      <c r="J3" s="74"/>
      <c r="K3" s="74"/>
      <c r="P3" s="28"/>
      <c r="Q3" s="28"/>
      <c r="S3" s="74"/>
      <c r="T3" s="74"/>
      <c r="V3" s="28"/>
      <c r="W3" s="28"/>
      <c r="AB3" s="297"/>
      <c r="AC3" s="74"/>
      <c r="AD3" s="297"/>
      <c r="AE3" s="74"/>
    </row>
    <row r="4" spans="1:34" ht="15" thickBot="1">
      <c r="D4" s="210" t="s">
        <v>408</v>
      </c>
      <c r="E4" s="223"/>
      <c r="F4" s="196" t="s">
        <v>409</v>
      </c>
      <c r="G4" s="197"/>
      <c r="H4" s="198"/>
      <c r="I4" s="196" t="s">
        <v>410</v>
      </c>
      <c r="J4" s="197"/>
      <c r="K4" s="198"/>
      <c r="L4" s="314" t="s">
        <v>411</v>
      </c>
      <c r="M4" s="315"/>
      <c r="N4" s="316"/>
      <c r="O4" s="196" t="s">
        <v>444</v>
      </c>
      <c r="P4" s="197"/>
      <c r="Q4" s="198"/>
      <c r="S4" s="74"/>
      <c r="T4" s="74"/>
      <c r="U4" s="74" t="s">
        <v>451</v>
      </c>
      <c r="V4" s="28"/>
      <c r="W4" s="28"/>
    </row>
    <row r="5" spans="1:34" ht="15" thickBot="1">
      <c r="C5" s="513" t="s">
        <v>452</v>
      </c>
      <c r="D5" s="177" t="s">
        <v>412</v>
      </c>
      <c r="E5" s="224"/>
      <c r="F5" s="225" t="s">
        <v>412</v>
      </c>
      <c r="G5" s="58"/>
      <c r="H5" s="199"/>
      <c r="I5" s="225" t="s">
        <v>412</v>
      </c>
      <c r="J5" s="58"/>
      <c r="K5" s="199"/>
      <c r="L5" s="317" t="s">
        <v>412</v>
      </c>
      <c r="M5" s="318"/>
      <c r="N5" s="319"/>
      <c r="O5" s="43" t="s">
        <v>413</v>
      </c>
      <c r="P5" s="58" t="s">
        <v>414</v>
      </c>
      <c r="Q5" s="199" t="s">
        <v>415</v>
      </c>
      <c r="R5" s="210" t="s">
        <v>439</v>
      </c>
      <c r="S5" s="20"/>
      <c r="T5" s="21"/>
      <c r="U5" s="196" t="s">
        <v>447</v>
      </c>
      <c r="V5" s="197"/>
      <c r="W5" s="198"/>
      <c r="X5" s="19" t="s">
        <v>445</v>
      </c>
      <c r="Y5" s="20"/>
      <c r="Z5" s="21"/>
      <c r="AB5" s="499" t="s">
        <v>440</v>
      </c>
      <c r="AC5" s="499"/>
      <c r="AD5" s="499" t="s">
        <v>267</v>
      </c>
      <c r="AE5" s="499" t="s">
        <v>267</v>
      </c>
      <c r="AF5" s="499"/>
      <c r="AG5" s="499"/>
      <c r="AH5" s="499"/>
    </row>
    <row r="6" spans="1:34" ht="15" thickBot="1">
      <c r="A6" s="217" t="s">
        <v>347</v>
      </c>
      <c r="B6" s="104" t="s">
        <v>443</v>
      </c>
      <c r="C6" s="348" t="s">
        <v>836</v>
      </c>
      <c r="D6" s="170" t="s">
        <v>416</v>
      </c>
      <c r="E6" s="347" t="s">
        <v>417</v>
      </c>
      <c r="F6" s="168" t="s">
        <v>418</v>
      </c>
      <c r="G6" s="170" t="s">
        <v>416</v>
      </c>
      <c r="H6" s="347" t="s">
        <v>417</v>
      </c>
      <c r="I6" s="168" t="s">
        <v>418</v>
      </c>
      <c r="J6" s="170" t="s">
        <v>416</v>
      </c>
      <c r="K6" s="347" t="s">
        <v>417</v>
      </c>
      <c r="L6" s="320" t="s">
        <v>418</v>
      </c>
      <c r="M6" s="321" t="s">
        <v>416</v>
      </c>
      <c r="N6" s="322" t="s">
        <v>417</v>
      </c>
      <c r="O6" s="168" t="s">
        <v>419</v>
      </c>
      <c r="P6" s="170" t="s">
        <v>420</v>
      </c>
      <c r="Q6" s="169" t="s">
        <v>421</v>
      </c>
      <c r="R6" s="211" t="s">
        <v>422</v>
      </c>
      <c r="S6" s="171" t="s">
        <v>423</v>
      </c>
      <c r="T6" s="212" t="s">
        <v>424</v>
      </c>
      <c r="U6" s="208" t="s">
        <v>425</v>
      </c>
      <c r="V6" s="129" t="s">
        <v>426</v>
      </c>
      <c r="W6" s="209" t="s">
        <v>427</v>
      </c>
      <c r="X6" s="206" t="s">
        <v>428</v>
      </c>
      <c r="Y6" s="128" t="s">
        <v>429</v>
      </c>
      <c r="Z6" s="207" t="s">
        <v>430</v>
      </c>
      <c r="AA6" s="189"/>
      <c r="AB6" s="189" t="s">
        <v>273</v>
      </c>
      <c r="AC6" s="189" t="s">
        <v>683</v>
      </c>
      <c r="AD6" s="189" t="s">
        <v>681</v>
      </c>
      <c r="AE6" s="189" t="s">
        <v>682</v>
      </c>
      <c r="AF6" s="299"/>
      <c r="AG6" s="299"/>
      <c r="AH6" s="299"/>
    </row>
    <row r="7" spans="1:34">
      <c r="A7" s="218">
        <v>2008</v>
      </c>
      <c r="B7" s="221">
        <f>S.egg!L4</f>
        <v>2163072.479216883</v>
      </c>
      <c r="C7" s="511">
        <v>0.11786804422498388</v>
      </c>
      <c r="D7" s="341">
        <f>VLOOKUP($A7&amp;D$6,S.parr!$B$3:$G$22,6,FALSE)</f>
        <v>0.73299999999999998</v>
      </c>
      <c r="E7" s="337">
        <f>VLOOKUP($A7&amp;E$6,S.parr!$B$3:$G$22,6,FALSE)</f>
        <v>0.46657142857142853</v>
      </c>
      <c r="F7" s="331">
        <f>VLOOKUP($A7&amp;F$6,S.parr!$B$3:$F$22,5,FALSE)</f>
        <v>0.6683380790351936</v>
      </c>
      <c r="G7" s="338">
        <f>VLOOKUP($A7&amp;G$6,S.parr!$C$3:$F$22,4,FALSE)</f>
        <v>0.84632957837683753</v>
      </c>
      <c r="H7" s="333">
        <f>VLOOKUP($A7&amp;H$6,S.parr!$C$3:$F$22,4,FALSE)</f>
        <v>0.43613718964943582</v>
      </c>
      <c r="I7" s="329">
        <f>VLOOKUP($A7&amp;I$6,S.parr!$C$3:$F$22,4,FALSE)</f>
        <v>0.97812196392157791</v>
      </c>
      <c r="J7" s="334">
        <f>VLOOKUP($A7&amp;J$6,S.parr!$D$3:$F$22,3,FALSE)</f>
        <v>0.7111335070851762</v>
      </c>
      <c r="K7" s="172">
        <f>VLOOKUP($A7&amp;K$6,S.parr!$D$3:$F$22,3,FALSE)</f>
        <v>0.64883911144616646</v>
      </c>
      <c r="L7" s="323">
        <f>VLOOKUP($A7&amp;L$6,S.parr!$D$3:$F$22,3,FALSE)</f>
        <v>0.93926711679762176</v>
      </c>
      <c r="M7" s="324"/>
      <c r="N7" s="325"/>
      <c r="O7" s="200">
        <f>B7*C7*D7*E7^(1/2)</f>
        <v>127652.75554422836</v>
      </c>
      <c r="P7" s="201">
        <f>(O7-R7)*(E7^(1/2))*F7*G7*(H7^(1/2))</f>
        <v>32493.661332881355</v>
      </c>
      <c r="Q7" s="202">
        <f>(P7-S7)*I7*J7*(K7^(1/2))*(H7^(1/2))</f>
        <v>4167.5370448276535</v>
      </c>
      <c r="R7" s="213">
        <f>S.smolt!J11</f>
        <v>304.70716315060395</v>
      </c>
      <c r="S7" s="99">
        <f>S.smolt!K11</f>
        <v>21230.631232561911</v>
      </c>
      <c r="T7" s="214">
        <f>S.smolt!L11</f>
        <v>4167.5370448276517</v>
      </c>
      <c r="U7" s="304">
        <f>O7/(B7*C7)</f>
        <v>0.50068322948318766</v>
      </c>
      <c r="V7" s="59">
        <f>P7/(O7-R7)</f>
        <v>0.25515633530281479</v>
      </c>
      <c r="W7" s="111">
        <f>Q7/(P7-S7)</f>
        <v>0.37001916959357617</v>
      </c>
      <c r="X7" s="238">
        <f>R7/(O7)</f>
        <v>2.3870002794027494E-3</v>
      </c>
      <c r="Y7" s="303">
        <f t="shared" ref="Y7:Z10" si="0">S7/(P7)</f>
        <v>0.65337762387145859</v>
      </c>
      <c r="Z7" s="306">
        <f>T7/(Q7)</f>
        <v>0.99999999999999956</v>
      </c>
      <c r="AA7" s="190"/>
      <c r="AB7" s="17">
        <f>S.egg!B4</f>
        <v>769</v>
      </c>
      <c r="AC7" s="17">
        <f>SUM(R7:T7)</f>
        <v>25702.875440540167</v>
      </c>
      <c r="AD7" s="350">
        <f>(SUM(R7:T7)/AB7)</f>
        <v>33.423765202262899</v>
      </c>
      <c r="AE7" s="350">
        <f>('S.smolt (sf&amp;mf)'!G11/AB7)</f>
        <v>29.715768072607084</v>
      </c>
      <c r="AF7" s="350">
        <f>R7/SUM(R7:T7)/('S.smolt (sf)'!G27)</f>
        <v>1.0000000000000002</v>
      </c>
      <c r="AG7" s="350">
        <f>S7/SUM(R7:T7)/('S.smolt (sf)'!H27)</f>
        <v>1.0000000000000002</v>
      </c>
      <c r="AH7" s="350">
        <f>T7/SUM(R7:T7)/('S.smolt (sf)'!I27)</f>
        <v>1.0000000000000002</v>
      </c>
    </row>
    <row r="8" spans="1:34">
      <c r="A8" s="218">
        <v>2009</v>
      </c>
      <c r="B8" s="221">
        <f>S.egg!L5</f>
        <v>5723283.203721351</v>
      </c>
      <c r="C8" s="511">
        <v>1.1070409963785615E-2</v>
      </c>
      <c r="D8" s="341">
        <f>VLOOKUP($A8&amp;D$6,S.parr!$B$3:$G$22,6,FALSE)</f>
        <v>0.81699999999999995</v>
      </c>
      <c r="E8" s="337">
        <f>VLOOKUP($A8&amp;E$6,S.parr!$B$3:$G$22,6,FALSE)</f>
        <v>0.626</v>
      </c>
      <c r="F8" s="331">
        <f>VLOOKUP($A8&amp;F$6,S.parr!$B$3:$F$22,5,FALSE)</f>
        <v>0.97812196392157791</v>
      </c>
      <c r="G8" s="338">
        <f>VLOOKUP($A8&amp;G$6,S.parr!$C$3:$F$22,4,FALSE)</f>
        <v>0.7111335070851762</v>
      </c>
      <c r="H8" s="333">
        <f>VLOOKUP($A8&amp;H$6,S.parr!$C$3:$F$22,4,FALSE)</f>
        <v>0.64883911144616646</v>
      </c>
      <c r="I8" s="329">
        <f>VLOOKUP($A8&amp;I$6,S.parr!$C$3:$F$22,4,FALSE)</f>
        <v>0.93926711679762176</v>
      </c>
      <c r="J8" s="334">
        <f>VLOOKUP($A8&amp;J$6,S.parr!$D$3:$F$22,3,FALSE)</f>
        <v>0.79936092799251046</v>
      </c>
      <c r="K8" s="172">
        <f>VLOOKUP($A8&amp;K$6,S.parr!$D$3:$F$22,3,FALSE)</f>
        <v>0.5394511227433425</v>
      </c>
      <c r="L8" s="323">
        <f>VLOOKUP($A8&amp;L$6,S.parr!$D$3:$F$22,3,FALSE)</f>
        <v>0.92668318385829462</v>
      </c>
      <c r="M8" s="324"/>
      <c r="N8" s="325"/>
      <c r="O8" s="200">
        <f>B8*C8*D8*E8^(1/2)</f>
        <v>40956.059362229207</v>
      </c>
      <c r="P8" s="201">
        <f>(O8-R8)*(E8^(1/2))*F8*G8*(H8^(1/2))</f>
        <v>17255.001909570765</v>
      </c>
      <c r="Q8" s="202">
        <f>(P8-S8)*I8*J8*(K8^(1/2))*(H8^(1/2))</f>
        <v>2005.980923097379</v>
      </c>
      <c r="R8" s="213">
        <f>S.smolt!J12</f>
        <v>2032.2639388871146</v>
      </c>
      <c r="S8" s="99">
        <f>S.smolt!K12</f>
        <v>12739.04070126459</v>
      </c>
      <c r="T8" s="214">
        <f>S.smolt!L12</f>
        <v>2005.9809230973785</v>
      </c>
      <c r="U8" s="304">
        <f>O8/(B8*C8)</f>
        <v>0.64641172173777905</v>
      </c>
      <c r="V8" s="59">
        <f t="shared" ref="V8:W10" si="1">P8/(O8-R8)</f>
        <v>0.44330214260717149</v>
      </c>
      <c r="W8" s="111">
        <f t="shared" si="1"/>
        <v>0.44419799696414414</v>
      </c>
      <c r="X8" s="238">
        <f>R8/(O8)</f>
        <v>4.9620592667695071E-2</v>
      </c>
      <c r="Y8" s="303">
        <f t="shared" si="0"/>
        <v>0.73828103688581315</v>
      </c>
      <c r="Z8" s="306">
        <f>T8/(Q8)</f>
        <v>0.99999999999999978</v>
      </c>
      <c r="AA8" s="190"/>
      <c r="AB8" s="17">
        <f>S.egg!B5</f>
        <v>2114</v>
      </c>
      <c r="AC8" s="17">
        <f>SUM(R8:T8)</f>
        <v>16777.285563249083</v>
      </c>
      <c r="AD8" s="350">
        <f>(SUM(R8:T8)/AB8)</f>
        <v>7.9362751008746848</v>
      </c>
      <c r="AE8" s="350">
        <f>('S.smolt (sf&amp;mf)'!G12/AB8)</f>
        <v>13.869715456145411</v>
      </c>
      <c r="AF8" s="350">
        <f>R8/SUM(R8:T8)/('S.smolt (sf)'!G28)</f>
        <v>1</v>
      </c>
      <c r="AG8" s="350">
        <f>S8/SUM(R8:T8)/('S.smolt (sf)'!H28)</f>
        <v>1</v>
      </c>
      <c r="AH8" s="350">
        <f>T8/SUM(R8:T8)/('S.smolt (sf)'!I28)</f>
        <v>1</v>
      </c>
    </row>
    <row r="9" spans="1:34">
      <c r="A9" s="218">
        <v>2010</v>
      </c>
      <c r="B9" s="510">
        <f>S.egg!L6</f>
        <v>5984946.9643912744</v>
      </c>
      <c r="C9" s="511">
        <v>5.1715548844873283E-2</v>
      </c>
      <c r="D9" s="341">
        <f>VLOOKUP($A9&amp;D$6,S.parr!$B$3:$G$22,6,FALSE)</f>
        <v>0.62379999999999991</v>
      </c>
      <c r="E9" s="337">
        <f>VLOOKUP($A9&amp;E$6,S.parr!$B$3:$G$22,6,FALSE)</f>
        <v>0.39</v>
      </c>
      <c r="F9" s="331">
        <f>VLOOKUP($A9&amp;F$6,S.parr!$B$3:$F$22,5,FALSE)</f>
        <v>0.93926711679762176</v>
      </c>
      <c r="G9" s="338">
        <f>VLOOKUP($A9&amp;G$6,S.parr!$C$3:$F$22,4,FALSE)</f>
        <v>0.79936092799251046</v>
      </c>
      <c r="H9" s="333">
        <f>VLOOKUP($A9&amp;H$6,S.parr!$C$3:$F$22,4,FALSE)</f>
        <v>0.5394511227433425</v>
      </c>
      <c r="I9" s="329">
        <f>VLOOKUP($A9&amp;I$6,S.parr!$C$3:$F$22,4,FALSE)</f>
        <v>0.92668318385829462</v>
      </c>
      <c r="J9" s="334">
        <f>VLOOKUP($A9&amp;J$6,S.parr!$D$3:$F$22,3,FALSE)</f>
        <v>0.74927858214127352</v>
      </c>
      <c r="K9" s="172">
        <f>VLOOKUP($A9&amp;K$6,S.parr!$D$3:$F$22,3,FALSE)</f>
        <v>0.52611097089419601</v>
      </c>
      <c r="L9" s="323">
        <f>VLOOKUP($A9&amp;L$6,S.parr!$D$3:$F$22,3,FALSE)</f>
        <v>0.67416511030792603</v>
      </c>
      <c r="M9" s="324"/>
      <c r="N9" s="325"/>
      <c r="O9" s="200">
        <f>B9*C9*D9*E9^(1/2)</f>
        <v>120575.51298810181</v>
      </c>
      <c r="P9" s="201">
        <f>(O9-R9)*(E9^(1/2))*F9*G9*(H9^(1/2))</f>
        <v>41120.80120193179</v>
      </c>
      <c r="Q9" s="202">
        <f>(P9-S9)*I9*J9*(K9^(1/2))*(H9^(1/2))</f>
        <v>7963.4641825768749</v>
      </c>
      <c r="R9" s="213">
        <f>S.smolt!J13</f>
        <v>1170.8797450424588</v>
      </c>
      <c r="S9" s="99">
        <f>S.smolt!K13</f>
        <v>19592.354282466065</v>
      </c>
      <c r="T9" s="214">
        <f>S.smolt!L13</f>
        <v>7963.4655349372033</v>
      </c>
      <c r="U9" s="304">
        <f>O9/(B9*C9)</f>
        <v>0.38956297514009203</v>
      </c>
      <c r="V9" s="59">
        <f>P9/(O9-R9)</f>
        <v>0.34438195642062347</v>
      </c>
      <c r="W9" s="111">
        <f>Q9/(P9-S9)</f>
        <v>0.36990425795074056</v>
      </c>
      <c r="X9" s="238">
        <f>R9/(O9)</f>
        <v>9.7107589760617417E-3</v>
      </c>
      <c r="Y9" s="303">
        <f>S9/(P9)</f>
        <v>0.4764584762406246</v>
      </c>
      <c r="Z9" s="306">
        <f>T9/(Q9)</f>
        <v>1.0000001698206078</v>
      </c>
      <c r="AA9" s="190"/>
      <c r="AB9" s="17">
        <f>S.egg!B6</f>
        <v>1820</v>
      </c>
      <c r="AC9" s="17">
        <f t="shared" ref="AC9:AC10" si="2">SUM(R9:T9)</f>
        <v>28726.699562445727</v>
      </c>
      <c r="AD9" s="350">
        <f t="shared" ref="AD9:AD10" si="3">(SUM(R9:T9)/AB9)</f>
        <v>15.783900858486662</v>
      </c>
      <c r="AE9" s="350">
        <f>('S.smolt (sf&amp;mf)'!G13/AB9)</f>
        <v>45.773155260747828</v>
      </c>
      <c r="AF9" s="350">
        <f>R9/SUM(R9:T9)/('S.smolt (sf)'!G29)</f>
        <v>1</v>
      </c>
      <c r="AG9" s="350">
        <f>S9/SUM(R9:T9)/('S.smolt (sf)'!H29)</f>
        <v>1</v>
      </c>
      <c r="AH9" s="350">
        <f>T9/SUM(R9:T9)/('S.smolt (sf)'!I29)</f>
        <v>1</v>
      </c>
    </row>
    <row r="10" spans="1:34" ht="15" thickBot="1">
      <c r="A10" s="219">
        <v>2011</v>
      </c>
      <c r="B10" s="222">
        <f>S.egg!L7</f>
        <v>10799680.685689986</v>
      </c>
      <c r="C10" s="512">
        <v>3.7202275372506387E-2</v>
      </c>
      <c r="D10" s="342">
        <f>VLOOKUP($A10&amp;D$6,S.parr!$B$3:$G$22,6,FALSE)</f>
        <v>0.63100000000000001</v>
      </c>
      <c r="E10" s="339">
        <f>VLOOKUP($A10&amp;E$6,S.parr!$B$3:$G$22,6,FALSE)</f>
        <v>0.432</v>
      </c>
      <c r="F10" s="332">
        <f>VLOOKUP($A10&amp;F$6,S.parr!$B$3:$F$22,5,FALSE)</f>
        <v>0.92668318385829462</v>
      </c>
      <c r="G10" s="340">
        <f>VLOOKUP($A10&amp;G$6,S.parr!$C$3:$F$22,4,FALSE)</f>
        <v>0.74927858214127352</v>
      </c>
      <c r="H10" s="335">
        <f>VLOOKUP($A10&amp;H$6,S.parr!$C$3:$F$22,4,FALSE)</f>
        <v>0.52611097089419601</v>
      </c>
      <c r="I10" s="330">
        <f>VLOOKUP($A10&amp;I$6,S.parr!$C$3:$F$22,4,FALSE)</f>
        <v>0.67416511030792603</v>
      </c>
      <c r="J10" s="336">
        <f>VLOOKUP($A10&amp;J$6,S.parr!$D$3:$F$22,3,FALSE)</f>
        <v>0.63326504494545621</v>
      </c>
      <c r="K10" s="173">
        <f>AVERAGE(K7:K9)</f>
        <v>0.57146706836123495</v>
      </c>
      <c r="L10" s="326">
        <f>AVERAGE(L7:L9)</f>
        <v>0.84670513698794758</v>
      </c>
      <c r="M10" s="327"/>
      <c r="N10" s="328"/>
      <c r="O10" s="203">
        <f>B10*C10*D10*E10^(1/2)</f>
        <v>166629.40771953895</v>
      </c>
      <c r="P10" s="204">
        <f>(O10-R10)*(E10^(1/2))*F10*G10*(H10^(1/2))</f>
        <v>53386.674208773271</v>
      </c>
      <c r="Q10" s="205">
        <f>(P10-S10)*I10*J10*(K10^(1/2))*(H10^(1/2))</f>
        <v>7190.3637755393956</v>
      </c>
      <c r="R10" s="215">
        <f>S.smolt!J14</f>
        <v>5350.4479841948532</v>
      </c>
      <c r="S10" s="101">
        <f>S.smolt!K14</f>
        <v>22670.664935755685</v>
      </c>
      <c r="T10" s="216">
        <f>S.smolt!L14</f>
        <v>7190.3637755404334</v>
      </c>
      <c r="U10" s="305">
        <f>O10/(B10*C10)</f>
        <v>0.41473552054291174</v>
      </c>
      <c r="V10" s="112">
        <f t="shared" si="1"/>
        <v>0.33102070038385573</v>
      </c>
      <c r="W10" s="113">
        <f t="shared" si="1"/>
        <v>0.2340917308504577</v>
      </c>
      <c r="X10" s="307">
        <f>R10/(O10)</f>
        <v>3.2109866184007685E-2</v>
      </c>
      <c r="Y10" s="308">
        <f t="shared" si="0"/>
        <v>0.42465025723647931</v>
      </c>
      <c r="Z10" s="309">
        <f t="shared" si="0"/>
        <v>1.0000000000001443</v>
      </c>
      <c r="AA10" s="190"/>
      <c r="AB10" s="422">
        <f>S.egg!B7</f>
        <v>3692</v>
      </c>
      <c r="AC10" s="422">
        <f t="shared" si="2"/>
        <v>35211.476695490972</v>
      </c>
      <c r="AD10" s="423">
        <f t="shared" si="3"/>
        <v>9.5372363747266995</v>
      </c>
      <c r="AE10" s="423">
        <f>('S.smolt (sf&amp;mf)'!G14/AB10)</f>
        <v>26.456503289928406</v>
      </c>
      <c r="AF10" s="423">
        <f>R10/SUM(R10:T10)/('S.smolt (sf)'!G30)</f>
        <v>1</v>
      </c>
      <c r="AG10" s="423">
        <f>S10/SUM(R10:T10)/('S.smolt (sf)'!H30)</f>
        <v>1</v>
      </c>
      <c r="AH10" s="423">
        <f>T10/SUM(R10:T10)/('S.smolt (sf)'!I30)</f>
        <v>1</v>
      </c>
    </row>
    <row r="11" spans="1:34" ht="15.6">
      <c r="B11" s="250" t="s">
        <v>585</v>
      </c>
      <c r="C11" s="28" t="s">
        <v>579</v>
      </c>
      <c r="D11" s="28" t="s">
        <v>579</v>
      </c>
      <c r="E11" s="28" t="s">
        <v>583</v>
      </c>
      <c r="F11" s="28" t="s">
        <v>580</v>
      </c>
      <c r="G11" s="28" t="s">
        <v>580</v>
      </c>
      <c r="H11" s="28" t="s">
        <v>582</v>
      </c>
      <c r="I11" s="28" t="s">
        <v>581</v>
      </c>
      <c r="J11" s="28" t="s">
        <v>581</v>
      </c>
      <c r="K11" s="28" t="s">
        <v>584</v>
      </c>
      <c r="P11" s="28"/>
      <c r="Q11" s="28"/>
      <c r="S11" s="74"/>
      <c r="T11" s="256" t="s">
        <v>446</v>
      </c>
      <c r="U11" s="399">
        <f t="shared" ref="U11:Z11" si="4">AVERAGE(U7:U10)</f>
        <v>0.48784836172599261</v>
      </c>
      <c r="V11" s="399">
        <f t="shared" si="4"/>
        <v>0.34346528367861634</v>
      </c>
      <c r="W11" s="399">
        <f t="shared" si="4"/>
        <v>0.35455328883972964</v>
      </c>
      <c r="X11" s="399">
        <f t="shared" si="4"/>
        <v>2.3457054526791813E-2</v>
      </c>
      <c r="Y11" s="399">
        <f t="shared" si="4"/>
        <v>0.57319184855859384</v>
      </c>
      <c r="Z11" s="400">
        <f t="shared" si="4"/>
        <v>1.0000000424551878</v>
      </c>
      <c r="AA11" s="192"/>
      <c r="AB11" s="16">
        <f>AVERAGE(AB7:AB10)</f>
        <v>2098.75</v>
      </c>
      <c r="AC11" s="16">
        <f>AVERAGE(AC7:AC10)</f>
        <v>26604.584315431486</v>
      </c>
      <c r="AD11" s="421">
        <f>AVERAGE(AD7:AD10)</f>
        <v>16.670294384087736</v>
      </c>
      <c r="AE11" s="421">
        <f>AVERAGE(AE7:AE10)</f>
        <v>28.953785519857181</v>
      </c>
      <c r="AF11" s="499" t="s">
        <v>685</v>
      </c>
      <c r="AG11" s="499"/>
      <c r="AH11" s="499"/>
    </row>
    <row r="12" spans="1:34">
      <c r="C12" s="27"/>
      <c r="D12" s="27"/>
      <c r="E12" s="27"/>
      <c r="F12" s="27"/>
      <c r="G12" s="27"/>
      <c r="H12" s="27"/>
      <c r="I12" s="27"/>
      <c r="J12" s="74"/>
      <c r="P12" s="28"/>
      <c r="S12" s="297"/>
      <c r="T12" s="257" t="s">
        <v>449</v>
      </c>
      <c r="U12" s="310">
        <f t="shared" ref="U12:Z12" si="5">STDEV(U7:U10)</f>
        <v>0.11592034295264222</v>
      </c>
      <c r="V12" s="310">
        <f t="shared" si="5"/>
        <v>7.7290742667446913E-2</v>
      </c>
      <c r="W12" s="310">
        <f t="shared" si="5"/>
        <v>8.7601381967892161E-2</v>
      </c>
      <c r="X12" s="310">
        <f t="shared" si="5"/>
        <v>2.1543055377404027E-2</v>
      </c>
      <c r="Y12" s="310">
        <f t="shared" si="5"/>
        <v>0.14731615473484092</v>
      </c>
      <c r="Z12" s="311">
        <f t="shared" si="5"/>
        <v>8.4910279955339176E-8</v>
      </c>
      <c r="AA12" s="193"/>
      <c r="AB12" s="349">
        <f>AC11/AB11</f>
        <v>12.676395147316967</v>
      </c>
      <c r="AC12" s="299" t="s">
        <v>684</v>
      </c>
      <c r="AD12" s="194"/>
      <c r="AE12" s="194"/>
      <c r="AF12" s="191"/>
      <c r="AG12" s="191"/>
      <c r="AH12" s="191"/>
    </row>
    <row r="13" spans="1:34" ht="15" thickBot="1">
      <c r="C13" s="514">
        <f>AVERAGE(C7:C10)</f>
        <v>5.4464069601537296E-2</v>
      </c>
      <c r="D13" s="514" t="s">
        <v>837</v>
      </c>
      <c r="E13" s="27"/>
      <c r="F13" s="27"/>
      <c r="G13" s="27"/>
      <c r="H13" s="27"/>
      <c r="I13" s="27"/>
      <c r="J13" s="74"/>
      <c r="K13" s="74"/>
      <c r="S13" s="297"/>
      <c r="T13" s="258" t="s">
        <v>450</v>
      </c>
      <c r="U13" s="312">
        <f t="shared" ref="U13:Z13" si="6">U12/U11</f>
        <v>0.23761552163979724</v>
      </c>
      <c r="V13" s="312">
        <f t="shared" si="6"/>
        <v>0.22503218328105784</v>
      </c>
      <c r="W13" s="312">
        <f t="shared" si="6"/>
        <v>0.2470753613781623</v>
      </c>
      <c r="X13" s="312">
        <f t="shared" si="6"/>
        <v>0.91840411390092969</v>
      </c>
      <c r="Y13" s="312">
        <f t="shared" si="6"/>
        <v>0.25701020540556713</v>
      </c>
      <c r="Z13" s="313">
        <f t="shared" si="6"/>
        <v>8.4910276350457453E-8</v>
      </c>
      <c r="AB13" s="428">
        <f>AB12*'S.smolt (sf)'!B18</f>
        <v>9.1474019782598095</v>
      </c>
      <c r="AC13" s="499" t="s">
        <v>717</v>
      </c>
      <c r="AD13" s="39"/>
      <c r="AE13" s="39"/>
      <c r="AF13" s="499"/>
      <c r="AG13" s="499"/>
      <c r="AH13" s="499"/>
    </row>
    <row r="14" spans="1:34">
      <c r="C14" s="27"/>
      <c r="D14" s="27"/>
      <c r="E14" s="27"/>
      <c r="F14" s="27"/>
      <c r="G14" s="27"/>
      <c r="H14" s="27"/>
      <c r="I14" s="27"/>
      <c r="J14" s="74"/>
      <c r="K14" s="74"/>
      <c r="AB14" s="297"/>
      <c r="AC14" s="74"/>
      <c r="AD14" s="297"/>
      <c r="AE14" s="74"/>
    </row>
    <row r="15" spans="1:34">
      <c r="C15" s="27"/>
      <c r="D15" s="27"/>
      <c r="E15" s="27"/>
      <c r="F15" s="27"/>
      <c r="G15" s="27"/>
      <c r="H15" s="27"/>
      <c r="I15" s="27"/>
      <c r="S15" s="250" t="s">
        <v>578</v>
      </c>
      <c r="T15" s="65">
        <f>(D7*E7^0.5)/U7</f>
        <v>0.99999999999999978</v>
      </c>
      <c r="U15" s="65">
        <f>(E7^0.5*F7*G7*H7^0.5)/V7</f>
        <v>0.99999999999999978</v>
      </c>
      <c r="V15" s="65">
        <f>(H7^0.5*I7*J7*K7^0.5)/W7</f>
        <v>1</v>
      </c>
      <c r="W15" s="429">
        <f>SUM(Z7:Z10)</f>
        <v>4.0000001698207512</v>
      </c>
      <c r="X15" s="282" t="s">
        <v>517</v>
      </c>
      <c r="Y15" s="282"/>
      <c r="Z15" s="282"/>
      <c r="AB15" s="297"/>
      <c r="AC15" s="74"/>
      <c r="AD15" s="297"/>
      <c r="AE15" s="74"/>
    </row>
    <row r="16" spans="1:34">
      <c r="E16" s="297"/>
      <c r="I16" s="28"/>
      <c r="T16" s="65">
        <f>(D8*E8^0.5)/U8</f>
        <v>1</v>
      </c>
      <c r="U16" s="65">
        <f>(E8^0.5*F8*G8*H8^0.5)/V8</f>
        <v>0.99999999999999989</v>
      </c>
      <c r="V16" s="65">
        <f>(H8^0.5*I8*J8*K8^0.5)/W8</f>
        <v>1</v>
      </c>
      <c r="AB16" s="297"/>
      <c r="AC16" s="74"/>
      <c r="AD16" s="297"/>
      <c r="AE16" s="74"/>
    </row>
    <row r="17" spans="2:31">
      <c r="I17" s="28"/>
      <c r="K17" s="46"/>
      <c r="T17" s="65">
        <f>(D9*E9^0.5)/U9</f>
        <v>1</v>
      </c>
      <c r="U17" s="65">
        <f>(E9^0.5*F9*G9*H9^0.5)/V9</f>
        <v>1</v>
      </c>
      <c r="V17" s="65">
        <f>(H9^0.5*I9*J9*K9^0.5)/W9</f>
        <v>0.99999999999999967</v>
      </c>
      <c r="AB17" s="297"/>
      <c r="AC17" s="74"/>
      <c r="AD17" s="297"/>
      <c r="AE17" s="74"/>
    </row>
    <row r="18" spans="2:31">
      <c r="I18" s="28"/>
      <c r="O18" s="74"/>
      <c r="R18" s="28"/>
      <c r="T18" s="65">
        <f>(D10*E10^0.5)/U10</f>
        <v>1.0000000000000002</v>
      </c>
      <c r="U18" s="65">
        <f>(E10^0.5*F10*G10*H10^0.5)/V10</f>
        <v>1</v>
      </c>
      <c r="V18" s="65">
        <f>(H10^0.5*I10*J10*K10^0.5)/W10</f>
        <v>0.99999999999999989</v>
      </c>
      <c r="AB18" s="297"/>
      <c r="AC18" s="74"/>
      <c r="AD18" s="297"/>
      <c r="AE18" s="74"/>
    </row>
    <row r="19" spans="2:31" ht="15" thickBot="1">
      <c r="V19" s="28"/>
    </row>
    <row r="20" spans="2:31">
      <c r="B20" s="235" t="s">
        <v>575</v>
      </c>
      <c r="C20" s="20"/>
      <c r="D20" s="20"/>
      <c r="E20" s="20"/>
      <c r="F20" s="20"/>
      <c r="G20" s="20"/>
      <c r="H20" s="20"/>
      <c r="I20" s="197"/>
      <c r="J20" s="197"/>
      <c r="K20" s="197"/>
      <c r="L20" s="197"/>
      <c r="M20" s="197"/>
      <c r="N20" s="197"/>
      <c r="O20" s="20"/>
      <c r="P20" s="20"/>
      <c r="Q20" s="20"/>
      <c r="R20" s="21"/>
      <c r="V20" s="28"/>
    </row>
    <row r="21" spans="2:31">
      <c r="B21" s="343" t="s">
        <v>272</v>
      </c>
      <c r="C21" s="30"/>
      <c r="D21" s="30"/>
      <c r="E21" s="427" t="s">
        <v>716</v>
      </c>
      <c r="F21" s="30"/>
      <c r="G21" s="30"/>
      <c r="H21" s="31"/>
      <c r="I21" s="13"/>
      <c r="J21" s="409"/>
      <c r="K21" s="409">
        <v>1000</v>
      </c>
      <c r="L21" s="409">
        <v>1000</v>
      </c>
      <c r="M21" s="409"/>
      <c r="N21" s="409"/>
      <c r="O21" s="409"/>
      <c r="P21" s="410"/>
      <c r="Q21" s="410"/>
      <c r="R21" s="97"/>
      <c r="V21" s="28"/>
    </row>
    <row r="22" spans="2:31" ht="15.6">
      <c r="B22" s="93"/>
      <c r="C22" s="32" t="s">
        <v>589</v>
      </c>
      <c r="D22" s="403">
        <f>e!X11</f>
        <v>2.3457054526791813E-2</v>
      </c>
      <c r="E22" s="37">
        <f>1-f!K22</f>
        <v>0.59079999999999999</v>
      </c>
      <c r="F22" s="13" t="s">
        <v>271</v>
      </c>
      <c r="G22" s="13"/>
      <c r="H22" s="34"/>
      <c r="I22" s="13"/>
      <c r="J22" s="409"/>
      <c r="K22" s="410" t="s">
        <v>269</v>
      </c>
      <c r="L22" s="410" t="s">
        <v>270</v>
      </c>
      <c r="M22" s="410" t="s">
        <v>521</v>
      </c>
      <c r="N22" s="410" t="s">
        <v>522</v>
      </c>
      <c r="O22" s="410" t="s">
        <v>519</v>
      </c>
      <c r="P22" s="411" t="s">
        <v>524</v>
      </c>
      <c r="Q22" s="409"/>
      <c r="R22" s="97"/>
      <c r="V22" s="28"/>
    </row>
    <row r="23" spans="2:31" ht="15.6">
      <c r="B23" s="93"/>
      <c r="C23" s="13"/>
      <c r="D23" s="403">
        <f>e!Y11</f>
        <v>0.57319184855859384</v>
      </c>
      <c r="E23" s="82"/>
      <c r="F23" s="13">
        <f>(E22)/(1-E22)</f>
        <v>1.4437927663734116</v>
      </c>
      <c r="G23" s="13" t="s">
        <v>268</v>
      </c>
      <c r="H23" s="34"/>
      <c r="I23" s="13"/>
      <c r="J23" s="409">
        <v>1</v>
      </c>
      <c r="K23" s="412">
        <f>K21*U11</f>
        <v>487.84836172599262</v>
      </c>
      <c r="L23" s="412">
        <f>L21*U11</f>
        <v>487.84836172599262</v>
      </c>
      <c r="M23" s="412">
        <f>K23*'InputFile (determ)'!H101</f>
        <v>13.521622559069769</v>
      </c>
      <c r="N23" s="412">
        <f>L23*'InputFile (determ)'!O101</f>
        <v>9.3653485971079036</v>
      </c>
      <c r="O23" s="413">
        <f>N23/(N23+M23)</f>
        <v>0.40920000000000001</v>
      </c>
      <c r="P23" s="414">
        <f>(M23+N23)/(K23+L23)</f>
        <v>2.3457054437165954E-2</v>
      </c>
      <c r="Q23" s="409"/>
      <c r="R23" s="97"/>
      <c r="V23" s="28"/>
    </row>
    <row r="24" spans="2:31" ht="15.6">
      <c r="B24" s="93"/>
      <c r="C24" s="13"/>
      <c r="D24" s="403">
        <v>0.99</v>
      </c>
      <c r="E24" s="404">
        <f>D24/2</f>
        <v>0.495</v>
      </c>
      <c r="F24" s="13"/>
      <c r="G24" s="13"/>
      <c r="H24" s="34"/>
      <c r="I24" s="13"/>
      <c r="J24" s="409">
        <v>2</v>
      </c>
      <c r="K24" s="412">
        <f>(K23-M23)*V11</f>
        <v>162.91476802432021</v>
      </c>
      <c r="L24" s="412">
        <f>(L23-N23)*V11</f>
        <v>164.34230383971149</v>
      </c>
      <c r="M24" s="412">
        <f>K24*'InputFile (determ)'!H102</f>
        <v>110.82291013131648</v>
      </c>
      <c r="N24" s="412">
        <f>L24*'InputFile (determ)'!O102</f>
        <v>76.75818352358614</v>
      </c>
      <c r="O24" s="413">
        <f>N24/(N24+M24)</f>
        <v>0.40919999999999995</v>
      </c>
      <c r="P24" s="414">
        <f>(M24+N24)/(K24+L24)</f>
        <v>0.57319187202420041</v>
      </c>
      <c r="Q24" s="409"/>
      <c r="R24" s="97"/>
      <c r="V24" s="28"/>
    </row>
    <row r="25" spans="2:31">
      <c r="B25" s="93"/>
      <c r="C25" s="13"/>
      <c r="D25" s="33">
        <v>0</v>
      </c>
      <c r="E25" s="13"/>
      <c r="F25" s="13"/>
      <c r="G25" s="13"/>
      <c r="H25" s="34"/>
      <c r="I25" s="13"/>
      <c r="J25" s="409">
        <v>3</v>
      </c>
      <c r="K25" s="412">
        <f>(K24-M24)*W11</f>
        <v>18.469339537736303</v>
      </c>
      <c r="L25" s="412">
        <f>(L24-N24)*W11</f>
        <v>31.053237908216826</v>
      </c>
      <c r="M25" s="412">
        <f>K25*'InputFile (determ)'!H103</f>
        <v>17.545872560849489</v>
      </c>
      <c r="N25" s="412">
        <f>L25*'InputFile (determ)'!O103</f>
        <v>20.432694151049777</v>
      </c>
      <c r="O25" s="413">
        <f>N25/(N25+M25)</f>
        <v>0.53800593124142049</v>
      </c>
      <c r="P25" s="414">
        <f>(M25+N25)/(K25+L25)</f>
        <v>0.76689398392778485</v>
      </c>
      <c r="Q25" s="409" t="s">
        <v>520</v>
      </c>
      <c r="R25" s="97"/>
      <c r="V25" s="28"/>
    </row>
    <row r="26" spans="2:31">
      <c r="B26" s="93"/>
      <c r="C26" s="13"/>
      <c r="D26" s="33">
        <v>0</v>
      </c>
      <c r="E26" s="13"/>
      <c r="F26" s="302">
        <v>0.02</v>
      </c>
      <c r="G26" s="13" t="s">
        <v>588</v>
      </c>
      <c r="H26" s="34"/>
      <c r="I26" s="13"/>
      <c r="J26" s="410"/>
      <c r="K26" s="409"/>
      <c r="L26" s="409"/>
      <c r="M26" s="410"/>
      <c r="N26" s="410"/>
      <c r="O26" s="413">
        <f>SUM(M23:M25)/SUM(M23:N25)</f>
        <v>0.57111019932710128</v>
      </c>
      <c r="P26" s="410" t="s">
        <v>523</v>
      </c>
      <c r="Q26" s="410"/>
      <c r="R26" s="97"/>
      <c r="V26" s="28"/>
    </row>
    <row r="27" spans="2:31">
      <c r="B27" s="93"/>
      <c r="C27" s="13"/>
      <c r="D27" s="33">
        <v>0</v>
      </c>
      <c r="E27" s="13"/>
      <c r="F27" s="13"/>
      <c r="G27" s="13"/>
      <c r="H27" s="34"/>
      <c r="I27" s="13"/>
      <c r="J27" s="410"/>
      <c r="K27" s="410"/>
      <c r="L27" s="410"/>
      <c r="M27" s="410"/>
      <c r="N27" s="410"/>
      <c r="O27" s="410"/>
      <c r="P27" s="410"/>
      <c r="Q27" s="410"/>
      <c r="R27" s="97"/>
      <c r="V27" s="28"/>
    </row>
    <row r="28" spans="2:31">
      <c r="B28" s="344"/>
      <c r="C28" s="6"/>
      <c r="D28" s="35">
        <v>0</v>
      </c>
      <c r="E28" s="6"/>
      <c r="F28" s="6"/>
      <c r="G28" s="6"/>
      <c r="H28" s="36"/>
      <c r="I28" s="13"/>
      <c r="J28" s="410"/>
      <c r="K28" s="410"/>
      <c r="L28" s="410"/>
      <c r="M28" s="410"/>
      <c r="N28" s="410"/>
      <c r="O28" s="410"/>
      <c r="P28" s="410"/>
      <c r="Q28" s="410"/>
      <c r="R28" s="97"/>
      <c r="V28" s="28"/>
    </row>
    <row r="29" spans="2:31" ht="15" thickBot="1">
      <c r="B29" s="227"/>
      <c r="C29" s="42"/>
      <c r="D29" s="42"/>
      <c r="E29" s="42"/>
      <c r="F29" s="42"/>
      <c r="G29" s="42"/>
      <c r="H29" s="42"/>
      <c r="I29" s="242"/>
      <c r="J29" s="242"/>
      <c r="K29" s="242"/>
      <c r="L29" s="242"/>
      <c r="M29" s="242"/>
      <c r="N29" s="242"/>
      <c r="O29" s="42"/>
      <c r="P29" s="42"/>
      <c r="Q29" s="42"/>
      <c r="R29" s="243"/>
      <c r="V29" s="28"/>
    </row>
    <row r="30" spans="2:31">
      <c r="B30" s="76"/>
      <c r="C30" s="76"/>
      <c r="R30" s="16"/>
      <c r="S30" s="16"/>
      <c r="T30" s="16"/>
      <c r="V30" s="28"/>
    </row>
    <row r="31" spans="2:31">
      <c r="R31" s="27"/>
      <c r="S31" s="73"/>
      <c r="T31" s="73"/>
      <c r="V31" s="28"/>
    </row>
    <row r="32" spans="2:31">
      <c r="V32" s="28"/>
    </row>
    <row r="33" spans="4:22">
      <c r="V33" s="28"/>
    </row>
    <row r="34" spans="4:22">
      <c r="V34" s="28"/>
    </row>
    <row r="37" spans="4:22">
      <c r="D37" s="76"/>
      <c r="E37" s="76"/>
      <c r="F37" s="76"/>
      <c r="P37" s="297"/>
    </row>
    <row r="38" spans="4:22">
      <c r="P38" s="297"/>
    </row>
    <row r="39" spans="4:22">
      <c r="P39" s="297"/>
    </row>
  </sheetData>
  <pageMargins left="0.7" right="0.7" top="0.75" bottom="0.75" header="0.3" footer="0.3"/>
  <pageSetup orientation="portrait" horizontalDpi="360" verticalDpi="360"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1" tint="0.14999847407452621"/>
  </sheetPr>
  <dimension ref="A1:AH37"/>
  <sheetViews>
    <sheetView topLeftCell="W1" zoomScale="115" zoomScaleNormal="115" workbookViewId="0">
      <selection activeCell="AC26" sqref="AC25:AG26"/>
    </sheetView>
  </sheetViews>
  <sheetFormatPr defaultColWidth="9.109375" defaultRowHeight="14.4"/>
  <cols>
    <col min="1" max="1" width="9.109375" style="297"/>
    <col min="2" max="2" width="11.5546875" style="297" customWidth="1"/>
    <col min="3" max="3" width="9.33203125" style="297" customWidth="1"/>
    <col min="4" max="8" width="7.33203125" style="297" customWidth="1"/>
    <col min="9" max="9" width="6.5546875" style="297" customWidth="1"/>
    <col min="10" max="10" width="6.5546875" style="28" customWidth="1"/>
    <col min="11" max="11" width="8.33203125" style="28" customWidth="1"/>
    <col min="12" max="14" width="6.5546875" style="28" customWidth="1"/>
    <col min="15" max="15" width="9.88671875" style="28" customWidth="1"/>
    <col min="16" max="16" width="11.109375" style="297" customWidth="1"/>
    <col min="17" max="17" width="8.6640625" style="297" customWidth="1"/>
    <col min="18" max="18" width="8.44140625" style="297" customWidth="1"/>
    <col min="19" max="19" width="7.109375" style="28" customWidth="1"/>
    <col min="20" max="20" width="8.44140625" style="28" customWidth="1"/>
    <col min="21" max="21" width="7.33203125" style="28" customWidth="1"/>
    <col min="22" max="25" width="7.33203125" style="297" customWidth="1"/>
    <col min="26" max="26" width="8.6640625" style="297" customWidth="1"/>
    <col min="27" max="27" width="8.5546875" style="297" customWidth="1"/>
    <col min="28" max="16384" width="9.109375" style="297"/>
  </cols>
  <sheetData>
    <row r="1" spans="1:34" ht="18">
      <c r="A1" s="56" t="s">
        <v>724</v>
      </c>
      <c r="J1" s="297"/>
      <c r="K1" s="297"/>
      <c r="P1" s="28"/>
      <c r="Q1" s="28"/>
      <c r="S1" s="297"/>
      <c r="T1" s="297"/>
      <c r="V1" s="28"/>
      <c r="W1" s="28"/>
    </row>
    <row r="2" spans="1:34">
      <c r="A2" s="297" t="s">
        <v>448</v>
      </c>
      <c r="J2" s="297"/>
      <c r="K2" s="297"/>
      <c r="P2" s="28"/>
      <c r="Q2" s="28"/>
      <c r="S2" s="297"/>
      <c r="T2" s="297"/>
      <c r="V2" s="28"/>
      <c r="W2" s="28"/>
    </row>
    <row r="3" spans="1:34" ht="15" thickBot="1">
      <c r="A3" s="297" t="s">
        <v>577</v>
      </c>
      <c r="J3" s="297"/>
      <c r="K3" s="297"/>
      <c r="P3" s="28"/>
      <c r="Q3" s="28"/>
      <c r="S3" s="297"/>
      <c r="T3" s="297"/>
      <c r="V3" s="28"/>
      <c r="W3" s="28"/>
    </row>
    <row r="4" spans="1:34" ht="15" thickBot="1">
      <c r="D4" s="210" t="s">
        <v>408</v>
      </c>
      <c r="E4" s="223"/>
      <c r="F4" s="196" t="s">
        <v>409</v>
      </c>
      <c r="G4" s="197"/>
      <c r="H4" s="198"/>
      <c r="I4" s="196" t="s">
        <v>410</v>
      </c>
      <c r="J4" s="197"/>
      <c r="K4" s="198"/>
      <c r="L4" s="314" t="s">
        <v>411</v>
      </c>
      <c r="M4" s="315"/>
      <c r="N4" s="316"/>
      <c r="O4" s="196" t="s">
        <v>444</v>
      </c>
      <c r="P4" s="197"/>
      <c r="Q4" s="198"/>
      <c r="S4" s="297"/>
      <c r="T4" s="297"/>
      <c r="U4" s="297" t="s">
        <v>451</v>
      </c>
      <c r="V4" s="28"/>
      <c r="W4" s="28"/>
    </row>
    <row r="5" spans="1:34" ht="15" thickBot="1">
      <c r="C5" s="513" t="s">
        <v>452</v>
      </c>
      <c r="D5" s="177" t="s">
        <v>412</v>
      </c>
      <c r="E5" s="224"/>
      <c r="F5" s="225" t="s">
        <v>412</v>
      </c>
      <c r="G5" s="58"/>
      <c r="H5" s="199"/>
      <c r="I5" s="225" t="s">
        <v>412</v>
      </c>
      <c r="J5" s="58"/>
      <c r="K5" s="199"/>
      <c r="L5" s="317" t="s">
        <v>412</v>
      </c>
      <c r="M5" s="318"/>
      <c r="N5" s="319"/>
      <c r="O5" s="43" t="s">
        <v>413</v>
      </c>
      <c r="P5" s="58" t="s">
        <v>414</v>
      </c>
      <c r="Q5" s="199" t="s">
        <v>415</v>
      </c>
      <c r="R5" s="210" t="s">
        <v>439</v>
      </c>
      <c r="S5" s="20"/>
      <c r="T5" s="21"/>
      <c r="U5" s="196" t="s">
        <v>447</v>
      </c>
      <c r="V5" s="197"/>
      <c r="W5" s="198"/>
      <c r="X5" s="19" t="s">
        <v>445</v>
      </c>
      <c r="Y5" s="20"/>
      <c r="Z5" s="21"/>
      <c r="AB5" s="297" t="s">
        <v>440</v>
      </c>
      <c r="AD5" s="297" t="s">
        <v>267</v>
      </c>
      <c r="AE5" s="297" t="s">
        <v>267</v>
      </c>
    </row>
    <row r="6" spans="1:34" ht="15" thickBot="1">
      <c r="A6" s="217" t="s">
        <v>347</v>
      </c>
      <c r="B6" s="104" t="s">
        <v>443</v>
      </c>
      <c r="C6" s="348" t="s">
        <v>836</v>
      </c>
      <c r="D6" s="170" t="s">
        <v>416</v>
      </c>
      <c r="E6" s="347" t="s">
        <v>417</v>
      </c>
      <c r="F6" s="168" t="s">
        <v>418</v>
      </c>
      <c r="G6" s="170" t="s">
        <v>416</v>
      </c>
      <c r="H6" s="347" t="s">
        <v>417</v>
      </c>
      <c r="I6" s="168" t="s">
        <v>418</v>
      </c>
      <c r="J6" s="170" t="s">
        <v>416</v>
      </c>
      <c r="K6" s="347" t="s">
        <v>417</v>
      </c>
      <c r="L6" s="320" t="s">
        <v>418</v>
      </c>
      <c r="M6" s="321" t="s">
        <v>416</v>
      </c>
      <c r="N6" s="322" t="s">
        <v>417</v>
      </c>
      <c r="O6" s="168" t="s">
        <v>419</v>
      </c>
      <c r="P6" s="170" t="s">
        <v>420</v>
      </c>
      <c r="Q6" s="169" t="s">
        <v>421</v>
      </c>
      <c r="R6" s="211" t="s">
        <v>422</v>
      </c>
      <c r="S6" s="171" t="s">
        <v>423</v>
      </c>
      <c r="T6" s="212" t="s">
        <v>424</v>
      </c>
      <c r="U6" s="208" t="s">
        <v>425</v>
      </c>
      <c r="V6" s="129" t="s">
        <v>426</v>
      </c>
      <c r="W6" s="209" t="s">
        <v>427</v>
      </c>
      <c r="X6" s="206" t="s">
        <v>428</v>
      </c>
      <c r="Y6" s="128" t="s">
        <v>429</v>
      </c>
      <c r="Z6" s="207" t="s">
        <v>430</v>
      </c>
      <c r="AA6" s="189"/>
      <c r="AB6" s="189" t="s">
        <v>273</v>
      </c>
      <c r="AC6" s="189" t="s">
        <v>683</v>
      </c>
      <c r="AD6" s="189" t="s">
        <v>681</v>
      </c>
      <c r="AE6" s="189" t="s">
        <v>682</v>
      </c>
      <c r="AF6" s="299"/>
      <c r="AG6" s="299"/>
      <c r="AH6" s="299"/>
    </row>
    <row r="7" spans="1:34">
      <c r="A7" s="218">
        <v>2008</v>
      </c>
      <c r="B7" s="221">
        <f>S.egg!L4</f>
        <v>2163072.479216883</v>
      </c>
      <c r="C7" s="511">
        <v>0.10030944561129478</v>
      </c>
      <c r="D7" s="341">
        <f>VLOOKUP($A7&amp;D$6,S.parr!$B$3:$G$22,6,FALSE)</f>
        <v>0.73299999999999998</v>
      </c>
      <c r="E7" s="337">
        <f>VLOOKUP($A7&amp;E$6,S.parr!$B$3:$G$22,6,FALSE)</f>
        <v>0.46657142857142853</v>
      </c>
      <c r="F7" s="331">
        <f>VLOOKUP($A7&amp;F$6,S.parr!$B$3:$F$22,5,FALSE)</f>
        <v>0.6683380790351936</v>
      </c>
      <c r="G7" s="338">
        <f>VLOOKUP($A7&amp;G$6,S.parr!$C$3:$F$22,4,FALSE)</f>
        <v>0.84632957837683753</v>
      </c>
      <c r="H7" s="333">
        <f>VLOOKUP($A7&amp;H$6,S.parr!$C$3:$F$22,4,FALSE)</f>
        <v>0.43613718964943582</v>
      </c>
      <c r="I7" s="329">
        <f>VLOOKUP($A7&amp;I$6,S.parr!$C$3:$F$22,4,FALSE)</f>
        <v>0.97812196392157791</v>
      </c>
      <c r="J7" s="334">
        <f>VLOOKUP($A7&amp;J$6,S.parr!$D$3:$F$22,3,FALSE)</f>
        <v>0.7111335070851762</v>
      </c>
      <c r="K7" s="172">
        <f>VLOOKUP($A7&amp;K$6,S.parr!$D$3:$F$22,3,FALSE)</f>
        <v>0.64883911144616646</v>
      </c>
      <c r="L7" s="323">
        <f>VLOOKUP($A7&amp;L$6,S.parr!$D$3:$F$22,3,FALSE)</f>
        <v>0.93926711679762176</v>
      </c>
      <c r="M7" s="324"/>
      <c r="N7" s="325"/>
      <c r="O7" s="200">
        <f>B7*C7*D7*E7^(1/2)</f>
        <v>108636.54541475388</v>
      </c>
      <c r="P7" s="201">
        <f>(O7-R7)*(E7^(1/2))*F7*G7*(H7^(1/2))</f>
        <v>27235.527209119045</v>
      </c>
      <c r="Q7" s="202">
        <f>(P7-S7)*I7*J7*(K7^(1/2))*(H7^(1/2))</f>
        <v>3688.6150716338252</v>
      </c>
      <c r="R7" s="213">
        <f>'S.smolt (sf&amp;mf)'!J11</f>
        <v>1895.9968142402633</v>
      </c>
      <c r="S7" s="99">
        <f>'S.smolt (sf&amp;mf)'!K11</f>
        <v>17266.813761960759</v>
      </c>
      <c r="T7" s="214">
        <f>'S.smolt (sf&amp;mf)'!L11</f>
        <v>3688.6150716338248</v>
      </c>
      <c r="U7" s="304">
        <f>O7/(B7*C7)</f>
        <v>0.50068322948318755</v>
      </c>
      <c r="V7" s="59">
        <f t="shared" ref="V7:W10" si="0">P7/(O7-R7)</f>
        <v>0.25515633530281473</v>
      </c>
      <c r="W7" s="111">
        <f t="shared" si="0"/>
        <v>0.37001916959357617</v>
      </c>
      <c r="X7" s="238">
        <f t="shared" ref="X7:Z10" si="1">R7/(O7)</f>
        <v>1.7452661137204836E-2</v>
      </c>
      <c r="Y7" s="303">
        <f t="shared" si="1"/>
        <v>0.63398125651775361</v>
      </c>
      <c r="Z7" s="306">
        <f t="shared" si="1"/>
        <v>0.99999999999999989</v>
      </c>
      <c r="AA7" s="190"/>
      <c r="AB7" s="17">
        <f>S.egg!B4</f>
        <v>769</v>
      </c>
      <c r="AC7" s="17">
        <f>SUM(R7:T7)</f>
        <v>22851.425647834847</v>
      </c>
      <c r="AD7" s="350">
        <f>(SUM(R7:T7)/AB7)</f>
        <v>29.715768072607084</v>
      </c>
      <c r="AE7" s="350">
        <f>('S.smolt (sf&amp;mf)'!G11/AB7)</f>
        <v>29.715768072607084</v>
      </c>
      <c r="AF7" s="350">
        <f>R7/SUM(R7:T7)/('S.smolt (sf)'!G27)</f>
        <v>6.998796260528704</v>
      </c>
      <c r="AG7" s="350">
        <f>S7/SUM(R7:T7)/('S.smolt (sf)'!H27)</f>
        <v>0.9147822087880918</v>
      </c>
      <c r="AH7" s="350">
        <f>T7/SUM(R7:T7)/('S.smolt (sf)'!I27)</f>
        <v>0.99552524884840121</v>
      </c>
    </row>
    <row r="8" spans="1:34">
      <c r="A8" s="218">
        <v>2009</v>
      </c>
      <c r="B8" s="221">
        <f>S.egg!L5</f>
        <v>5723283.203721351</v>
      </c>
      <c r="C8" s="511">
        <v>2.0663065453562768E-2</v>
      </c>
      <c r="D8" s="341">
        <f>VLOOKUP($A8&amp;D$6,S.parr!$B$3:$G$22,6,FALSE)</f>
        <v>0.81699999999999995</v>
      </c>
      <c r="E8" s="337">
        <f>VLOOKUP($A8&amp;E$6,S.parr!$B$3:$G$22,6,FALSE)</f>
        <v>0.626</v>
      </c>
      <c r="F8" s="331">
        <f>VLOOKUP($A8&amp;F$6,S.parr!$B$3:$F$22,5,FALSE)</f>
        <v>0.97812196392157791</v>
      </c>
      <c r="G8" s="338">
        <f>VLOOKUP($A8&amp;G$6,S.parr!$C$3:$F$22,4,FALSE)</f>
        <v>0.7111335070851762</v>
      </c>
      <c r="H8" s="333">
        <f>VLOOKUP($A8&amp;H$6,S.parr!$C$3:$F$22,4,FALSE)</f>
        <v>0.64883911144616646</v>
      </c>
      <c r="I8" s="329">
        <f>VLOOKUP($A8&amp;I$6,S.parr!$C$3:$F$22,4,FALSE)</f>
        <v>0.93926711679762176</v>
      </c>
      <c r="J8" s="334">
        <f>VLOOKUP($A8&amp;J$6,S.parr!$D$3:$F$22,3,FALSE)</f>
        <v>0.79936092799251046</v>
      </c>
      <c r="K8" s="172">
        <f>VLOOKUP($A8&amp;K$6,S.parr!$D$3:$F$22,3,FALSE)</f>
        <v>0.5394511227433425</v>
      </c>
      <c r="L8" s="323">
        <f>VLOOKUP($A8&amp;L$6,S.parr!$D$3:$F$22,3,FALSE)</f>
        <v>0.92668318385829462</v>
      </c>
      <c r="M8" s="324"/>
      <c r="N8" s="325"/>
      <c r="O8" s="200">
        <f>B8*C8*D8*E8^(1/2)</f>
        <v>76445.02218889397</v>
      </c>
      <c r="P8" s="201">
        <f>(O8-R8)*(E8^(1/2))*F8*G8*(H8^(1/2))</f>
        <v>32809.800438403086</v>
      </c>
      <c r="Q8" s="202">
        <f>(P8-S8)*I8*J8*(K8^(1/2))*(H8^(1/2))</f>
        <v>4732.8481529352975</v>
      </c>
      <c r="R8" s="213">
        <f>'S.smolt (sf&amp;mf)'!J12</f>
        <v>2432.7463955932831</v>
      </c>
      <c r="S8" s="99">
        <f>'S.smolt (sf&amp;mf)'!K12</f>
        <v>22154.983925762812</v>
      </c>
      <c r="T8" s="214">
        <f>'S.smolt (sf&amp;mf)'!L12</f>
        <v>4732.8481529353012</v>
      </c>
      <c r="U8" s="304">
        <f>O8/(B8*C8)</f>
        <v>0.64641172173777905</v>
      </c>
      <c r="V8" s="59">
        <f t="shared" si="0"/>
        <v>0.44330214260717143</v>
      </c>
      <c r="W8" s="111">
        <f t="shared" si="0"/>
        <v>0.44419799696414414</v>
      </c>
      <c r="X8" s="238">
        <f t="shared" si="1"/>
        <v>3.1823476871810176E-2</v>
      </c>
      <c r="Y8" s="303">
        <f t="shared" si="1"/>
        <v>0.67525506494184384</v>
      </c>
      <c r="Z8" s="306">
        <f t="shared" si="1"/>
        <v>1.0000000000000007</v>
      </c>
      <c r="AA8" s="190"/>
      <c r="AB8" s="17">
        <f>S.egg!B5</f>
        <v>2114</v>
      </c>
      <c r="AC8" s="17">
        <f>SUM(R8:T8)</f>
        <v>29320.578474291397</v>
      </c>
      <c r="AD8" s="350">
        <f>(SUM(R8:T8)/AB8)</f>
        <v>13.869715456145411</v>
      </c>
      <c r="AE8" s="350">
        <f>('S.smolt (sf&amp;mf)'!G12/AB8)</f>
        <v>13.869715456145411</v>
      </c>
      <c r="AF8" s="350">
        <f>R8/SUM(R8:T8)/('S.smolt (sf)'!G28)</f>
        <v>0.68496107023211406</v>
      </c>
      <c r="AG8" s="350">
        <f>S8/SUM(R8:T8)/('S.smolt (sf)'!H28)</f>
        <v>0.99513929687084035</v>
      </c>
      <c r="AH8" s="350">
        <f>T8/SUM(R8:T8)/('S.smolt (sf)'!I28)</f>
        <v>1.3500347103140953</v>
      </c>
    </row>
    <row r="9" spans="1:34">
      <c r="A9" s="218">
        <v>2010</v>
      </c>
      <c r="B9" s="221">
        <f>S.egg!L6</f>
        <v>5984946.9643912744</v>
      </c>
      <c r="C9" s="511">
        <v>0.12663787258426976</v>
      </c>
      <c r="D9" s="341">
        <f>VLOOKUP($A9&amp;D$6,S.parr!$B$3:$G$22,6,FALSE)</f>
        <v>0.62379999999999991</v>
      </c>
      <c r="E9" s="337">
        <f>VLOOKUP($A9&amp;E$6,S.parr!$B$3:$G$22,6,FALSE)</f>
        <v>0.39</v>
      </c>
      <c r="F9" s="331">
        <f>VLOOKUP($A9&amp;F$6,S.parr!$B$3:$F$22,5,FALSE)</f>
        <v>0.93926711679762176</v>
      </c>
      <c r="G9" s="338">
        <f>VLOOKUP($A9&amp;G$6,S.parr!$C$3:$F$22,4,FALSE)</f>
        <v>0.79936092799251046</v>
      </c>
      <c r="H9" s="333">
        <f>VLOOKUP($A9&amp;H$6,S.parr!$C$3:$F$22,4,FALSE)</f>
        <v>0.5394511227433425</v>
      </c>
      <c r="I9" s="329">
        <f>VLOOKUP($A9&amp;I$6,S.parr!$C$3:$F$22,4,FALSE)</f>
        <v>0.92668318385829462</v>
      </c>
      <c r="J9" s="334">
        <f>VLOOKUP($A9&amp;J$6,S.parr!$D$3:$F$22,3,FALSE)</f>
        <v>0.74927858214127352</v>
      </c>
      <c r="K9" s="172">
        <f>VLOOKUP($A9&amp;K$6,S.parr!$D$3:$F$22,3,FALSE)</f>
        <v>0.52611097089419601</v>
      </c>
      <c r="L9" s="323">
        <f>VLOOKUP($A9&amp;L$6,S.parr!$D$3:$F$22,3,FALSE)</f>
        <v>0.67416511030792603</v>
      </c>
      <c r="M9" s="324"/>
      <c r="N9" s="325"/>
      <c r="O9" s="200">
        <f>B9*C9*D9*E9^(1/2)</f>
        <v>295257.94063159992</v>
      </c>
      <c r="P9" s="201">
        <f>(O9-R9)*(E9^(1/2))*F9*G9*(H9^(1/2))</f>
        <v>99301.123745860066</v>
      </c>
      <c r="Q9" s="202">
        <f>(P9-S9)*I9*J9*(K9^(1/2))*(H9^(1/2))</f>
        <v>13447.217768236536</v>
      </c>
      <c r="R9" s="213">
        <f>'S.smolt (sf&amp;mf)'!J13</f>
        <v>6912.0447607518436</v>
      </c>
      <c r="S9" s="99">
        <f>'S.smolt (sf&amp;mf)'!K13</f>
        <v>62947.885092339944</v>
      </c>
      <c r="T9" s="16">
        <f>'S.smolt (sf&amp;mf)'!L13</f>
        <v>13447.212721469263</v>
      </c>
      <c r="U9" s="304">
        <f>O9/(B9*C9)</f>
        <v>0.38956297514009208</v>
      </c>
      <c r="V9" s="59">
        <f t="shared" si="0"/>
        <v>0.34438195642062358</v>
      </c>
      <c r="W9" s="111">
        <f t="shared" si="0"/>
        <v>0.36990425795074044</v>
      </c>
      <c r="X9" s="238">
        <f t="shared" si="1"/>
        <v>2.3410190919729266E-2</v>
      </c>
      <c r="Y9" s="303">
        <f t="shared" si="1"/>
        <v>0.6339090910334666</v>
      </c>
      <c r="Z9" s="306">
        <f t="shared" si="1"/>
        <v>0.99999962469803338</v>
      </c>
      <c r="AA9" s="190"/>
      <c r="AB9" s="17">
        <f>S.egg!B6</f>
        <v>1820</v>
      </c>
      <c r="AC9" s="17">
        <f t="shared" ref="AC9:AC10" si="2">SUM(R9:T9)</f>
        <v>83307.142574561047</v>
      </c>
      <c r="AD9" s="350">
        <f t="shared" ref="AD9:AD10" si="3">(SUM(R9:T9)/AB9)</f>
        <v>45.773155260747828</v>
      </c>
      <c r="AE9" s="350">
        <f>('S.smolt (sf&amp;mf)'!G13/AB9)</f>
        <v>45.773155260747828</v>
      </c>
      <c r="AF9" s="350">
        <f>R9/SUM(R9:T9)/('S.smolt (sf)'!G29)</f>
        <v>2.0356248434507438</v>
      </c>
      <c r="AG9" s="350">
        <f>S9/SUM(R9:T9)/('S.smolt (sf)'!H29)</f>
        <v>1.107893493556219</v>
      </c>
      <c r="AH9" s="350">
        <f>T9/SUM(R9:T9)/('S.smolt (sf)'!I29)</f>
        <v>0.58228240097332351</v>
      </c>
    </row>
    <row r="10" spans="1:34" ht="15" thickBot="1">
      <c r="A10" s="219">
        <v>2011</v>
      </c>
      <c r="B10" s="222">
        <f>S.egg!L7</f>
        <v>10799680.685689986</v>
      </c>
      <c r="C10" s="512">
        <v>9.7017209523804271E-2</v>
      </c>
      <c r="D10" s="342">
        <f>VLOOKUP($A10&amp;D$6,S.parr!$B$3:$G$22,6,FALSE)</f>
        <v>0.63100000000000001</v>
      </c>
      <c r="E10" s="339">
        <f>VLOOKUP($A10&amp;E$6,S.parr!$B$3:$G$22,6,FALSE)</f>
        <v>0.432</v>
      </c>
      <c r="F10" s="332">
        <f>VLOOKUP($A10&amp;F$6,S.parr!$B$3:$F$22,5,FALSE)</f>
        <v>0.92668318385829462</v>
      </c>
      <c r="G10" s="340">
        <f>VLOOKUP($A10&amp;G$6,S.parr!$C$3:$F$22,4,FALSE)</f>
        <v>0.74927858214127352</v>
      </c>
      <c r="H10" s="335">
        <f>VLOOKUP($A10&amp;H$6,S.parr!$C$3:$F$22,4,FALSE)</f>
        <v>0.52611097089419601</v>
      </c>
      <c r="I10" s="330">
        <f>VLOOKUP($A10&amp;I$6,S.parr!$C$3:$F$22,4,FALSE)</f>
        <v>0.67416511030792603</v>
      </c>
      <c r="J10" s="336">
        <f>VLOOKUP($A10&amp;J$6,S.parr!$D$3:$F$22,3,FALSE)</f>
        <v>0.63326504494545621</v>
      </c>
      <c r="K10" s="173">
        <f>AVERAGE(K7:K9)</f>
        <v>0.57146706836123495</v>
      </c>
      <c r="L10" s="326" t="e">
        <f>VLOOKUP($A10&amp;L$6,S.parr!$D$3:$F$22,3,FALSE)</f>
        <v>#N/A</v>
      </c>
      <c r="M10" s="327"/>
      <c r="N10" s="328"/>
      <c r="O10" s="203">
        <f>B10*C10*D10*E10^(1/2)</f>
        <v>434541.16716476507</v>
      </c>
      <c r="P10" s="204">
        <f>(O10-R10)*(E10^(1/2))*F10*G10*(H10^(1/2))</f>
        <v>141159.41233719329</v>
      </c>
      <c r="Q10" s="205">
        <f>(P10-S10)*I10*J10*(K10^(1/2))*(H10^(1/2))</f>
        <v>15766.82228832253</v>
      </c>
      <c r="R10" s="215">
        <f>'S.smolt (sf&amp;mf)'!J14</f>
        <v>8104.3546829381676</v>
      </c>
      <c r="S10" s="101">
        <f>'S.smolt (sf&amp;mf)'!K14</f>
        <v>73806.233175154979</v>
      </c>
      <c r="T10" s="16">
        <f>'S.smolt (sf&amp;mf)'!L14</f>
        <v>15766.822288322526</v>
      </c>
      <c r="U10" s="305">
        <f>O10/(B10*C10)</f>
        <v>0.4147355205429118</v>
      </c>
      <c r="V10" s="112">
        <f t="shared" si="0"/>
        <v>0.33102070038385578</v>
      </c>
      <c r="W10" s="113">
        <f t="shared" si="0"/>
        <v>0.2340917308504577</v>
      </c>
      <c r="X10" s="307">
        <f t="shared" si="1"/>
        <v>1.8650372612142495E-2</v>
      </c>
      <c r="Y10" s="308">
        <f t="shared" si="1"/>
        <v>0.52285732813091479</v>
      </c>
      <c r="Z10" s="309">
        <f t="shared" si="1"/>
        <v>0.99999999999999978</v>
      </c>
      <c r="AA10" s="190"/>
      <c r="AB10" s="422">
        <f>S.egg!B7</f>
        <v>3692</v>
      </c>
      <c r="AC10" s="422">
        <f t="shared" si="2"/>
        <v>97677.41014641567</v>
      </c>
      <c r="AD10" s="423">
        <f t="shared" si="3"/>
        <v>26.456503289928406</v>
      </c>
      <c r="AE10" s="423">
        <f>('S.smolt (sf&amp;mf)'!G14/AB10)</f>
        <v>26.456503289928406</v>
      </c>
      <c r="AF10" s="423">
        <f>R10/SUM(R10:T10)/('S.smolt (sf)'!G30)</f>
        <v>0.54603237822217843</v>
      </c>
      <c r="AG10" s="423">
        <f>S10/SUM(R10:T10)/('S.smolt (sf)'!H30)</f>
        <v>1.1735967157263127</v>
      </c>
      <c r="AH10" s="423">
        <f>T10/SUM(R10:T10)/('S.smolt (sf)'!I30)</f>
        <v>0.79046639691957066</v>
      </c>
    </row>
    <row r="11" spans="1:34" ht="15.6">
      <c r="B11" s="250" t="s">
        <v>585</v>
      </c>
      <c r="C11" s="28" t="s">
        <v>579</v>
      </c>
      <c r="D11" s="28" t="s">
        <v>579</v>
      </c>
      <c r="E11" s="28" t="s">
        <v>583</v>
      </c>
      <c r="F11" s="28" t="s">
        <v>580</v>
      </c>
      <c r="G11" s="28" t="s">
        <v>580</v>
      </c>
      <c r="H11" s="28" t="s">
        <v>582</v>
      </c>
      <c r="I11" s="28" t="s">
        <v>581</v>
      </c>
      <c r="J11" s="28" t="s">
        <v>581</v>
      </c>
      <c r="K11" s="28" t="s">
        <v>584</v>
      </c>
      <c r="P11" s="28"/>
      <c r="Q11" s="28"/>
      <c r="S11" s="297"/>
      <c r="T11" s="256" t="s">
        <v>446</v>
      </c>
      <c r="U11" s="399">
        <f t="shared" ref="U11:Z11" si="4">AVERAGE(U7:U10)</f>
        <v>0.48784836172599255</v>
      </c>
      <c r="V11" s="399">
        <f t="shared" si="4"/>
        <v>0.3434652836786164</v>
      </c>
      <c r="W11" s="399">
        <f t="shared" si="4"/>
        <v>0.35455328883972959</v>
      </c>
      <c r="X11" s="399">
        <f t="shared" si="4"/>
        <v>2.2834175385221693E-2</v>
      </c>
      <c r="Y11" s="399">
        <f t="shared" si="4"/>
        <v>0.61650068515599465</v>
      </c>
      <c r="Z11" s="400">
        <f t="shared" si="4"/>
        <v>0.9999999061745084</v>
      </c>
      <c r="AA11" s="192"/>
      <c r="AB11" s="16">
        <f>AVERAGE(AB7:AB10)</f>
        <v>2098.75</v>
      </c>
      <c r="AC11" s="16">
        <f>AVERAGE(AC7:AC10)</f>
        <v>58289.139210775742</v>
      </c>
      <c r="AD11" s="421">
        <f>AVERAGE(AD7:AD10)</f>
        <v>28.953785519857181</v>
      </c>
      <c r="AE11" s="421">
        <f>AVERAGE(AE7:AE10)</f>
        <v>28.953785519857181</v>
      </c>
      <c r="AF11" s="297" t="s">
        <v>685</v>
      </c>
    </row>
    <row r="12" spans="1:34">
      <c r="C12" s="27"/>
      <c r="D12" s="27"/>
      <c r="E12" s="27"/>
      <c r="F12" s="27"/>
      <c r="G12" s="27"/>
      <c r="H12" s="27"/>
      <c r="I12" s="27"/>
      <c r="J12" s="297"/>
      <c r="P12" s="28"/>
      <c r="S12" s="297"/>
      <c r="T12" s="257" t="s">
        <v>449</v>
      </c>
      <c r="U12" s="310">
        <f t="shared" ref="U12:Z12" si="5">STDEV(U7:U10)</f>
        <v>0.11592034295264222</v>
      </c>
      <c r="V12" s="310">
        <f t="shared" si="5"/>
        <v>7.7290742667446552E-2</v>
      </c>
      <c r="W12" s="310">
        <f t="shared" si="5"/>
        <v>8.7601381967892161E-2</v>
      </c>
      <c r="X12" s="310">
        <f t="shared" si="5"/>
        <v>6.521866715351001E-3</v>
      </c>
      <c r="Y12" s="310">
        <f t="shared" si="5"/>
        <v>6.5395663539398713E-2</v>
      </c>
      <c r="Z12" s="311">
        <f t="shared" si="5"/>
        <v>1.8765098336315233E-7</v>
      </c>
      <c r="AA12" s="193"/>
      <c r="AB12" s="349">
        <f>AC11/AB11</f>
        <v>27.773264662668609</v>
      </c>
      <c r="AC12" s="299" t="s">
        <v>684</v>
      </c>
      <c r="AD12" s="194"/>
      <c r="AE12" s="194"/>
      <c r="AF12" s="191"/>
      <c r="AG12" s="191"/>
      <c r="AH12" s="191"/>
    </row>
    <row r="13" spans="1:34" ht="15" thickBot="1">
      <c r="C13" s="514">
        <f>AVERAGE(C7:C10)</f>
        <v>8.6156898293232892E-2</v>
      </c>
      <c r="D13" s="514" t="s">
        <v>837</v>
      </c>
      <c r="E13" s="27"/>
      <c r="F13" s="27"/>
      <c r="G13" s="27"/>
      <c r="H13" s="27"/>
      <c r="I13" s="27"/>
      <c r="J13" s="297"/>
      <c r="K13" s="297"/>
      <c r="S13" s="297"/>
      <c r="T13" s="258" t="s">
        <v>450</v>
      </c>
      <c r="U13" s="312">
        <f t="shared" ref="U13:Z13" si="6">U12/U11</f>
        <v>0.23761552163979727</v>
      </c>
      <c r="V13" s="312">
        <f t="shared" si="6"/>
        <v>0.22503218328105673</v>
      </c>
      <c r="W13" s="312">
        <f t="shared" si="6"/>
        <v>0.24707536137816236</v>
      </c>
      <c r="X13" s="312">
        <f t="shared" si="6"/>
        <v>0.28561866611447512</v>
      </c>
      <c r="Y13" s="312">
        <f t="shared" si="6"/>
        <v>0.10607557317288543</v>
      </c>
      <c r="Z13" s="313">
        <f t="shared" si="6"/>
        <v>1.8765100096959974E-7</v>
      </c>
      <c r="AB13" s="428">
        <f>AB12*'S.smolt (sf)'!B18</f>
        <v>20.041440264805875</v>
      </c>
      <c r="AC13" s="297" t="s">
        <v>717</v>
      </c>
      <c r="AD13" s="39"/>
      <c r="AE13" s="39"/>
    </row>
    <row r="14" spans="1:34">
      <c r="C14" s="27"/>
      <c r="D14" s="27"/>
      <c r="E14" s="27"/>
      <c r="F14" s="27"/>
      <c r="G14" s="27"/>
      <c r="H14" s="27"/>
      <c r="I14" s="27"/>
      <c r="J14" s="297"/>
      <c r="K14" s="297"/>
    </row>
    <row r="15" spans="1:34">
      <c r="C15" s="27"/>
      <c r="D15" s="27"/>
      <c r="E15" s="27"/>
      <c r="F15" s="27"/>
      <c r="G15" s="27"/>
      <c r="H15" s="27"/>
      <c r="I15" s="27"/>
      <c r="S15" s="250" t="s">
        <v>578</v>
      </c>
      <c r="T15" s="65">
        <f>(D7*E7^0.5)/U7</f>
        <v>1</v>
      </c>
      <c r="U15" s="65">
        <f>(E7^0.5*F7*G7*H7^0.5)/V7</f>
        <v>1</v>
      </c>
      <c r="V15" s="65">
        <f>(H7^0.5*I7*J7*K7^0.5)/W7</f>
        <v>1</v>
      </c>
      <c r="W15" s="429">
        <f>SUM(Z7:Z10)</f>
        <v>3.9999996246980336</v>
      </c>
      <c r="X15" s="282" t="s">
        <v>517</v>
      </c>
      <c r="Y15" s="282"/>
      <c r="Z15" s="282"/>
    </row>
    <row r="16" spans="1:34">
      <c r="C16" s="27"/>
      <c r="I16" s="28"/>
      <c r="T16" s="65">
        <f>(D8*E8^0.5)/U8</f>
        <v>1</v>
      </c>
      <c r="U16" s="65">
        <f>(E8^0.5*F8*G8*H8^0.5)/V8</f>
        <v>1</v>
      </c>
      <c r="V16" s="65">
        <f>(H8^0.5*I8*J8*K8^0.5)/W8</f>
        <v>1</v>
      </c>
    </row>
    <row r="17" spans="2:22">
      <c r="I17" s="28"/>
      <c r="K17" s="46"/>
      <c r="T17" s="65">
        <f>(D9*E9^0.5)/U9</f>
        <v>0.99999999999999989</v>
      </c>
      <c r="U17" s="65">
        <f>(E9^0.5*F9*G9*H9^0.5)/V9</f>
        <v>0.99999999999999967</v>
      </c>
      <c r="V17" s="65">
        <f>(H9^0.5*I9*J9*K9^0.5)/W9</f>
        <v>1</v>
      </c>
    </row>
    <row r="18" spans="2:22">
      <c r="I18" s="28"/>
      <c r="O18" s="297"/>
      <c r="R18" s="28"/>
      <c r="T18" s="65">
        <f>(D10*E10^0.5)/U10</f>
        <v>1</v>
      </c>
      <c r="U18" s="65">
        <f>(E10^0.5*F10*G10*H10^0.5)/V10</f>
        <v>0.99999999999999978</v>
      </c>
      <c r="V18" s="65">
        <f>(H10^0.5*I10*J10*K10^0.5)/W10</f>
        <v>0.99999999999999989</v>
      </c>
    </row>
    <row r="19" spans="2:22" ht="15" thickBot="1">
      <c r="V19" s="28"/>
    </row>
    <row r="20" spans="2:22">
      <c r="B20" s="235" t="s">
        <v>575</v>
      </c>
      <c r="C20" s="20"/>
      <c r="D20" s="20"/>
      <c r="E20" s="20"/>
      <c r="F20" s="20"/>
      <c r="G20" s="20"/>
      <c r="H20" s="20"/>
      <c r="I20" s="197"/>
      <c r="J20" s="197"/>
      <c r="K20" s="197"/>
      <c r="L20" s="197"/>
      <c r="M20" s="197"/>
      <c r="N20" s="197"/>
      <c r="O20" s="20"/>
      <c r="P20" s="20"/>
      <c r="Q20" s="20"/>
      <c r="R20" s="21"/>
      <c r="V20" s="28"/>
    </row>
    <row r="21" spans="2:22">
      <c r="B21" s="343" t="s">
        <v>272</v>
      </c>
      <c r="C21" s="30"/>
      <c r="D21" s="30"/>
      <c r="E21" s="427" t="s">
        <v>716</v>
      </c>
      <c r="F21" s="30"/>
      <c r="G21" s="30"/>
      <c r="H21" s="31"/>
      <c r="I21" s="13"/>
      <c r="J21" s="409"/>
      <c r="K21" s="409">
        <v>1000</v>
      </c>
      <c r="L21" s="409">
        <v>1000</v>
      </c>
      <c r="M21" s="409"/>
      <c r="N21" s="409"/>
      <c r="O21" s="409"/>
      <c r="P21" s="410"/>
      <c r="Q21" s="410"/>
      <c r="R21" s="97"/>
      <c r="V21" s="28"/>
    </row>
    <row r="22" spans="2:22" ht="15.6">
      <c r="B22" s="93"/>
      <c r="C22" s="32" t="s">
        <v>589</v>
      </c>
      <c r="D22" s="403">
        <f>'e (sf&amp;mf)'!X11</f>
        <v>2.2834175385221693E-2</v>
      </c>
      <c r="E22" s="37">
        <f>1-f!K22</f>
        <v>0.59079999999999999</v>
      </c>
      <c r="F22" s="13" t="s">
        <v>271</v>
      </c>
      <c r="G22" s="13"/>
      <c r="H22" s="34"/>
      <c r="I22" s="13"/>
      <c r="J22" s="409"/>
      <c r="K22" s="410" t="s">
        <v>269</v>
      </c>
      <c r="L22" s="410" t="s">
        <v>270</v>
      </c>
      <c r="M22" s="410" t="s">
        <v>521</v>
      </c>
      <c r="N22" s="410" t="s">
        <v>522</v>
      </c>
      <c r="O22" s="410" t="s">
        <v>519</v>
      </c>
      <c r="P22" s="411" t="s">
        <v>524</v>
      </c>
      <c r="Q22" s="409"/>
      <c r="R22" s="97"/>
      <c r="V22" s="28"/>
    </row>
    <row r="23" spans="2:22" ht="15.6">
      <c r="B23" s="93"/>
      <c r="C23" s="13"/>
      <c r="D23" s="403">
        <f>'e (sf&amp;mf)'!Y11</f>
        <v>0.61650068515599465</v>
      </c>
      <c r="E23" s="82"/>
      <c r="F23" s="13">
        <f>(E22)/(1-E22)</f>
        <v>1.4437927663734116</v>
      </c>
      <c r="G23" s="13" t="s">
        <v>268</v>
      </c>
      <c r="H23" s="34"/>
      <c r="I23" s="13"/>
      <c r="J23" s="409">
        <v>1</v>
      </c>
      <c r="K23" s="412">
        <f>K21*U11</f>
        <v>487.84836172599256</v>
      </c>
      <c r="L23" s="412">
        <f>L21*U11</f>
        <v>487.84836172599256</v>
      </c>
      <c r="M23" s="412">
        <f>K23*'InputFile (determ)'!H101</f>
        <v>13.521622559069769</v>
      </c>
      <c r="N23" s="412">
        <f>L23*'InputFile (determ)'!O101</f>
        <v>9.3653485971079018</v>
      </c>
      <c r="O23" s="413">
        <f>N23/(N23+M23)</f>
        <v>0.4091999999999999</v>
      </c>
      <c r="P23" s="414">
        <f>(M23+N23)/(K23+L23)</f>
        <v>2.3457054437165958E-2</v>
      </c>
      <c r="Q23" s="409"/>
      <c r="R23" s="97"/>
      <c r="V23" s="28"/>
    </row>
    <row r="24" spans="2:22" ht="15.6">
      <c r="B24" s="93"/>
      <c r="C24" s="13"/>
      <c r="D24" s="403">
        <v>0.99</v>
      </c>
      <c r="E24" s="404">
        <f>D24/2</f>
        <v>0.495</v>
      </c>
      <c r="F24" s="13"/>
      <c r="G24" s="13"/>
      <c r="H24" s="34"/>
      <c r="I24" s="13"/>
      <c r="J24" s="409">
        <v>2</v>
      </c>
      <c r="K24" s="412">
        <f>(K23-M23)*V11</f>
        <v>162.91476802432021</v>
      </c>
      <c r="L24" s="412">
        <f>(L23-N23)*V11</f>
        <v>164.34230383971149</v>
      </c>
      <c r="M24" s="412">
        <f>K24*'InputFile (determ)'!H102</f>
        <v>110.82291013131648</v>
      </c>
      <c r="N24" s="412">
        <f>L24*'InputFile (determ)'!O102</f>
        <v>76.75818352358614</v>
      </c>
      <c r="O24" s="413">
        <f>N24/(N24+M24)</f>
        <v>0.40919999999999995</v>
      </c>
      <c r="P24" s="414">
        <f>(M24+N24)/(K24+L24)</f>
        <v>0.57319187202420041</v>
      </c>
      <c r="Q24" s="409"/>
      <c r="R24" s="97"/>
      <c r="V24" s="28"/>
    </row>
    <row r="25" spans="2:22">
      <c r="B25" s="93"/>
      <c r="C25" s="13"/>
      <c r="D25" s="33">
        <v>0</v>
      </c>
      <c r="E25" s="13"/>
      <c r="F25" s="13"/>
      <c r="G25" s="13"/>
      <c r="H25" s="34"/>
      <c r="I25" s="13"/>
      <c r="J25" s="409">
        <v>3</v>
      </c>
      <c r="K25" s="412">
        <f>(K24-M24)*W11</f>
        <v>18.4693395377363</v>
      </c>
      <c r="L25" s="412">
        <f>(L24-N24)*W11</f>
        <v>31.053237908216818</v>
      </c>
      <c r="M25" s="412">
        <f>K25*'InputFile (determ)'!H103</f>
        <v>17.545872560849485</v>
      </c>
      <c r="N25" s="412">
        <f>L25*'InputFile (determ)'!O103</f>
        <v>20.43269415104977</v>
      </c>
      <c r="O25" s="413">
        <f>N25/(N25+M25)</f>
        <v>0.53800593124142049</v>
      </c>
      <c r="P25" s="414">
        <f>(M25+N25)/(K25+L25)</f>
        <v>0.76689398392778496</v>
      </c>
      <c r="Q25" s="409" t="s">
        <v>520</v>
      </c>
      <c r="R25" s="97"/>
      <c r="V25" s="28"/>
    </row>
    <row r="26" spans="2:22">
      <c r="B26" s="93"/>
      <c r="C26" s="13"/>
      <c r="D26" s="33">
        <v>0</v>
      </c>
      <c r="E26" s="13"/>
      <c r="F26" s="302">
        <v>0.02</v>
      </c>
      <c r="G26" s="13" t="s">
        <v>588</v>
      </c>
      <c r="H26" s="34"/>
      <c r="I26" s="13"/>
      <c r="J26" s="410"/>
      <c r="K26" s="409"/>
      <c r="L26" s="409"/>
      <c r="M26" s="410"/>
      <c r="N26" s="410"/>
      <c r="O26" s="413">
        <f>SUM(M23:M25)/SUM(M23:N25)</f>
        <v>0.57111019932710128</v>
      </c>
      <c r="P26" s="410" t="s">
        <v>523</v>
      </c>
      <c r="Q26" s="410"/>
      <c r="R26" s="97"/>
      <c r="V26" s="28"/>
    </row>
    <row r="27" spans="2:22">
      <c r="B27" s="93"/>
      <c r="C27" s="13"/>
      <c r="D27" s="33">
        <v>0</v>
      </c>
      <c r="E27" s="13"/>
      <c r="F27" s="13"/>
      <c r="G27" s="13"/>
      <c r="H27" s="34"/>
      <c r="I27" s="13"/>
      <c r="J27" s="410"/>
      <c r="K27" s="410"/>
      <c r="L27" s="410"/>
      <c r="M27" s="410"/>
      <c r="N27" s="410"/>
      <c r="O27" s="410"/>
      <c r="P27" s="410"/>
      <c r="Q27" s="410"/>
      <c r="R27" s="97"/>
      <c r="V27" s="28"/>
    </row>
    <row r="28" spans="2:22">
      <c r="B28" s="344"/>
      <c r="C28" s="6"/>
      <c r="D28" s="35">
        <v>0</v>
      </c>
      <c r="E28" s="6"/>
      <c r="F28" s="6"/>
      <c r="G28" s="6"/>
      <c r="H28" s="36"/>
      <c r="I28" s="13"/>
      <c r="J28" s="410"/>
      <c r="K28" s="410"/>
      <c r="L28" s="410"/>
      <c r="M28" s="410"/>
      <c r="N28" s="410"/>
      <c r="O28" s="410"/>
      <c r="P28" s="410"/>
      <c r="Q28" s="410"/>
      <c r="R28" s="97"/>
      <c r="V28" s="28"/>
    </row>
    <row r="29" spans="2:22" ht="15" thickBot="1">
      <c r="B29" s="227"/>
      <c r="C29" s="42"/>
      <c r="D29" s="42"/>
      <c r="E29" s="42"/>
      <c r="F29" s="42"/>
      <c r="G29" s="42"/>
      <c r="H29" s="42"/>
      <c r="I29" s="242"/>
      <c r="J29" s="242"/>
      <c r="K29" s="242"/>
      <c r="L29" s="242"/>
      <c r="M29" s="242"/>
      <c r="N29" s="242"/>
      <c r="O29" s="42"/>
      <c r="P29" s="42"/>
      <c r="Q29" s="42"/>
      <c r="R29" s="243"/>
      <c r="V29" s="28"/>
    </row>
    <row r="30" spans="2:22">
      <c r="B30" s="76"/>
      <c r="C30" s="76"/>
      <c r="R30" s="16"/>
      <c r="S30" s="16"/>
      <c r="T30" s="16"/>
      <c r="V30" s="28"/>
    </row>
    <row r="31" spans="2:22">
      <c r="R31" s="27"/>
      <c r="S31" s="73"/>
      <c r="T31" s="73"/>
      <c r="V31" s="28"/>
    </row>
    <row r="32" spans="2:22">
      <c r="V32" s="28"/>
    </row>
    <row r="33" spans="4:22">
      <c r="V33" s="28"/>
    </row>
    <row r="34" spans="4:22">
      <c r="V34" s="28"/>
    </row>
    <row r="37" spans="4:22">
      <c r="D37" s="76"/>
      <c r="E37" s="76"/>
      <c r="F37" s="76"/>
    </row>
  </sheetData>
  <pageMargins left="0.7" right="0.7" top="0.75" bottom="0.75" header="0.3" footer="0.3"/>
  <pageSetup orientation="portrait" horizontalDpi="360" verticalDpi="360"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B9" sqref="B9"/>
    </sheetView>
  </sheetViews>
  <sheetFormatPr defaultRowHeight="14.4"/>
  <sheetData>
    <row r="1" spans="1:4">
      <c r="A1" t="s">
        <v>1070</v>
      </c>
    </row>
    <row r="2" spans="1:4">
      <c r="A2" t="s">
        <v>1071</v>
      </c>
      <c r="D2" t="s">
        <v>1077</v>
      </c>
    </row>
    <row r="3" spans="1:4">
      <c r="A3" t="s">
        <v>1072</v>
      </c>
      <c r="D3" t="s">
        <v>1077</v>
      </c>
    </row>
    <row r="4" spans="1:4">
      <c r="A4" t="s">
        <v>1073</v>
      </c>
      <c r="D4" t="s">
        <v>1076</v>
      </c>
    </row>
    <row r="5" spans="1:4" s="499" customFormat="1">
      <c r="A5" s="499" t="s">
        <v>1074</v>
      </c>
      <c r="D5" s="499" t="s">
        <v>1076</v>
      </c>
    </row>
    <row r="6" spans="1:4">
      <c r="A6" t="s">
        <v>1075</v>
      </c>
      <c r="D6" s="499" t="s">
        <v>1076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1:X16"/>
  <sheetViews>
    <sheetView zoomScaleNormal="100" workbookViewId="0">
      <selection activeCell="H33" sqref="H33"/>
    </sheetView>
  </sheetViews>
  <sheetFormatPr defaultRowHeight="14.4"/>
  <cols>
    <col min="2" max="2" width="20.88671875" customWidth="1"/>
    <col min="3" max="3" width="11" customWidth="1"/>
    <col min="4" max="4" width="10.109375" style="297" customWidth="1"/>
    <col min="5" max="5" width="14" style="297" customWidth="1"/>
    <col min="6" max="6" width="29.5546875" style="297" customWidth="1"/>
    <col min="8" max="8" width="9.109375" style="28"/>
    <col min="9" max="9" width="6.33203125" style="28" bestFit="1" customWidth="1"/>
    <col min="10" max="10" width="10.109375" style="28" bestFit="1" customWidth="1"/>
    <col min="11" max="12" width="8.33203125" style="297" customWidth="1"/>
    <col min="13" max="16" width="8.33203125" customWidth="1"/>
    <col min="17" max="17" width="2.109375" style="499" customWidth="1"/>
    <col min="18" max="18" width="10.88671875" style="297" bestFit="1" customWidth="1"/>
    <col min="19" max="21" width="7.5546875" style="297" customWidth="1"/>
    <col min="22" max="24" width="7.5546875" customWidth="1"/>
  </cols>
  <sheetData>
    <row r="1" spans="2:24">
      <c r="L1"/>
    </row>
    <row r="2" spans="2:24">
      <c r="B2" t="s">
        <v>847</v>
      </c>
      <c r="I2" s="174"/>
      <c r="J2" s="633" t="s">
        <v>963</v>
      </c>
      <c r="K2" s="633"/>
      <c r="L2" s="633"/>
      <c r="M2" s="633"/>
      <c r="N2" s="633"/>
      <c r="O2" s="633"/>
      <c r="P2" s="633"/>
      <c r="Q2" s="51"/>
      <c r="R2" s="633" t="s">
        <v>964</v>
      </c>
      <c r="S2" s="633"/>
      <c r="T2" s="633"/>
      <c r="U2" s="633"/>
      <c r="V2" s="633"/>
      <c r="W2" s="633"/>
      <c r="X2" s="633"/>
    </row>
    <row r="3" spans="2:24" ht="43.2">
      <c r="B3" s="57" t="s">
        <v>851</v>
      </c>
      <c r="C3" s="57" t="s">
        <v>848</v>
      </c>
      <c r="D3" s="57" t="s">
        <v>849</v>
      </c>
      <c r="E3" s="57" t="s">
        <v>850</v>
      </c>
      <c r="F3" s="51" t="s">
        <v>593</v>
      </c>
      <c r="I3" s="556" t="s">
        <v>965</v>
      </c>
      <c r="J3" s="57" t="s">
        <v>960</v>
      </c>
      <c r="K3" s="555" t="s">
        <v>955</v>
      </c>
      <c r="L3" s="555" t="s">
        <v>956</v>
      </c>
      <c r="M3" s="555" t="s">
        <v>957</v>
      </c>
      <c r="N3" s="555" t="s">
        <v>952</v>
      </c>
      <c r="O3" s="555" t="s">
        <v>953</v>
      </c>
      <c r="P3" s="555" t="s">
        <v>954</v>
      </c>
      <c r="Q3" s="555"/>
      <c r="R3" s="556" t="s">
        <v>959</v>
      </c>
      <c r="S3" s="57" t="s">
        <v>466</v>
      </c>
      <c r="T3" s="57" t="s">
        <v>863</v>
      </c>
      <c r="U3" s="57" t="s">
        <v>864</v>
      </c>
      <c r="V3" s="57" t="s">
        <v>428</v>
      </c>
      <c r="W3" s="57" t="s">
        <v>429</v>
      </c>
      <c r="X3" s="57" t="s">
        <v>958</v>
      </c>
    </row>
    <row r="4" spans="2:24">
      <c r="B4" t="s">
        <v>853</v>
      </c>
      <c r="C4" s="28" t="s">
        <v>464</v>
      </c>
      <c r="D4" s="18">
        <f>m!D92</f>
        <v>8.0873749999999994E-2</v>
      </c>
      <c r="E4" s="73">
        <f>m!D93</f>
        <v>0.57131904242753706</v>
      </c>
      <c r="F4" s="297" t="s">
        <v>852</v>
      </c>
      <c r="I4" s="563">
        <v>2008</v>
      </c>
      <c r="J4" s="77">
        <f>'e (sf)'!B7</f>
        <v>2163072.479216883</v>
      </c>
      <c r="K4" s="558">
        <f>'e (sf)'!O7</f>
        <v>99329.411746681712</v>
      </c>
      <c r="L4" s="558">
        <f>'e (sf)'!P7</f>
        <v>25284.031279422459</v>
      </c>
      <c r="M4" s="558">
        <f>'e (sf)'!Q7</f>
        <v>3242.8507981469434</v>
      </c>
      <c r="N4" s="558">
        <f>'e (sf)'!R7</f>
        <v>237.09938290737088</v>
      </c>
      <c r="O4" s="558">
        <f>'e (sf)'!S7</f>
        <v>16520.02372351976</v>
      </c>
      <c r="P4" s="558">
        <f>'e (sf)'!T7</f>
        <v>3242.8527487023921</v>
      </c>
      <c r="Q4" s="558"/>
      <c r="R4" s="557">
        <f>'e (sf)'!C7</f>
        <v>9.1715713042661892E-2</v>
      </c>
      <c r="S4" s="73">
        <f>'e (sf)'!D7*'e (sf)'!E7^(1/2)</f>
        <v>0.50068322948318755</v>
      </c>
      <c r="T4" s="73">
        <f>('e (sf)'!E7^(1/2))*'e (sf)'!F7*'e (sf)'!G7*('e (sf)'!H7^(1/2))</f>
        <v>0.25515633530281473</v>
      </c>
      <c r="U4" s="561">
        <f>'e (sf)'!I7*'e (sf)'!J7*('e (sf)'!K7^(1/2))*('e (sf)'!H7^(1/2))</f>
        <v>0.37001916959357611</v>
      </c>
      <c r="V4" s="41">
        <f>'e (sf)'!X7</f>
        <v>2.3870007758833994E-3</v>
      </c>
      <c r="W4" s="41">
        <f>'e (sf)'!Y7</f>
        <v>0.65337776009495241</v>
      </c>
      <c r="X4" s="41">
        <f>'e (sf)'!Z7</f>
        <v>1.0000006014940466</v>
      </c>
    </row>
    <row r="5" spans="2:24">
      <c r="B5" t="s">
        <v>854</v>
      </c>
      <c r="C5" s="28" t="s">
        <v>465</v>
      </c>
      <c r="D5" s="18">
        <f>m!D104</f>
        <v>0.47448750000000001</v>
      </c>
      <c r="E5" s="73">
        <f>m!D105</f>
        <v>0.25855884799091766</v>
      </c>
      <c r="F5" s="499" t="s">
        <v>852</v>
      </c>
      <c r="I5" s="58">
        <v>2009</v>
      </c>
      <c r="J5" s="78">
        <f>'e (sf)'!B8</f>
        <v>5723283.203721351</v>
      </c>
      <c r="K5" s="99">
        <f>'e (sf)'!O8</f>
        <v>102196.46051362858</v>
      </c>
      <c r="L5" s="99">
        <f>'e (sf)'!P8</f>
        <v>43055.903052535614</v>
      </c>
      <c r="M5" s="99">
        <f>'e (sf)'!Q8</f>
        <v>5005.4656964257101</v>
      </c>
      <c r="N5" s="99">
        <f>'e (sf)'!R8</f>
        <v>5071.0489392269483</v>
      </c>
      <c r="O5" s="99">
        <f>'e (sf)'!S8</f>
        <v>31787.35674968105</v>
      </c>
      <c r="P5" s="99">
        <f>'e (sf)'!T8</f>
        <v>5005.4656964257138</v>
      </c>
      <c r="Q5" s="99"/>
      <c r="R5" s="559">
        <f>'e (sf)'!C8</f>
        <v>2.7623671133191714E-2</v>
      </c>
      <c r="S5" s="73">
        <f>'e (sf)'!D8*'e (sf)'!E8^(1/2)</f>
        <v>0.64641172173777905</v>
      </c>
      <c r="T5" s="73">
        <f>('e (sf)'!E8^(1/2))*'e (sf)'!F8*'e (sf)'!G8*('e (sf)'!H8^(1/2))</f>
        <v>0.44330214260717143</v>
      </c>
      <c r="U5" s="561">
        <f>'e (sf)'!I8*'e (sf)'!J8*('e (sf)'!K8^(1/2))*('e (sf)'!H8^(1/2))</f>
        <v>0.44419799696414414</v>
      </c>
      <c r="V5" s="122">
        <f>'e (sf)'!X8</f>
        <v>4.9620592667695078E-2</v>
      </c>
      <c r="W5" s="122">
        <f>'e (sf)'!Y8</f>
        <v>0.73828103688581337</v>
      </c>
      <c r="X5" s="122">
        <f>'e (sf)'!Z8</f>
        <v>1.0000000000000007</v>
      </c>
    </row>
    <row r="6" spans="2:24">
      <c r="B6" t="s">
        <v>855</v>
      </c>
      <c r="C6" s="28" t="s">
        <v>466</v>
      </c>
      <c r="D6" s="18">
        <f>m!D107</f>
        <v>0.65820000000000001</v>
      </c>
      <c r="E6" s="73">
        <f>m!D108</f>
        <v>0.25979945305378305</v>
      </c>
      <c r="I6" s="58">
        <v>2010</v>
      </c>
      <c r="J6" s="78">
        <f>'e (sf)'!B9</f>
        <v>5984946.9643912744</v>
      </c>
      <c r="K6" s="99">
        <f>'e (sf)'!O9</f>
        <v>578760.1111114017</v>
      </c>
      <c r="L6" s="99">
        <f>'e (sf)'!P9</f>
        <v>197379.04408099569</v>
      </c>
      <c r="M6" s="99">
        <f>'e (sf)'!Q9</f>
        <v>38224.475914061972</v>
      </c>
      <c r="N6" s="99">
        <f>'e (sf)'!R9</f>
        <v>5620.1994491323449</v>
      </c>
      <c r="O6" s="99">
        <f>'e (sf)'!S9</f>
        <v>94042.91022348206</v>
      </c>
      <c r="P6" s="99">
        <f>'e (sf)'!T9</f>
        <v>38224.475914061972</v>
      </c>
      <c r="Q6" s="99"/>
      <c r="R6" s="559">
        <f>'e (sf)'!C9</f>
        <v>0.24823362599833612</v>
      </c>
      <c r="S6" s="73">
        <f>'e (sf)'!D9*'e (sf)'!E9^(1/2)</f>
        <v>0.38956297514009203</v>
      </c>
      <c r="T6" s="73">
        <f>('e (sf)'!E9^(1/2))*'e (sf)'!F9*'e (sf)'!G9*('e (sf)'!H9^(1/2))</f>
        <v>0.34438195642062347</v>
      </c>
      <c r="U6" s="561">
        <f>'e (sf)'!I9*'e (sf)'!J9*('e (sf)'!K9^(1/2))*('e (sf)'!H9^(1/2))</f>
        <v>0.36990425795074044</v>
      </c>
      <c r="V6" s="122">
        <f>'e (sf)'!X9</f>
        <v>9.7107581210802377E-3</v>
      </c>
      <c r="W6" s="122">
        <f>'e (sf)'!Y9</f>
        <v>0.47645843387959147</v>
      </c>
      <c r="X6" s="122">
        <f>'e (sf)'!Z9</f>
        <v>1</v>
      </c>
    </row>
    <row r="7" spans="2:24">
      <c r="B7" t="s">
        <v>856</v>
      </c>
      <c r="C7" s="28" t="s">
        <v>467</v>
      </c>
      <c r="D7" s="18">
        <f>m!D111</f>
        <v>0.45939999999999998</v>
      </c>
      <c r="E7" s="73">
        <f>m!D112</f>
        <v>7.2442316064431869E-2</v>
      </c>
      <c r="I7" s="23">
        <v>2011</v>
      </c>
      <c r="J7" s="145">
        <f>'e (sf)'!B10</f>
        <v>10799680.685689986</v>
      </c>
      <c r="K7" s="560">
        <f>'e (sf)'!O10</f>
        <v>757837.86986902216</v>
      </c>
      <c r="L7" s="560">
        <f>'e (sf)'!P10</f>
        <v>242804.94070929926</v>
      </c>
      <c r="M7" s="560">
        <f>'e (sf)'!Q10</f>
        <v>32702.090476191133</v>
      </c>
      <c r="N7" s="560">
        <f>'e (sf)'!R10</f>
        <v>24334.072590665779</v>
      </c>
      <c r="O7" s="560">
        <f>'e (sf)'!S10</f>
        <v>103107.18053048347</v>
      </c>
      <c r="P7" s="560">
        <f>'e (sf)'!T10</f>
        <v>32702.090476191133</v>
      </c>
      <c r="Q7" s="560"/>
      <c r="R7" s="543">
        <f>'e (sf)'!C10</f>
        <v>0.16919758347838787</v>
      </c>
      <c r="S7" s="543">
        <f>'e (sf)'!D10*'e (sf)'!E10^(1/2)</f>
        <v>0.4147355205429118</v>
      </c>
      <c r="T7" s="543">
        <f>('e (sf)'!E10^(1/2))*'e (sf)'!F10*'e (sf)'!G10*('e (sf)'!H10^(1/2))</f>
        <v>0.33102070038385573</v>
      </c>
      <c r="U7" s="562">
        <f>'e (sf)'!I10*'e (sf)'!J10*('e (sf)'!K10^(1/2))*('e (sf)'!H10^(1/2))</f>
        <v>0.23409173085045767</v>
      </c>
      <c r="V7" s="67">
        <f>'e (sf)'!X10</f>
        <v>3.2109866184005111E-2</v>
      </c>
      <c r="W7" s="67">
        <f>'e (sf)'!Y10</f>
        <v>0.42465025723644401</v>
      </c>
      <c r="X7" s="67">
        <f>'e (sf)'!Z10</f>
        <v>1</v>
      </c>
    </row>
    <row r="8" spans="2:24">
      <c r="B8" t="s">
        <v>857</v>
      </c>
      <c r="C8" s="28" t="s">
        <v>468</v>
      </c>
      <c r="D8" s="18">
        <f>m!D115</f>
        <v>0.98619999999999997</v>
      </c>
      <c r="E8" s="73">
        <f>m!D116</f>
        <v>4.9736361792739811E-3</v>
      </c>
      <c r="I8" s="563"/>
      <c r="J8" s="563"/>
      <c r="K8"/>
      <c r="L8"/>
      <c r="P8" s="28"/>
      <c r="Q8" s="250" t="s">
        <v>961</v>
      </c>
      <c r="R8" s="18">
        <f>AVERAGE(R4:R7)</f>
        <v>0.13419264841314441</v>
      </c>
      <c r="S8" s="18">
        <f t="shared" ref="S8:U8" si="0">AVERAGE(S4:S7)</f>
        <v>0.48784836172599255</v>
      </c>
      <c r="T8" s="18">
        <f t="shared" si="0"/>
        <v>0.34346528367861634</v>
      </c>
      <c r="U8" s="18">
        <f t="shared" si="0"/>
        <v>0.35455328883972959</v>
      </c>
      <c r="V8" s="18">
        <f t="shared" ref="V8:X8" si="1">AVERAGE(V4:V7)</f>
        <v>2.3457054437165954E-2</v>
      </c>
      <c r="W8" s="18">
        <f t="shared" si="1"/>
        <v>0.5731918720242003</v>
      </c>
      <c r="X8" s="18">
        <f t="shared" si="1"/>
        <v>1.0000001503735119</v>
      </c>
    </row>
    <row r="9" spans="2:24">
      <c r="B9" s="6" t="s">
        <v>858</v>
      </c>
      <c r="C9" s="23" t="s">
        <v>469</v>
      </c>
      <c r="D9" s="54">
        <v>1</v>
      </c>
      <c r="E9" s="543">
        <v>0</v>
      </c>
      <c r="F9" s="6"/>
      <c r="I9" s="23"/>
      <c r="J9" s="23"/>
      <c r="K9" s="6"/>
      <c r="L9" s="6"/>
      <c r="M9" s="6"/>
      <c r="N9" s="6"/>
      <c r="O9" s="6"/>
      <c r="P9" s="23"/>
      <c r="Q9" s="564" t="s">
        <v>962</v>
      </c>
      <c r="R9" s="54">
        <f>STDEV(R4:R7)/R8</f>
        <v>0.71206877402704249</v>
      </c>
      <c r="S9" s="54">
        <f t="shared" ref="S9:U9" si="2">STDEV(S4:S7)/S8</f>
        <v>0.23761552163979727</v>
      </c>
      <c r="T9" s="54">
        <f t="shared" si="2"/>
        <v>0.22503218328105709</v>
      </c>
      <c r="U9" s="54">
        <f t="shared" si="2"/>
        <v>0.24707536137816236</v>
      </c>
      <c r="V9" s="54">
        <f t="shared" ref="V9:X9" si="3">STDEV(V4:V7)/V8</f>
        <v>0.9184041182622058</v>
      </c>
      <c r="W9" s="54">
        <f t="shared" si="3"/>
        <v>0.25701025417990575</v>
      </c>
      <c r="X9" s="54">
        <f t="shared" si="3"/>
        <v>3.0074697794979566E-7</v>
      </c>
    </row>
    <row r="10" spans="2:24">
      <c r="J10"/>
      <c r="K10"/>
      <c r="L10"/>
      <c r="R10"/>
      <c r="S10"/>
      <c r="T10"/>
      <c r="U10"/>
    </row>
    <row r="11" spans="2:24">
      <c r="L11"/>
      <c r="N11" s="263">
        <f>N4/SUM(N4:P4)</f>
        <v>1.1854983457220547E-2</v>
      </c>
      <c r="O11" s="263">
        <f>O4/SUM(N4:P4)</f>
        <v>0.82600218336177456</v>
      </c>
      <c r="P11" s="263">
        <f>P4/SUM(N4:P4)</f>
        <v>0.16214283318100489</v>
      </c>
    </row>
    <row r="12" spans="2:24">
      <c r="D12"/>
      <c r="E12"/>
      <c r="F12"/>
      <c r="H12"/>
      <c r="J12"/>
      <c r="K12"/>
      <c r="L12"/>
      <c r="N12" s="263">
        <f t="shared" ref="N12:N14" si="4">N5/SUM(N5:P5)</f>
        <v>0.12113186791901676</v>
      </c>
      <c r="O12" s="263">
        <f t="shared" ref="O12:O14" si="5">O5/SUM(N5:P5)</f>
        <v>0.75930284748622667</v>
      </c>
      <c r="P12" s="263">
        <f t="shared" ref="P12:P14" si="6">P5/SUM(N5:P5)</f>
        <v>0.11956528459475664</v>
      </c>
      <c r="R12"/>
      <c r="S12"/>
      <c r="T12"/>
      <c r="U12"/>
      <c r="W12" s="499"/>
      <c r="X12" s="499"/>
    </row>
    <row r="13" spans="2:24">
      <c r="D13"/>
      <c r="E13"/>
      <c r="F13"/>
      <c r="H13"/>
      <c r="J13"/>
      <c r="K13"/>
      <c r="L13"/>
      <c r="N13" s="263">
        <f t="shared" si="4"/>
        <v>4.0759285364377333E-2</v>
      </c>
      <c r="O13" s="263">
        <f t="shared" si="5"/>
        <v>0.68202594035825315</v>
      </c>
      <c r="P13" s="263">
        <f t="shared" si="6"/>
        <v>0.27721477427736957</v>
      </c>
      <c r="R13"/>
      <c r="S13"/>
      <c r="T13"/>
      <c r="U13"/>
    </row>
    <row r="14" spans="2:24">
      <c r="N14" s="263">
        <f t="shared" si="4"/>
        <v>0.15195182043813599</v>
      </c>
      <c r="O14" s="263">
        <f t="shared" si="5"/>
        <v>0.64384306093753785</v>
      </c>
      <c r="P14" s="263">
        <f t="shared" si="6"/>
        <v>0.20420511862432628</v>
      </c>
    </row>
    <row r="16" spans="2:24">
      <c r="N16" s="346">
        <f>AVERAGE(N11:N14)</f>
        <v>8.1424489294687652E-2</v>
      </c>
      <c r="O16" s="346">
        <f>AVERAGE(O11:O14)</f>
        <v>0.72779350803594811</v>
      </c>
      <c r="P16" s="346">
        <f>AVERAGE(P11:P14)</f>
        <v>0.19078200266936435</v>
      </c>
    </row>
  </sheetData>
  <mergeCells count="2">
    <mergeCell ref="J2:P2"/>
    <mergeCell ref="R2:X2"/>
  </mergeCells>
  <pageMargins left="0.7" right="0.7" top="0.75" bottom="0.75" header="0.3" footer="0.3"/>
  <pageSetup orientation="portrait" horizontalDpi="360" verticalDpi="36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D29"/>
  <sheetViews>
    <sheetView zoomScaleNormal="100" workbookViewId="0">
      <pane ySplit="2" topLeftCell="A3" activePane="bottomLeft" state="frozen"/>
      <selection pane="bottomLeft" activeCell="A29" sqref="A29"/>
    </sheetView>
  </sheetViews>
  <sheetFormatPr defaultColWidth="9.109375" defaultRowHeight="14.4"/>
  <cols>
    <col min="1" max="1" width="15.5546875" style="547" customWidth="1"/>
    <col min="2" max="2" width="10.33203125" style="28" customWidth="1"/>
    <col min="3" max="3" width="62" style="499" bestFit="1" customWidth="1"/>
    <col min="4" max="4" width="75.44140625" style="499" customWidth="1"/>
    <col min="5" max="16384" width="9.109375" style="499"/>
  </cols>
  <sheetData>
    <row r="1" spans="1:4" s="61" customFormat="1">
      <c r="A1" s="547" t="s">
        <v>886</v>
      </c>
      <c r="B1" s="542"/>
    </row>
    <row r="2" spans="1:4" s="61" customFormat="1">
      <c r="A2" s="554" t="s">
        <v>923</v>
      </c>
      <c r="B2" s="554" t="s">
        <v>848</v>
      </c>
      <c r="C2" s="554" t="s">
        <v>877</v>
      </c>
      <c r="D2" s="554" t="s">
        <v>931</v>
      </c>
    </row>
    <row r="3" spans="1:4" s="61" customFormat="1" ht="28.5" customHeight="1">
      <c r="A3" s="552" t="s">
        <v>925</v>
      </c>
      <c r="B3" s="553" t="s">
        <v>896</v>
      </c>
      <c r="C3" s="552" t="s">
        <v>878</v>
      </c>
      <c r="D3" s="552" t="s">
        <v>924</v>
      </c>
    </row>
    <row r="4" spans="1:4" s="61" customFormat="1" ht="15">
      <c r="A4" s="549"/>
      <c r="B4" s="551" t="s">
        <v>897</v>
      </c>
      <c r="C4" s="550" t="s">
        <v>879</v>
      </c>
      <c r="D4" s="550" t="s">
        <v>947</v>
      </c>
    </row>
    <row r="5" spans="1:4" s="61" customFormat="1" ht="15">
      <c r="A5" s="549"/>
      <c r="B5" s="551" t="s">
        <v>898</v>
      </c>
      <c r="C5" s="550" t="s">
        <v>917</v>
      </c>
      <c r="D5" s="550" t="s">
        <v>892</v>
      </c>
    </row>
    <row r="6" spans="1:4" s="61" customFormat="1" ht="15">
      <c r="A6" s="549"/>
      <c r="B6" s="551" t="s">
        <v>899</v>
      </c>
      <c r="C6" s="550" t="s">
        <v>880</v>
      </c>
      <c r="D6" s="550" t="s">
        <v>892</v>
      </c>
    </row>
    <row r="7" spans="1:4" s="61" customFormat="1" ht="15">
      <c r="A7" s="549"/>
      <c r="B7" s="551" t="s">
        <v>900</v>
      </c>
      <c r="C7" s="550" t="s">
        <v>884</v>
      </c>
      <c r="D7" s="550" t="s">
        <v>892</v>
      </c>
    </row>
    <row r="8" spans="1:4" s="61" customFormat="1" ht="15">
      <c r="A8" s="549"/>
      <c r="B8" s="551" t="s">
        <v>901</v>
      </c>
      <c r="C8" s="550" t="s">
        <v>936</v>
      </c>
      <c r="D8" s="550" t="s">
        <v>893</v>
      </c>
    </row>
    <row r="9" spans="1:4" s="61" customFormat="1" ht="27.6">
      <c r="A9" s="549"/>
      <c r="B9" s="551" t="s">
        <v>902</v>
      </c>
      <c r="C9" s="550" t="s">
        <v>881</v>
      </c>
      <c r="D9" s="550" t="s">
        <v>894</v>
      </c>
    </row>
    <row r="10" spans="1:4" s="61" customFormat="1" ht="15">
      <c r="A10" s="549"/>
      <c r="B10" s="551" t="s">
        <v>903</v>
      </c>
      <c r="C10" s="550" t="s">
        <v>882</v>
      </c>
      <c r="D10" s="550" t="s">
        <v>946</v>
      </c>
    </row>
    <row r="11" spans="1:4" s="61" customFormat="1" ht="15">
      <c r="A11" s="549"/>
      <c r="B11" s="551" t="s">
        <v>904</v>
      </c>
      <c r="C11" s="550" t="s">
        <v>883</v>
      </c>
      <c r="D11" s="550" t="s">
        <v>946</v>
      </c>
    </row>
    <row r="12" spans="1:4" s="61" customFormat="1" ht="15">
      <c r="A12" s="549"/>
      <c r="B12" s="551" t="s">
        <v>905</v>
      </c>
      <c r="C12" s="550" t="s">
        <v>935</v>
      </c>
      <c r="D12" s="550" t="s">
        <v>895</v>
      </c>
    </row>
    <row r="13" spans="1:4" s="61" customFormat="1" ht="15">
      <c r="A13" s="549"/>
      <c r="B13" s="551" t="s">
        <v>906</v>
      </c>
      <c r="C13" s="550" t="s">
        <v>885</v>
      </c>
    </row>
    <row r="14" spans="1:4" s="61" customFormat="1" ht="15">
      <c r="A14" s="549"/>
      <c r="B14" s="551" t="s">
        <v>907</v>
      </c>
      <c r="C14" s="550" t="s">
        <v>887</v>
      </c>
      <c r="D14" s="550" t="s">
        <v>947</v>
      </c>
    </row>
    <row r="15" spans="1:4" s="61" customFormat="1" ht="15">
      <c r="A15" s="549"/>
      <c r="B15" s="551" t="s">
        <v>908</v>
      </c>
      <c r="C15" s="550" t="s">
        <v>888</v>
      </c>
      <c r="D15" s="550" t="s">
        <v>947</v>
      </c>
    </row>
    <row r="16" spans="1:4" s="61" customFormat="1" ht="15">
      <c r="A16" s="549"/>
      <c r="B16" s="551" t="s">
        <v>909</v>
      </c>
      <c r="C16" s="550" t="s">
        <v>918</v>
      </c>
      <c r="D16" s="550" t="s">
        <v>947</v>
      </c>
    </row>
    <row r="17" spans="1:4" s="61" customFormat="1" ht="15">
      <c r="A17" s="549"/>
      <c r="B17" s="551" t="s">
        <v>910</v>
      </c>
      <c r="C17" s="550" t="s">
        <v>889</v>
      </c>
      <c r="D17" s="550" t="s">
        <v>946</v>
      </c>
    </row>
    <row r="18" spans="1:4" s="61" customFormat="1" ht="15">
      <c r="A18" s="549"/>
      <c r="B18" s="551" t="s">
        <v>911</v>
      </c>
      <c r="C18" s="550" t="s">
        <v>890</v>
      </c>
      <c r="D18" s="550" t="s">
        <v>946</v>
      </c>
    </row>
    <row r="19" spans="1:4" s="61" customFormat="1" ht="15">
      <c r="A19" s="549"/>
      <c r="B19" s="551" t="s">
        <v>912</v>
      </c>
      <c r="C19" s="550" t="s">
        <v>891</v>
      </c>
      <c r="D19" s="550" t="s">
        <v>946</v>
      </c>
    </row>
    <row r="20" spans="1:4" s="61" customFormat="1" ht="27.6">
      <c r="A20" s="549"/>
      <c r="B20" s="551" t="s">
        <v>913</v>
      </c>
      <c r="C20" s="550" t="s">
        <v>919</v>
      </c>
      <c r="D20" s="550" t="s">
        <v>933</v>
      </c>
    </row>
    <row r="21" spans="1:4" s="61" customFormat="1" ht="27.6">
      <c r="A21" s="549"/>
      <c r="B21" s="551" t="s">
        <v>914</v>
      </c>
      <c r="C21" s="550" t="s">
        <v>920</v>
      </c>
      <c r="D21" s="550" t="s">
        <v>933</v>
      </c>
    </row>
    <row r="22" spans="1:4" s="61" customFormat="1" ht="27.6">
      <c r="A22" s="549"/>
      <c r="B22" s="551" t="s">
        <v>915</v>
      </c>
      <c r="C22" s="550" t="s">
        <v>921</v>
      </c>
      <c r="D22" s="550" t="s">
        <v>933</v>
      </c>
    </row>
    <row r="23" spans="1:4" s="61" customFormat="1" ht="27.6">
      <c r="A23" s="549"/>
      <c r="B23" s="551" t="s">
        <v>916</v>
      </c>
      <c r="C23" s="550" t="s">
        <v>922</v>
      </c>
      <c r="D23" s="550" t="s">
        <v>934</v>
      </c>
    </row>
    <row r="24" spans="1:4" s="61" customFormat="1" ht="39" customHeight="1">
      <c r="A24" s="549"/>
      <c r="B24" s="551" t="s">
        <v>942</v>
      </c>
      <c r="C24" s="550" t="s">
        <v>948</v>
      </c>
      <c r="D24" s="550" t="s">
        <v>941</v>
      </c>
    </row>
    <row r="25" spans="1:4" s="61" customFormat="1" ht="27.6">
      <c r="A25" s="549"/>
      <c r="B25" s="551" t="s">
        <v>943</v>
      </c>
      <c r="C25" s="550" t="s">
        <v>949</v>
      </c>
      <c r="D25" s="550" t="s">
        <v>945</v>
      </c>
    </row>
    <row r="26" spans="1:4" s="61" customFormat="1" ht="41.4">
      <c r="A26" s="549"/>
      <c r="B26" s="551" t="s">
        <v>944</v>
      </c>
      <c r="C26" s="550" t="s">
        <v>940</v>
      </c>
      <c r="D26" s="550" t="s">
        <v>950</v>
      </c>
    </row>
    <row r="27" spans="1:4" ht="15">
      <c r="A27" s="550" t="s">
        <v>926</v>
      </c>
      <c r="B27" s="551" t="s">
        <v>937</v>
      </c>
      <c r="C27" s="550" t="s">
        <v>927</v>
      </c>
      <c r="D27" s="550" t="s">
        <v>951</v>
      </c>
    </row>
    <row r="28" spans="1:4" ht="30">
      <c r="A28" s="549"/>
      <c r="B28" s="551" t="s">
        <v>938</v>
      </c>
      <c r="C28" s="550" t="s">
        <v>928</v>
      </c>
      <c r="D28" s="548" t="s">
        <v>929</v>
      </c>
    </row>
    <row r="29" spans="1:4" ht="27.6">
      <c r="A29" s="549"/>
      <c r="B29" s="551" t="s">
        <v>939</v>
      </c>
      <c r="C29" s="550" t="s">
        <v>930</v>
      </c>
      <c r="D29" s="548" t="s">
        <v>932</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B3:D8"/>
  <sheetViews>
    <sheetView workbookViewId="0">
      <selection activeCell="J11" sqref="J11"/>
    </sheetView>
  </sheetViews>
  <sheetFormatPr defaultRowHeight="14.4"/>
  <sheetData>
    <row r="3" spans="2:4">
      <c r="B3">
        <v>1325</v>
      </c>
      <c r="D3" t="s">
        <v>871</v>
      </c>
    </row>
    <row r="4" spans="2:4">
      <c r="B4">
        <v>1113</v>
      </c>
      <c r="C4" s="263">
        <f>1-B4/B3</f>
        <v>0.16000000000000003</v>
      </c>
      <c r="D4" t="s">
        <v>872</v>
      </c>
    </row>
    <row r="5" spans="2:4">
      <c r="B5">
        <v>145</v>
      </c>
      <c r="C5" s="263">
        <f>B5/B3</f>
        <v>0.10943396226415095</v>
      </c>
      <c r="D5" t="s">
        <v>873</v>
      </c>
    </row>
    <row r="6" spans="2:4">
      <c r="B6">
        <f>616</f>
        <v>616</v>
      </c>
      <c r="C6" s="263">
        <f>B6/B3</f>
        <v>0.46490566037735848</v>
      </c>
      <c r="D6" t="s">
        <v>874</v>
      </c>
    </row>
    <row r="7" spans="2:4">
      <c r="B7">
        <f>790-616</f>
        <v>174</v>
      </c>
      <c r="C7" s="263">
        <f>B7/B3</f>
        <v>0.13132075471698113</v>
      </c>
      <c r="D7" t="s">
        <v>875</v>
      </c>
    </row>
    <row r="8" spans="2:4">
      <c r="B8">
        <f>B4-SUM(B5:B7)</f>
        <v>178</v>
      </c>
      <c r="C8" s="263">
        <f>B8/B3</f>
        <v>0.13433962264150942</v>
      </c>
      <c r="D8" t="s">
        <v>876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1"/>
  </sheetPr>
  <dimension ref="A2:P50"/>
  <sheetViews>
    <sheetView workbookViewId="0">
      <selection activeCell="B31" sqref="B31"/>
    </sheetView>
  </sheetViews>
  <sheetFormatPr defaultColWidth="8.6640625" defaultRowHeight="14.4"/>
  <cols>
    <col min="1" max="1" width="8.6640625" style="297"/>
    <col min="2" max="2" width="15.5546875" style="28" bestFit="1" customWidth="1"/>
    <col min="3" max="3" width="15.5546875" style="65" customWidth="1"/>
    <col min="4" max="4" width="8.6640625" style="297"/>
    <col min="5" max="5" width="13.33203125" style="297" customWidth="1"/>
    <col min="6" max="6" width="20" style="28" bestFit="1" customWidth="1"/>
    <col min="7" max="7" width="8.6640625" style="297"/>
    <col min="8" max="9" width="15.5546875" style="28" customWidth="1"/>
    <col min="10" max="11" width="8.6640625" style="297"/>
    <col min="12" max="12" width="8.6640625" style="28"/>
    <col min="13" max="16384" width="8.6640625" style="297"/>
  </cols>
  <sheetData>
    <row r="2" spans="2:16">
      <c r="B2" s="23" t="s">
        <v>590</v>
      </c>
      <c r="C2" s="60" t="s">
        <v>591</v>
      </c>
      <c r="D2" s="6" t="s">
        <v>592</v>
      </c>
      <c r="E2" s="6" t="s">
        <v>593</v>
      </c>
      <c r="F2" s="23" t="s">
        <v>35</v>
      </c>
    </row>
    <row r="3" spans="2:16">
      <c r="B3" s="28" t="s">
        <v>594</v>
      </c>
      <c r="C3" s="351">
        <f>AVERAGE(LEFT(B3,3),RIGHT(B3,3))</f>
        <v>4.4999999999999998E-2</v>
      </c>
      <c r="D3" s="297" t="s">
        <v>595</v>
      </c>
      <c r="E3" s="297" t="s">
        <v>596</v>
      </c>
      <c r="F3" s="28">
        <v>3</v>
      </c>
    </row>
    <row r="4" spans="2:16">
      <c r="B4" s="28" t="s">
        <v>597</v>
      </c>
      <c r="C4" s="351">
        <f>AVERAGE(LEFT(B4,3),RIGHT(B4,3))</f>
        <v>5.5E-2</v>
      </c>
      <c r="D4" s="297" t="s">
        <v>598</v>
      </c>
      <c r="E4" s="297" t="s">
        <v>599</v>
      </c>
      <c r="F4" s="28">
        <v>4</v>
      </c>
    </row>
    <row r="5" spans="2:16">
      <c r="B5" s="23">
        <v>0.112</v>
      </c>
      <c r="C5" s="60">
        <f>B5</f>
        <v>0.112</v>
      </c>
      <c r="D5" s="6" t="s">
        <v>595</v>
      </c>
      <c r="E5" s="6" t="s">
        <v>599</v>
      </c>
      <c r="F5" s="23">
        <v>5</v>
      </c>
    </row>
    <row r="6" spans="2:16">
      <c r="C6" s="352">
        <f>1-0.1</f>
        <v>0.9</v>
      </c>
      <c r="D6" s="297" t="s">
        <v>600</v>
      </c>
    </row>
    <row r="7" spans="2:16">
      <c r="C7" s="353">
        <v>0.56999999999999995</v>
      </c>
      <c r="D7" s="297" t="s">
        <v>601</v>
      </c>
    </row>
    <row r="9" spans="2:16">
      <c r="B9" s="23" t="s">
        <v>602</v>
      </c>
      <c r="C9" s="60" t="s">
        <v>591</v>
      </c>
      <c r="D9" s="6" t="s">
        <v>592</v>
      </c>
      <c r="E9" s="6" t="s">
        <v>593</v>
      </c>
      <c r="F9" s="23" t="s">
        <v>35</v>
      </c>
      <c r="H9" s="23" t="s">
        <v>603</v>
      </c>
      <c r="I9" s="60" t="s">
        <v>591</v>
      </c>
      <c r="J9" s="6" t="s">
        <v>592</v>
      </c>
      <c r="K9" s="6" t="s">
        <v>593</v>
      </c>
      <c r="L9" s="23" t="s">
        <v>35</v>
      </c>
    </row>
    <row r="10" spans="2:16">
      <c r="B10" s="28">
        <v>0.3</v>
      </c>
      <c r="C10" s="65">
        <f>B10</f>
        <v>0.3</v>
      </c>
      <c r="D10" s="297" t="s">
        <v>604</v>
      </c>
      <c r="F10" s="28">
        <v>1</v>
      </c>
      <c r="H10" s="28">
        <v>1.4999999999999999E-2</v>
      </c>
      <c r="I10" s="65">
        <f>H10</f>
        <v>1.4999999999999999E-2</v>
      </c>
      <c r="J10" s="297" t="s">
        <v>605</v>
      </c>
      <c r="K10" s="297" t="s">
        <v>606</v>
      </c>
      <c r="L10" s="28">
        <v>1</v>
      </c>
      <c r="N10" s="354" t="s">
        <v>607</v>
      </c>
    </row>
    <row r="11" spans="2:16">
      <c r="B11" s="28">
        <v>0.8</v>
      </c>
      <c r="C11" s="65">
        <f>B11</f>
        <v>0.8</v>
      </c>
      <c r="D11" s="297" t="s">
        <v>604</v>
      </c>
      <c r="F11" s="28">
        <v>1</v>
      </c>
      <c r="H11" s="28">
        <v>1.6E-2</v>
      </c>
      <c r="I11" s="65">
        <f>H11</f>
        <v>1.6E-2</v>
      </c>
      <c r="J11" s="297" t="s">
        <v>605</v>
      </c>
      <c r="K11" s="297" t="s">
        <v>608</v>
      </c>
      <c r="L11" s="28">
        <v>1</v>
      </c>
    </row>
    <row r="12" spans="2:16">
      <c r="B12" s="28" t="s">
        <v>609</v>
      </c>
      <c r="C12" s="351">
        <f>AVERAGE(LEFT(B12,3),RIGHT(B12,3))</f>
        <v>0.54500000000000004</v>
      </c>
      <c r="D12" s="297" t="s">
        <v>610</v>
      </c>
      <c r="F12" s="28">
        <v>1</v>
      </c>
      <c r="H12" s="23">
        <v>1.4E-2</v>
      </c>
      <c r="I12" s="23">
        <f>H12</f>
        <v>1.4E-2</v>
      </c>
      <c r="J12" s="6" t="s">
        <v>611</v>
      </c>
      <c r="K12" s="6" t="s">
        <v>612</v>
      </c>
      <c r="L12" s="23">
        <v>8</v>
      </c>
    </row>
    <row r="13" spans="2:16">
      <c r="B13" s="28">
        <v>0.2</v>
      </c>
      <c r="C13" s="65">
        <f>B13</f>
        <v>0.2</v>
      </c>
      <c r="D13" s="297" t="s">
        <v>613</v>
      </c>
      <c r="F13" s="28">
        <v>1</v>
      </c>
      <c r="I13" s="73">
        <f>AVERAGE(I10:I12)</f>
        <v>1.4999999999999999E-2</v>
      </c>
      <c r="J13" s="297" t="s">
        <v>614</v>
      </c>
      <c r="N13" s="46" t="s">
        <v>615</v>
      </c>
      <c r="O13" s="103" t="s">
        <v>616</v>
      </c>
    </row>
    <row r="14" spans="2:16">
      <c r="B14" s="28" t="s">
        <v>617</v>
      </c>
      <c r="C14" s="351">
        <f>AVERAGE(LEFT(B14,3),RIGHT(B14,3))</f>
        <v>0.67500000000000004</v>
      </c>
      <c r="D14" s="297" t="s">
        <v>618</v>
      </c>
      <c r="F14" s="28">
        <v>1</v>
      </c>
      <c r="N14" s="28">
        <v>1</v>
      </c>
      <c r="O14" s="345" t="s">
        <v>619</v>
      </c>
    </row>
    <row r="15" spans="2:16">
      <c r="B15" s="28" t="s">
        <v>620</v>
      </c>
      <c r="C15" s="351">
        <f>AVERAGE(LEFT(B15,3),RIGHT(B15,3))</f>
        <v>0.72499999999999998</v>
      </c>
      <c r="D15" s="297" t="s">
        <v>621</v>
      </c>
      <c r="F15" s="28">
        <v>1</v>
      </c>
      <c r="N15" s="28">
        <v>2</v>
      </c>
      <c r="O15" s="345" t="s">
        <v>622</v>
      </c>
    </row>
    <row r="16" spans="2:16">
      <c r="B16" s="28">
        <v>0.29299999999999998</v>
      </c>
      <c r="C16" s="65">
        <f>B16</f>
        <v>0.29299999999999998</v>
      </c>
      <c r="D16" s="297" t="s">
        <v>611</v>
      </c>
      <c r="F16" s="28">
        <v>8</v>
      </c>
      <c r="N16" s="28">
        <v>3</v>
      </c>
      <c r="O16" s="345" t="s">
        <v>623</v>
      </c>
      <c r="P16" s="28"/>
    </row>
    <row r="17" spans="2:16">
      <c r="B17" s="355">
        <f>F48</f>
        <v>0.27790046088441722</v>
      </c>
      <c r="C17" s="356">
        <f>B17</f>
        <v>0.27790046088441722</v>
      </c>
      <c r="D17" s="6" t="s">
        <v>624</v>
      </c>
      <c r="E17" s="6" t="s">
        <v>625</v>
      </c>
      <c r="F17" s="23" t="s">
        <v>626</v>
      </c>
      <c r="N17" s="28">
        <v>4</v>
      </c>
      <c r="O17" s="345" t="s">
        <v>627</v>
      </c>
      <c r="P17" s="28"/>
    </row>
    <row r="18" spans="2:16">
      <c r="C18" s="73">
        <f>AVERAGE(C10:C17)</f>
        <v>0.47698755761055217</v>
      </c>
      <c r="D18" s="297" t="s">
        <v>628</v>
      </c>
      <c r="N18" s="28">
        <v>5</v>
      </c>
      <c r="O18" s="345" t="s">
        <v>629</v>
      </c>
      <c r="P18" s="28"/>
    </row>
    <row r="19" spans="2:16">
      <c r="N19" s="28">
        <v>6</v>
      </c>
      <c r="O19" s="345" t="s">
        <v>630</v>
      </c>
      <c r="P19" s="28"/>
    </row>
    <row r="20" spans="2:16">
      <c r="N20" s="28">
        <v>7</v>
      </c>
      <c r="O20" s="345" t="s">
        <v>631</v>
      </c>
      <c r="P20" s="28"/>
    </row>
    <row r="21" spans="2:16">
      <c r="N21" s="28">
        <v>8</v>
      </c>
      <c r="O21" s="345" t="s">
        <v>632</v>
      </c>
      <c r="P21" s="28"/>
    </row>
    <row r="22" spans="2:16">
      <c r="H22" s="357" t="s">
        <v>633</v>
      </c>
      <c r="I22" s="358" t="s">
        <v>591</v>
      </c>
      <c r="J22" s="359" t="s">
        <v>592</v>
      </c>
      <c r="K22" s="359" t="s">
        <v>593</v>
      </c>
      <c r="L22" s="357" t="s">
        <v>35</v>
      </c>
      <c r="N22" s="28"/>
      <c r="O22" s="345"/>
      <c r="P22" s="28"/>
    </row>
    <row r="23" spans="2:16">
      <c r="B23" s="23" t="s">
        <v>634</v>
      </c>
      <c r="C23" s="60" t="s">
        <v>591</v>
      </c>
      <c r="D23" s="6" t="s">
        <v>592</v>
      </c>
      <c r="E23" s="6" t="s">
        <v>593</v>
      </c>
      <c r="F23" s="23" t="s">
        <v>35</v>
      </c>
      <c r="H23" s="360">
        <v>1.2999999999999999E-2</v>
      </c>
      <c r="I23" s="351">
        <f>H23</f>
        <v>1.2999999999999999E-2</v>
      </c>
      <c r="J23" s="354" t="s">
        <v>635</v>
      </c>
      <c r="K23" s="354" t="s">
        <v>636</v>
      </c>
      <c r="L23" s="360">
        <v>2</v>
      </c>
      <c r="N23" s="28"/>
      <c r="O23" s="345"/>
      <c r="P23" s="28"/>
    </row>
    <row r="24" spans="2:16">
      <c r="B24" s="28">
        <v>8.2000000000000003E-2</v>
      </c>
      <c r="C24" s="65">
        <f>B24</f>
        <v>8.2000000000000003E-2</v>
      </c>
      <c r="D24" s="297" t="s">
        <v>605</v>
      </c>
      <c r="F24" s="28">
        <v>1</v>
      </c>
      <c r="H24" s="360">
        <v>8.9999999999999993E-3</v>
      </c>
      <c r="I24" s="351">
        <f>H24</f>
        <v>8.9999999999999993E-3</v>
      </c>
      <c r="J24" s="354" t="s">
        <v>637</v>
      </c>
      <c r="K24" s="354" t="s">
        <v>638</v>
      </c>
      <c r="L24" s="360">
        <v>2</v>
      </c>
    </row>
    <row r="25" spans="2:16">
      <c r="B25" s="28">
        <v>8.3000000000000004E-2</v>
      </c>
      <c r="C25" s="65">
        <f>B25</f>
        <v>8.3000000000000004E-2</v>
      </c>
      <c r="D25" s="297" t="s">
        <v>605</v>
      </c>
      <c r="F25" s="28">
        <v>1</v>
      </c>
      <c r="H25" s="357"/>
      <c r="I25" s="357"/>
      <c r="J25" s="359"/>
      <c r="K25" s="359"/>
      <c r="L25" s="357"/>
    </row>
    <row r="26" spans="2:16">
      <c r="B26" s="28">
        <v>0.13500000000000001</v>
      </c>
      <c r="C26" s="65">
        <f>B26</f>
        <v>0.13500000000000001</v>
      </c>
      <c r="D26" s="297" t="s">
        <v>611</v>
      </c>
      <c r="F26" s="28">
        <v>8</v>
      </c>
      <c r="H26" s="360"/>
      <c r="I26" s="361">
        <f>AVERAGE(I23:I24)</f>
        <v>1.0999999999999999E-2</v>
      </c>
      <c r="J26" s="354" t="s">
        <v>614</v>
      </c>
      <c r="K26" s="354"/>
      <c r="L26" s="360"/>
    </row>
    <row r="27" spans="2:16">
      <c r="B27" s="28" t="s">
        <v>639</v>
      </c>
      <c r="C27" s="351">
        <f>AVERAGE(LEFT(B27,5),RIGHT(B27,5))</f>
        <v>2.0999999999999998E-2</v>
      </c>
      <c r="D27" s="297" t="s">
        <v>618</v>
      </c>
      <c r="F27" s="28">
        <v>1</v>
      </c>
    </row>
    <row r="28" spans="2:16">
      <c r="B28" s="23"/>
      <c r="C28" s="60"/>
      <c r="D28" s="6"/>
      <c r="E28" s="6"/>
      <c r="F28" s="23"/>
    </row>
    <row r="29" spans="2:16">
      <c r="C29" s="73">
        <f>AVERAGE(C24:C27)</f>
        <v>8.0250000000000016E-2</v>
      </c>
      <c r="D29" s="297" t="s">
        <v>614</v>
      </c>
    </row>
    <row r="30" spans="2:16">
      <c r="H30" s="23" t="s">
        <v>640</v>
      </c>
      <c r="I30" s="60" t="s">
        <v>591</v>
      </c>
      <c r="J30" s="6" t="s">
        <v>592</v>
      </c>
      <c r="K30" s="6" t="s">
        <v>593</v>
      </c>
      <c r="L30" s="23" t="s">
        <v>35</v>
      </c>
    </row>
    <row r="31" spans="2:16">
      <c r="H31" s="28">
        <v>0.10199999999999999</v>
      </c>
      <c r="I31" s="65">
        <f>H31</f>
        <v>0.10199999999999999</v>
      </c>
      <c r="J31" s="297" t="s">
        <v>635</v>
      </c>
      <c r="K31" s="297" t="s">
        <v>641</v>
      </c>
      <c r="L31" s="28">
        <v>2</v>
      </c>
    </row>
    <row r="32" spans="2:16">
      <c r="H32" s="28">
        <v>0.247</v>
      </c>
      <c r="I32" s="65">
        <f>H32</f>
        <v>0.247</v>
      </c>
      <c r="J32" s="297" t="s">
        <v>635</v>
      </c>
      <c r="K32" s="297" t="s">
        <v>642</v>
      </c>
      <c r="L32" s="28">
        <v>2</v>
      </c>
    </row>
    <row r="33" spans="1:12">
      <c r="H33" s="28">
        <v>0.14399999999999999</v>
      </c>
      <c r="I33" s="65">
        <f>H33</f>
        <v>0.14399999999999999</v>
      </c>
      <c r="J33" s="297" t="s">
        <v>635</v>
      </c>
      <c r="K33" s="297" t="s">
        <v>643</v>
      </c>
      <c r="L33" s="28">
        <v>2</v>
      </c>
    </row>
    <row r="34" spans="1:12">
      <c r="B34" s="23" t="s">
        <v>644</v>
      </c>
      <c r="C34" s="60" t="s">
        <v>591</v>
      </c>
      <c r="D34" s="6" t="s">
        <v>592</v>
      </c>
      <c r="E34" s="6" t="s">
        <v>593</v>
      </c>
      <c r="F34" s="23" t="s">
        <v>35</v>
      </c>
      <c r="H34" s="28">
        <v>0.54800000000000004</v>
      </c>
      <c r="I34" s="65">
        <f>H34</f>
        <v>0.54800000000000004</v>
      </c>
      <c r="J34" s="297" t="s">
        <v>635</v>
      </c>
      <c r="K34" s="297" t="s">
        <v>645</v>
      </c>
      <c r="L34" s="28">
        <v>2</v>
      </c>
    </row>
    <row r="35" spans="1:12">
      <c r="B35" s="28">
        <v>0.27</v>
      </c>
      <c r="C35" s="65">
        <f>B35</f>
        <v>0.27</v>
      </c>
      <c r="D35" s="297" t="s">
        <v>604</v>
      </c>
      <c r="F35" s="28">
        <v>1</v>
      </c>
      <c r="H35" s="28">
        <v>0.48199999999999998</v>
      </c>
      <c r="I35" s="65">
        <f>H35</f>
        <v>0.48199999999999998</v>
      </c>
      <c r="J35" s="297" t="s">
        <v>637</v>
      </c>
      <c r="K35" s="297" t="s">
        <v>643</v>
      </c>
      <c r="L35" s="28">
        <v>2</v>
      </c>
    </row>
    <row r="36" spans="1:12">
      <c r="B36" s="28">
        <v>0.56000000000000005</v>
      </c>
      <c r="C36" s="65">
        <f>B36</f>
        <v>0.56000000000000005</v>
      </c>
      <c r="D36" s="297" t="s">
        <v>604</v>
      </c>
      <c r="F36" s="28">
        <v>1</v>
      </c>
      <c r="H36" s="23"/>
      <c r="I36" s="23"/>
      <c r="J36" s="6"/>
      <c r="K36" s="6"/>
      <c r="L36" s="23"/>
    </row>
    <row r="37" spans="1:12">
      <c r="B37" s="28" t="s">
        <v>646</v>
      </c>
      <c r="C37" s="351">
        <f>AVERAGE(LEFT(B37,3),RIGHT(B37,3))</f>
        <v>0.15000000000000002</v>
      </c>
      <c r="D37" s="297" t="s">
        <v>618</v>
      </c>
      <c r="F37" s="28">
        <v>1</v>
      </c>
      <c r="I37" s="73">
        <f>AVERAGE(I31:I35)</f>
        <v>0.30459999999999998</v>
      </c>
      <c r="J37" s="297" t="s">
        <v>614</v>
      </c>
    </row>
    <row r="38" spans="1:12">
      <c r="B38" s="28" t="s">
        <v>647</v>
      </c>
      <c r="C38" s="351">
        <f>AVERAGE(LEFT(B38,3),RIGHT(B38,3))</f>
        <v>0.20499999999999999</v>
      </c>
      <c r="D38" s="297" t="s">
        <v>618</v>
      </c>
      <c r="F38" s="28">
        <v>1</v>
      </c>
    </row>
    <row r="39" spans="1:12">
      <c r="B39" s="28" t="s">
        <v>648</v>
      </c>
      <c r="C39" s="351">
        <f>AVERAGE(LEFT(B39,3),RIGHT(B39,3))</f>
        <v>0.21</v>
      </c>
      <c r="D39" s="297" t="s">
        <v>604</v>
      </c>
      <c r="F39" s="28">
        <v>1</v>
      </c>
    </row>
    <row r="40" spans="1:12">
      <c r="B40" s="28" t="s">
        <v>649</v>
      </c>
      <c r="C40" s="351">
        <f>AVERAGE(LEFT(B40,3),RIGHT(B40,3))</f>
        <v>0.13</v>
      </c>
      <c r="D40" s="297" t="s">
        <v>650</v>
      </c>
      <c r="F40" s="28">
        <v>1</v>
      </c>
    </row>
    <row r="41" spans="1:12">
      <c r="B41" s="23"/>
      <c r="C41" s="60"/>
      <c r="D41" s="6"/>
      <c r="E41" s="6"/>
      <c r="F41" s="23"/>
    </row>
    <row r="42" spans="1:12">
      <c r="C42" s="73">
        <f>AVERAGE(C35:C40)</f>
        <v>0.25416666666666665</v>
      </c>
      <c r="D42" s="297" t="s">
        <v>614</v>
      </c>
    </row>
    <row r="43" spans="1:12">
      <c r="C43" s="65">
        <f>C42*C18</f>
        <v>0.12123433755934868</v>
      </c>
    </row>
    <row r="44" spans="1:12">
      <c r="A44" s="28"/>
      <c r="F44" s="141"/>
    </row>
    <row r="45" spans="1:12">
      <c r="B45" s="65"/>
      <c r="C45" s="297"/>
    </row>
    <row r="46" spans="1:12">
      <c r="A46" s="28" t="s">
        <v>651</v>
      </c>
      <c r="B46" s="65" t="s">
        <v>652</v>
      </c>
      <c r="C46" s="28" t="s">
        <v>653</v>
      </c>
      <c r="D46" s="141" t="s">
        <v>654</v>
      </c>
    </row>
    <row r="47" spans="1:12">
      <c r="A47" s="28" t="s">
        <v>655</v>
      </c>
      <c r="B47" s="28">
        <v>0.23760000000000001</v>
      </c>
      <c r="C47" s="28">
        <v>0.31259999999999999</v>
      </c>
      <c r="D47" s="28">
        <v>15</v>
      </c>
      <c r="E47" s="28" t="s">
        <v>656</v>
      </c>
      <c r="F47" s="18">
        <f>1-1/(1+EXP($B$47+$B$48*D47+$B$49*(D47^2)))</f>
        <v>0.4408039274342157</v>
      </c>
    </row>
    <row r="48" spans="1:12">
      <c r="A48" s="28" t="s">
        <v>657</v>
      </c>
      <c r="B48" s="28">
        <v>-7.7000000000000002E-3</v>
      </c>
      <c r="C48" s="28">
        <v>3.0800000000000001E-2</v>
      </c>
      <c r="D48" s="28">
        <v>25</v>
      </c>
      <c r="E48" s="28" t="s">
        <v>658</v>
      </c>
      <c r="F48" s="18">
        <f>1-1/(1+EXP($B$47+$B$48*D48+$B$49*(D48^2)))</f>
        <v>0.27790046088441722</v>
      </c>
    </row>
    <row r="49" spans="1:6">
      <c r="A49" s="28" t="s">
        <v>659</v>
      </c>
      <c r="B49" s="28">
        <v>-1.6000000000000001E-3</v>
      </c>
      <c r="C49" s="28">
        <v>5.9999999999999995E-4</v>
      </c>
      <c r="D49" s="28">
        <v>30</v>
      </c>
      <c r="E49" s="28" t="s">
        <v>660</v>
      </c>
      <c r="F49" s="18">
        <f>1-1/(1+EXP($B$47+$B$48*D49+$B$49*(D49^2)))</f>
        <v>0.19256947757127552</v>
      </c>
    </row>
    <row r="50" spans="1:6">
      <c r="D50" s="28" t="s">
        <v>661</v>
      </c>
    </row>
  </sheetData>
  <pageMargins left="0.7" right="0.7" top="0.75" bottom="0.75" header="0.3" footer="0.3"/>
  <legacy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1"/>
  </sheetPr>
  <dimension ref="A1:V48"/>
  <sheetViews>
    <sheetView workbookViewId="0">
      <selection activeCell="H113" sqref="H113"/>
    </sheetView>
  </sheetViews>
  <sheetFormatPr defaultRowHeight="14.4"/>
  <cols>
    <col min="6" max="9" width="9.109375" style="74"/>
    <col min="10" max="12" width="7.88671875" style="74" customWidth="1"/>
    <col min="13" max="14" width="9.109375" style="74"/>
    <col min="15" max="17" width="9.44140625" style="74" bestFit="1" customWidth="1"/>
    <col min="18" max="21" width="9.109375" style="74"/>
  </cols>
  <sheetData>
    <row r="1" spans="1:22" ht="18.600000000000001" thickBot="1">
      <c r="A1" s="56" t="s">
        <v>407</v>
      </c>
      <c r="F1" s="56" t="s">
        <v>355</v>
      </c>
      <c r="N1" s="167" t="s">
        <v>406</v>
      </c>
      <c r="R1"/>
      <c r="S1"/>
      <c r="T1"/>
      <c r="U1"/>
    </row>
    <row r="2" spans="1:22" ht="15" thickBot="1">
      <c r="A2" t="s">
        <v>405</v>
      </c>
      <c r="F2" s="74" t="s">
        <v>357</v>
      </c>
      <c r="N2" s="19" t="s">
        <v>363</v>
      </c>
      <c r="O2" s="20"/>
      <c r="P2" s="20"/>
      <c r="Q2" s="20"/>
      <c r="R2" s="20"/>
      <c r="S2" s="20"/>
      <c r="T2" s="90" t="s">
        <v>361</v>
      </c>
      <c r="U2" s="20"/>
      <c r="V2" s="21"/>
    </row>
    <row r="3" spans="1:22">
      <c r="A3" s="104" t="s">
        <v>302</v>
      </c>
      <c r="B3" s="105" t="s">
        <v>303</v>
      </c>
      <c r="C3" s="105" t="s">
        <v>304</v>
      </c>
      <c r="D3" s="106" t="s">
        <v>305</v>
      </c>
      <c r="F3" s="104" t="s">
        <v>347</v>
      </c>
      <c r="G3" s="105" t="s">
        <v>348</v>
      </c>
      <c r="H3" s="105" t="s">
        <v>304</v>
      </c>
      <c r="I3" s="106" t="s">
        <v>305</v>
      </c>
      <c r="J3" s="75" t="s">
        <v>349</v>
      </c>
      <c r="K3" s="75" t="s">
        <v>350</v>
      </c>
      <c r="L3" s="46" t="s">
        <v>351</v>
      </c>
      <c r="M3"/>
      <c r="N3" s="91" t="s">
        <v>354</v>
      </c>
      <c r="O3" s="83" t="s">
        <v>302</v>
      </c>
      <c r="P3" s="83" t="s">
        <v>156</v>
      </c>
      <c r="Q3" s="83" t="s">
        <v>157</v>
      </c>
      <c r="R3" s="83" t="s">
        <v>158</v>
      </c>
      <c r="S3" s="83" t="s">
        <v>159</v>
      </c>
      <c r="T3" s="86" t="s">
        <v>359</v>
      </c>
      <c r="U3" s="85" t="s">
        <v>360</v>
      </c>
      <c r="V3" s="92" t="s">
        <v>358</v>
      </c>
    </row>
    <row r="4" spans="1:22">
      <c r="A4" s="43">
        <v>2001</v>
      </c>
      <c r="B4" s="84"/>
      <c r="C4" s="84"/>
      <c r="D4" s="110"/>
      <c r="F4" s="114">
        <v>2001</v>
      </c>
      <c r="G4" s="77">
        <v>203.40431578947369</v>
      </c>
      <c r="H4" s="77">
        <v>147.18533581194163</v>
      </c>
      <c r="I4" s="115">
        <v>300.83873393808318</v>
      </c>
      <c r="J4" s="7" t="s">
        <v>364</v>
      </c>
      <c r="K4" s="7"/>
      <c r="L4" s="120"/>
      <c r="M4"/>
      <c r="N4" s="93" t="s">
        <v>353</v>
      </c>
      <c r="O4" s="13">
        <v>2005</v>
      </c>
      <c r="P4" s="82">
        <v>8.6999999999999994E-2</v>
      </c>
      <c r="Q4" s="82">
        <v>0.621</v>
      </c>
      <c r="R4" s="82">
        <v>0.27700000000000002</v>
      </c>
      <c r="S4" s="82">
        <v>8.0000000000000002E-3</v>
      </c>
      <c r="T4" s="87">
        <f t="shared" ref="T4:T13" si="0">P4/SUM($P4:$S4)</f>
        <v>8.7613293051359509E-2</v>
      </c>
      <c r="U4" s="80">
        <f t="shared" ref="U4:U13" si="1">Q4/SUM($P4:$S4)</f>
        <v>0.62537764350453173</v>
      </c>
      <c r="V4" s="94">
        <f t="shared" ref="V4:V13" si="2">(R4+S4)/SUM($P4:$S4)</f>
        <v>0.28700906344410881</v>
      </c>
    </row>
    <row r="5" spans="1:22">
      <c r="A5" s="43">
        <v>2002</v>
      </c>
      <c r="B5" s="84"/>
      <c r="C5" s="84"/>
      <c r="D5" s="110"/>
      <c r="F5" s="43">
        <v>2002</v>
      </c>
      <c r="G5" s="78">
        <v>7088.2109974758323</v>
      </c>
      <c r="H5" s="78">
        <v>5127.4886538008477</v>
      </c>
      <c r="I5" s="116">
        <v>10483.620872844482</v>
      </c>
      <c r="J5" s="7"/>
      <c r="K5" s="7"/>
      <c r="L5" s="121"/>
      <c r="M5"/>
      <c r="N5" s="93" t="s">
        <v>353</v>
      </c>
      <c r="O5" s="13">
        <v>2006</v>
      </c>
      <c r="P5" s="82">
        <v>4.0999999999999995E-2</v>
      </c>
      <c r="Q5" s="82">
        <v>0.68700000000000006</v>
      </c>
      <c r="R5" s="82">
        <v>0.26899999999999996</v>
      </c>
      <c r="S5" s="82">
        <v>2E-3</v>
      </c>
      <c r="T5" s="87">
        <f t="shared" si="0"/>
        <v>4.1041041041041032E-2</v>
      </c>
      <c r="U5" s="80">
        <f t="shared" si="1"/>
        <v>0.68768768768768762</v>
      </c>
      <c r="V5" s="94">
        <f t="shared" si="2"/>
        <v>0.27127127127127121</v>
      </c>
    </row>
    <row r="6" spans="1:22">
      <c r="A6" s="43">
        <v>2003</v>
      </c>
      <c r="B6" s="84"/>
      <c r="C6" s="84"/>
      <c r="D6" s="110"/>
      <c r="F6" s="43">
        <v>2003</v>
      </c>
      <c r="G6" s="78">
        <v>21887.027772341567</v>
      </c>
      <c r="H6" s="78">
        <v>15621.177668915519</v>
      </c>
      <c r="I6" s="116">
        <v>32374.827749001917</v>
      </c>
      <c r="J6" s="7"/>
      <c r="K6" s="7"/>
      <c r="L6" s="120"/>
      <c r="M6"/>
      <c r="N6" s="93" t="s">
        <v>353</v>
      </c>
      <c r="O6" s="13">
        <v>2007</v>
      </c>
      <c r="P6" s="82">
        <v>5.5999999999999994E-2</v>
      </c>
      <c r="Q6" s="82">
        <v>0.84599999999999997</v>
      </c>
      <c r="R6" s="82">
        <v>9.0999999999999998E-2</v>
      </c>
      <c r="S6" s="82">
        <v>0</v>
      </c>
      <c r="T6" s="87">
        <f t="shared" si="0"/>
        <v>5.6394763343403827E-2</v>
      </c>
      <c r="U6" s="80">
        <f t="shared" si="1"/>
        <v>0.85196374622356508</v>
      </c>
      <c r="V6" s="94">
        <f t="shared" si="2"/>
        <v>9.1641490433031228E-2</v>
      </c>
    </row>
    <row r="7" spans="1:22">
      <c r="A7" s="43">
        <v>2004</v>
      </c>
      <c r="B7" s="59">
        <v>0.66100000000000003</v>
      </c>
      <c r="C7" s="59">
        <v>0.46068800000000004</v>
      </c>
      <c r="D7" s="111">
        <v>0.86131200000000008</v>
      </c>
      <c r="F7" s="43">
        <v>2004</v>
      </c>
      <c r="G7" s="78">
        <v>20094.763915843181</v>
      </c>
      <c r="H7" s="78">
        <v>14200.587493030438</v>
      </c>
      <c r="I7" s="116">
        <v>29188.56551736399</v>
      </c>
      <c r="J7" s="16">
        <f t="shared" ref="J7:L14" si="3">$G7*G23</f>
        <v>2222.3660598435663</v>
      </c>
      <c r="K7" s="16">
        <f t="shared" si="3"/>
        <v>15551.964771983397</v>
      </c>
      <c r="L7" s="16">
        <f t="shared" si="3"/>
        <v>2320.4330840162156</v>
      </c>
      <c r="M7"/>
      <c r="N7" s="93" t="s">
        <v>353</v>
      </c>
      <c r="O7" s="13">
        <v>2008</v>
      </c>
      <c r="P7" s="82">
        <v>7.4999999999999997E-2</v>
      </c>
      <c r="Q7" s="82">
        <v>0.86599999999999999</v>
      </c>
      <c r="R7" s="82">
        <v>5.9000000000000004E-2</v>
      </c>
      <c r="S7" s="82">
        <v>0</v>
      </c>
      <c r="T7" s="87">
        <f t="shared" si="0"/>
        <v>7.4999999999999997E-2</v>
      </c>
      <c r="U7" s="80">
        <f t="shared" si="1"/>
        <v>0.86599999999999999</v>
      </c>
      <c r="V7" s="94">
        <f t="shared" si="2"/>
        <v>5.9000000000000004E-2</v>
      </c>
    </row>
    <row r="8" spans="1:22">
      <c r="A8" s="43">
        <v>2005</v>
      </c>
      <c r="B8" s="59">
        <v>0.55400000000000005</v>
      </c>
      <c r="C8" s="59">
        <v>0.43592960000000003</v>
      </c>
      <c r="D8" s="111">
        <v>0.67207040000000007</v>
      </c>
      <c r="F8" s="43">
        <v>2005</v>
      </c>
      <c r="G8" s="78">
        <v>22769.99018386185</v>
      </c>
      <c r="H8" s="78">
        <v>18370.149369075501</v>
      </c>
      <c r="I8" s="116">
        <v>28750.999203454263</v>
      </c>
      <c r="J8" s="16">
        <f t="shared" si="3"/>
        <v>924.14884645442862</v>
      </c>
      <c r="K8" s="16">
        <f t="shared" si="3"/>
        <v>21479.667873466733</v>
      </c>
      <c r="L8" s="16">
        <f t="shared" si="3"/>
        <v>366.1734639406879</v>
      </c>
      <c r="M8"/>
      <c r="N8" s="93" t="s">
        <v>353</v>
      </c>
      <c r="O8" s="13">
        <v>2009</v>
      </c>
      <c r="P8" s="82">
        <v>2.1000000000000001E-2</v>
      </c>
      <c r="Q8" s="82">
        <v>0.80799999999999994</v>
      </c>
      <c r="R8" s="82">
        <v>0.17100000000000001</v>
      </c>
      <c r="S8" s="82">
        <v>0</v>
      </c>
      <c r="T8" s="87">
        <f t="shared" si="0"/>
        <v>2.1000000000000001E-2</v>
      </c>
      <c r="U8" s="80">
        <f t="shared" si="1"/>
        <v>0.80799999999999994</v>
      </c>
      <c r="V8" s="94">
        <f t="shared" si="2"/>
        <v>0.17100000000000001</v>
      </c>
    </row>
    <row r="9" spans="1:22">
      <c r="A9" s="43">
        <v>2006</v>
      </c>
      <c r="B9" s="59">
        <v>0.88900000000000001</v>
      </c>
      <c r="C9" s="59">
        <v>0.67359600000000008</v>
      </c>
      <c r="D9" s="111">
        <v>1</v>
      </c>
      <c r="F9" s="43">
        <v>2006</v>
      </c>
      <c r="G9" s="78">
        <v>9315.1798076923078</v>
      </c>
      <c r="H9" s="78">
        <v>5976.2540229680662</v>
      </c>
      <c r="I9" s="116">
        <v>15240.682837873333</v>
      </c>
      <c r="J9" s="16">
        <f t="shared" si="3"/>
        <v>1429.7937561317005</v>
      </c>
      <c r="K9" s="16">
        <f t="shared" si="3"/>
        <v>5404.8160697325075</v>
      </c>
      <c r="L9" s="16">
        <f t="shared" si="3"/>
        <v>2480.5699818280991</v>
      </c>
      <c r="M9"/>
      <c r="N9" s="93" t="s">
        <v>353</v>
      </c>
      <c r="O9" s="13">
        <v>2010</v>
      </c>
      <c r="P9" s="82">
        <v>7.8E-2</v>
      </c>
      <c r="Q9" s="82">
        <v>0.84799999999999998</v>
      </c>
      <c r="R9" s="82">
        <v>7.2999999999999995E-2</v>
      </c>
      <c r="S9" s="82">
        <v>0</v>
      </c>
      <c r="T9" s="87">
        <f t="shared" si="0"/>
        <v>7.8078078078078081E-2</v>
      </c>
      <c r="U9" s="80">
        <f t="shared" si="1"/>
        <v>0.84884884884884892</v>
      </c>
      <c r="V9" s="94">
        <f t="shared" si="2"/>
        <v>7.3073073073073078E-2</v>
      </c>
    </row>
    <row r="10" spans="1:22">
      <c r="A10" s="43">
        <v>2007</v>
      </c>
      <c r="B10" s="59">
        <v>0.70499999999999996</v>
      </c>
      <c r="C10" s="59">
        <v>0.5842444</v>
      </c>
      <c r="D10" s="111">
        <v>0.82575559999999992</v>
      </c>
      <c r="F10" s="43">
        <v>2007</v>
      </c>
      <c r="G10" s="78">
        <v>14029.569499047619</v>
      </c>
      <c r="H10" s="78">
        <v>9602.6043167165262</v>
      </c>
      <c r="I10" s="116">
        <v>21775.466124537688</v>
      </c>
      <c r="J10" s="16">
        <f t="shared" si="3"/>
        <v>468.52691437943349</v>
      </c>
      <c r="K10" s="16">
        <f t="shared" si="3"/>
        <v>11732.133267465017</v>
      </c>
      <c r="L10" s="16">
        <f t="shared" si="3"/>
        <v>1828.9093172031683</v>
      </c>
      <c r="M10"/>
      <c r="N10" s="93" t="s">
        <v>353</v>
      </c>
      <c r="O10" s="13">
        <v>2011</v>
      </c>
      <c r="P10" s="82">
        <v>6.9004707801333096E-2</v>
      </c>
      <c r="Q10" s="82">
        <v>0.69453617317465377</v>
      </c>
      <c r="R10" s="82">
        <v>0.23645911902401318</v>
      </c>
      <c r="S10" s="82">
        <v>0</v>
      </c>
      <c r="T10" s="87">
        <f t="shared" si="0"/>
        <v>6.9004707801333096E-2</v>
      </c>
      <c r="U10" s="80">
        <f t="shared" si="1"/>
        <v>0.69453617317465377</v>
      </c>
      <c r="V10" s="94">
        <f t="shared" si="2"/>
        <v>0.23645911902401318</v>
      </c>
    </row>
    <row r="11" spans="1:22">
      <c r="A11" s="43">
        <v>2008</v>
      </c>
      <c r="B11" s="59">
        <v>0.95399999999999996</v>
      </c>
      <c r="C11" s="59">
        <v>0.64608399999999999</v>
      </c>
      <c r="D11" s="111">
        <v>1</v>
      </c>
      <c r="F11" s="43">
        <v>2008</v>
      </c>
      <c r="G11" s="78">
        <v>25702.875440540171</v>
      </c>
      <c r="H11" s="78">
        <v>20649.77060217116</v>
      </c>
      <c r="I11" s="116">
        <v>32755.657490988091</v>
      </c>
      <c r="J11" s="16">
        <f t="shared" si="3"/>
        <v>304.70716315060395</v>
      </c>
      <c r="K11" s="16">
        <f t="shared" si="3"/>
        <v>21230.631232561911</v>
      </c>
      <c r="L11" s="16">
        <f t="shared" si="3"/>
        <v>4167.5370448276517</v>
      </c>
      <c r="M11"/>
      <c r="N11" s="95" t="s">
        <v>353</v>
      </c>
      <c r="O11" s="22">
        <v>2012</v>
      </c>
      <c r="P11" s="82">
        <v>0.19942652563767738</v>
      </c>
      <c r="Q11" s="82">
        <v>0.73047076767940566</v>
      </c>
      <c r="R11" s="82">
        <v>6.9188629900467188E-2</v>
      </c>
      <c r="S11" s="82">
        <v>0</v>
      </c>
      <c r="T11" s="87">
        <f t="shared" si="0"/>
        <v>0.19960898357513182</v>
      </c>
      <c r="U11" s="80">
        <f t="shared" si="1"/>
        <v>0.73113908494169244</v>
      </c>
      <c r="V11" s="94">
        <f t="shared" si="2"/>
        <v>6.9251931483175766E-2</v>
      </c>
    </row>
    <row r="12" spans="1:22">
      <c r="A12" s="43">
        <v>2009</v>
      </c>
      <c r="B12" s="59">
        <v>0.76800000000000002</v>
      </c>
      <c r="C12" s="59">
        <v>0.65279120000000002</v>
      </c>
      <c r="D12" s="111">
        <v>0.88320880000000002</v>
      </c>
      <c r="F12" s="43">
        <v>2009</v>
      </c>
      <c r="G12" s="78">
        <v>16777.285563249083</v>
      </c>
      <c r="H12" s="78">
        <v>11540.470918733361</v>
      </c>
      <c r="I12" s="116">
        <v>25445.766831910107</v>
      </c>
      <c r="J12" s="16">
        <f t="shared" si="3"/>
        <v>2032.2639388871146</v>
      </c>
      <c r="K12" s="16">
        <f t="shared" si="3"/>
        <v>12739.04070126459</v>
      </c>
      <c r="L12" s="16">
        <f t="shared" si="3"/>
        <v>2005.9809230973785</v>
      </c>
      <c r="M12"/>
      <c r="N12" s="95" t="s">
        <v>353</v>
      </c>
      <c r="O12" s="22">
        <v>2013</v>
      </c>
      <c r="P12" s="82">
        <v>9.129619749861978E-2</v>
      </c>
      <c r="Q12" s="82">
        <v>0.63028730564453672</v>
      </c>
      <c r="R12" s="82">
        <v>0.2031298029574084</v>
      </c>
      <c r="S12" s="82">
        <v>1.8332517146557946E-2</v>
      </c>
      <c r="T12" s="87">
        <f t="shared" si="0"/>
        <v>9.6809927204031337E-2</v>
      </c>
      <c r="U12" s="80">
        <f t="shared" si="1"/>
        <v>0.66835278849368429</v>
      </c>
      <c r="V12" s="94">
        <f t="shared" si="2"/>
        <v>0.23483728430228429</v>
      </c>
    </row>
    <row r="13" spans="1:22">
      <c r="A13" s="43">
        <v>2010</v>
      </c>
      <c r="B13" s="59">
        <v>0.88</v>
      </c>
      <c r="C13" s="59">
        <v>0.71</v>
      </c>
      <c r="D13" s="111">
        <v>1</v>
      </c>
      <c r="F13" s="43">
        <v>2010</v>
      </c>
      <c r="G13" s="78">
        <v>28726.699562445727</v>
      </c>
      <c r="H13" s="78">
        <v>24153.725554348799</v>
      </c>
      <c r="I13" s="116">
        <v>34131.653651833069</v>
      </c>
      <c r="J13" s="16">
        <f>$G13*G29</f>
        <v>1170.8797450424588</v>
      </c>
      <c r="K13" s="16">
        <f t="shared" si="3"/>
        <v>19592.354282466065</v>
      </c>
      <c r="L13" s="16">
        <f t="shared" si="3"/>
        <v>7963.4655349372033</v>
      </c>
      <c r="M13"/>
      <c r="N13" s="93" t="s">
        <v>353</v>
      </c>
      <c r="O13" s="13">
        <v>2014</v>
      </c>
      <c r="P13" s="82">
        <v>0.12619447779111645</v>
      </c>
      <c r="Q13" s="82">
        <v>0.5364568684616704</v>
      </c>
      <c r="R13" s="82">
        <v>0.3325947521865889</v>
      </c>
      <c r="S13" s="82">
        <v>0</v>
      </c>
      <c r="T13" s="88">
        <f t="shared" si="0"/>
        <v>0.1267972594808453</v>
      </c>
      <c r="U13" s="54">
        <f t="shared" si="1"/>
        <v>0.5390193132159744</v>
      </c>
      <c r="V13" s="96">
        <f t="shared" si="2"/>
        <v>0.33418342730318024</v>
      </c>
    </row>
    <row r="14" spans="1:22">
      <c r="A14" s="43">
        <v>2011</v>
      </c>
      <c r="B14" s="59">
        <v>0.86</v>
      </c>
      <c r="C14" s="59">
        <v>0.44879200000000002</v>
      </c>
      <c r="D14" s="111">
        <v>1</v>
      </c>
      <c r="F14" s="43">
        <v>2011</v>
      </c>
      <c r="G14" s="78">
        <v>35211.476695490972</v>
      </c>
      <c r="H14" s="78">
        <v>29225.640298153656</v>
      </c>
      <c r="I14" s="116">
        <v>42558.97662716599</v>
      </c>
      <c r="J14" s="16">
        <f>$G14*G30</f>
        <v>5350.4479841948532</v>
      </c>
      <c r="K14" s="16">
        <f t="shared" si="3"/>
        <v>22670.664935755685</v>
      </c>
      <c r="L14" s="16">
        <f t="shared" si="3"/>
        <v>7190.3637755404334</v>
      </c>
      <c r="M14"/>
      <c r="N14" s="93"/>
      <c r="O14" s="13"/>
      <c r="P14" s="13"/>
      <c r="Q14" s="13"/>
      <c r="R14" s="13"/>
      <c r="S14" s="13"/>
      <c r="T14" s="13"/>
      <c r="U14" s="13"/>
      <c r="V14" s="97"/>
    </row>
    <row r="15" spans="1:22">
      <c r="A15" s="43">
        <v>2012</v>
      </c>
      <c r="B15" s="59">
        <v>0.87880000000000003</v>
      </c>
      <c r="C15" s="59">
        <v>0.61263200000000007</v>
      </c>
      <c r="D15" s="111">
        <v>1</v>
      </c>
      <c r="F15" s="108">
        <v>2012</v>
      </c>
      <c r="G15" s="81">
        <v>15214.085589892755</v>
      </c>
      <c r="H15" s="81">
        <v>11962.546397219849</v>
      </c>
      <c r="I15" s="117">
        <v>19745.837592383468</v>
      </c>
      <c r="J15" s="74" t="s">
        <v>365</v>
      </c>
      <c r="M15"/>
      <c r="N15" s="98" t="s">
        <v>302</v>
      </c>
      <c r="O15" s="57" t="s">
        <v>348</v>
      </c>
      <c r="P15" s="57" t="s">
        <v>304</v>
      </c>
      <c r="Q15" s="57" t="s">
        <v>305</v>
      </c>
      <c r="R15" s="75" t="s">
        <v>359</v>
      </c>
      <c r="S15" s="75" t="s">
        <v>360</v>
      </c>
      <c r="T15" s="75" t="s">
        <v>358</v>
      </c>
      <c r="U15" s="13"/>
      <c r="V15" s="97"/>
    </row>
    <row r="16" spans="1:22" ht="15" thickBot="1">
      <c r="A16" s="43">
        <v>2013</v>
      </c>
      <c r="B16" s="59">
        <v>0.38440000000000002</v>
      </c>
      <c r="C16" s="59">
        <v>0.259548</v>
      </c>
      <c r="D16" s="111">
        <v>0.50925200000000004</v>
      </c>
      <c r="F16" s="109">
        <v>2013</v>
      </c>
      <c r="G16" s="118">
        <v>4811.9925384163098</v>
      </c>
      <c r="H16" s="118">
        <v>3855.1109965408004</v>
      </c>
      <c r="I16" s="119">
        <v>6099.0949331558331</v>
      </c>
      <c r="J16" s="74" t="s">
        <v>366</v>
      </c>
      <c r="M16"/>
      <c r="N16" s="140">
        <v>2004</v>
      </c>
      <c r="O16" s="136">
        <v>20974</v>
      </c>
      <c r="P16" s="47"/>
      <c r="Q16" s="47"/>
      <c r="R16" s="75"/>
      <c r="S16" s="75"/>
      <c r="T16" s="75"/>
      <c r="U16" s="13"/>
      <c r="V16" s="97"/>
    </row>
    <row r="17" spans="1:22" ht="15" thickBot="1">
      <c r="A17" s="44">
        <v>2014</v>
      </c>
      <c r="B17" s="112">
        <v>0.40350000000000003</v>
      </c>
      <c r="C17" s="112">
        <v>0.19</v>
      </c>
      <c r="D17" s="113">
        <v>0.61</v>
      </c>
      <c r="N17" s="43">
        <v>2005</v>
      </c>
      <c r="O17" s="78">
        <v>25425.53947368421</v>
      </c>
      <c r="P17" s="78">
        <v>18398.166976492703</v>
      </c>
      <c r="Q17" s="78">
        <v>37604.841742260396</v>
      </c>
      <c r="R17" s="99">
        <f t="shared" ref="R17:R26" si="4">$O17*T4</f>
        <v>2227.6152408968037</v>
      </c>
      <c r="S17" s="99">
        <f t="shared" ref="S17:S26" si="5">$O17*U4</f>
        <v>15900.563960884083</v>
      </c>
      <c r="T17" s="99">
        <f t="shared" ref="T17:T26" si="6">$O17*V4</f>
        <v>7297.3602719033242</v>
      </c>
      <c r="U17" s="13"/>
      <c r="V17" s="97"/>
    </row>
    <row r="18" spans="1:22" ht="15" thickBot="1">
      <c r="B18" s="396">
        <f>AVERAGE(B7:B17)</f>
        <v>0.72160909090909098</v>
      </c>
      <c r="C18" t="s">
        <v>320</v>
      </c>
      <c r="F18" s="103" t="s">
        <v>356</v>
      </c>
      <c r="G18" s="28"/>
      <c r="H18" s="28"/>
      <c r="I18" s="28"/>
      <c r="N18" s="43">
        <v>2006</v>
      </c>
      <c r="O18" s="78">
        <v>22668.281632653063</v>
      </c>
      <c r="P18" s="78">
        <v>15598.20065618421</v>
      </c>
      <c r="Q18" s="78">
        <v>33539.85511917551</v>
      </c>
      <c r="R18" s="99">
        <f t="shared" si="4"/>
        <v>930.32987681559098</v>
      </c>
      <c r="S18" s="99">
        <f t="shared" si="5"/>
        <v>15588.698179812465</v>
      </c>
      <c r="T18" s="99">
        <f t="shared" si="6"/>
        <v>6149.2535760250039</v>
      </c>
      <c r="U18" s="13"/>
      <c r="V18" s="97"/>
    </row>
    <row r="19" spans="1:22">
      <c r="B19">
        <f>STDEV(B7:B17)</f>
        <v>0.2000178914724651</v>
      </c>
      <c r="C19" t="s">
        <v>586</v>
      </c>
      <c r="F19" s="104" t="s">
        <v>347</v>
      </c>
      <c r="G19" s="105">
        <v>1</v>
      </c>
      <c r="H19" s="105">
        <v>2</v>
      </c>
      <c r="I19" s="106" t="s">
        <v>362</v>
      </c>
      <c r="J19" s="28"/>
      <c r="N19" s="43">
        <v>2007</v>
      </c>
      <c r="O19" s="78">
        <v>25380.576923076922</v>
      </c>
      <c r="P19" s="78">
        <v>20703.111156890325</v>
      </c>
      <c r="Q19" s="78">
        <v>31594.107900151157</v>
      </c>
      <c r="R19" s="99">
        <f t="shared" si="4"/>
        <v>1431.3316290959795</v>
      </c>
      <c r="S19" s="99">
        <f t="shared" si="5"/>
        <v>21623.331396699978</v>
      </c>
      <c r="T19" s="99">
        <f t="shared" si="6"/>
        <v>2325.9138972809669</v>
      </c>
      <c r="U19" s="13"/>
      <c r="V19" s="97"/>
    </row>
    <row r="20" spans="1:22">
      <c r="B20" s="263">
        <f>B19/B18</f>
        <v>0.27718316466950321</v>
      </c>
      <c r="C20" t="s">
        <v>587</v>
      </c>
      <c r="F20" s="43">
        <v>2001</v>
      </c>
      <c r="G20" s="47"/>
      <c r="H20" s="47"/>
      <c r="I20" s="92"/>
      <c r="J20"/>
      <c r="N20" s="43">
        <v>2008</v>
      </c>
      <c r="O20" s="78">
        <v>6247.84</v>
      </c>
      <c r="P20" s="78">
        <v>3657.476329537843</v>
      </c>
      <c r="Q20" s="78">
        <v>10970.336610850638</v>
      </c>
      <c r="R20" s="99">
        <f t="shared" si="4"/>
        <v>468.58799999999997</v>
      </c>
      <c r="S20" s="99">
        <f t="shared" si="5"/>
        <v>5410.6294399999997</v>
      </c>
      <c r="T20" s="99">
        <f t="shared" si="6"/>
        <v>368.62256000000002</v>
      </c>
      <c r="U20" s="13"/>
      <c r="V20" s="97"/>
    </row>
    <row r="21" spans="1:22">
      <c r="F21" s="43">
        <v>2002</v>
      </c>
      <c r="G21" s="47"/>
      <c r="H21" s="47"/>
      <c r="I21" s="92"/>
      <c r="J21"/>
      <c r="N21" s="43">
        <v>2009</v>
      </c>
      <c r="O21" s="78">
        <v>14521.86</v>
      </c>
      <c r="P21" s="78">
        <v>9646.2298058622</v>
      </c>
      <c r="Q21" s="78">
        <v>23222.814564141605</v>
      </c>
      <c r="R21" s="99">
        <f t="shared" si="4"/>
        <v>304.95906000000002</v>
      </c>
      <c r="S21" s="99">
        <f t="shared" si="5"/>
        <v>11733.66288</v>
      </c>
      <c r="T21" s="99">
        <f t="shared" si="6"/>
        <v>2483.2380600000001</v>
      </c>
      <c r="U21" s="13"/>
      <c r="V21" s="97"/>
    </row>
    <row r="22" spans="1:22">
      <c r="F22" s="43">
        <v>2003</v>
      </c>
      <c r="G22" s="47"/>
      <c r="H22" s="47"/>
      <c r="I22" s="92"/>
      <c r="J22"/>
      <c r="N22" s="43">
        <v>2010</v>
      </c>
      <c r="O22" s="78">
        <v>25031.761904761905</v>
      </c>
      <c r="P22" s="78">
        <v>21015.615189925091</v>
      </c>
      <c r="Q22" s="78">
        <v>29981.598779417469</v>
      </c>
      <c r="R22" s="99">
        <f t="shared" si="4"/>
        <v>1954.4318604318605</v>
      </c>
      <c r="S22" s="99">
        <f t="shared" si="5"/>
        <v>21248.182277515614</v>
      </c>
      <c r="T22" s="99">
        <f t="shared" si="6"/>
        <v>1829.1477668144337</v>
      </c>
      <c r="U22" s="13"/>
      <c r="V22" s="97"/>
    </row>
    <row r="23" spans="1:22">
      <c r="F23" s="43">
        <v>2004</v>
      </c>
      <c r="G23" s="89">
        <f t="shared" ref="G23:G30" si="7">R17/(R17+S18+T19)</f>
        <v>0.11059428561344783</v>
      </c>
      <c r="H23" s="89">
        <f t="shared" ref="H23:H30" si="8">S18/(R17+S18+T19)</f>
        <v>0.77393120103898638</v>
      </c>
      <c r="I23" s="107">
        <f t="shared" ref="I23:I30" si="9">T19/(R17+S18+T19)</f>
        <v>0.11547451334756574</v>
      </c>
      <c r="J23" s="346">
        <f t="shared" ref="J23:J30" si="10">1-I23</f>
        <v>0.88452548665243425</v>
      </c>
      <c r="N23" s="43">
        <v>2011</v>
      </c>
      <c r="O23" s="78">
        <v>17639.337837837837</v>
      </c>
      <c r="P23" s="78">
        <v>11105.336542021472</v>
      </c>
      <c r="Q23" s="78">
        <v>28941.927249166973</v>
      </c>
      <c r="R23" s="99">
        <f t="shared" si="4"/>
        <v>1217.1973533089986</v>
      </c>
      <c r="S23" s="99">
        <f t="shared" si="5"/>
        <v>12251.158199226762</v>
      </c>
      <c r="T23" s="99">
        <f t="shared" si="6"/>
        <v>4170.982285302076</v>
      </c>
      <c r="U23" s="13"/>
      <c r="V23" s="97"/>
    </row>
    <row r="24" spans="1:22">
      <c r="F24" s="43">
        <v>2005</v>
      </c>
      <c r="G24" s="89">
        <f t="shared" si="7"/>
        <v>4.058626459617079E-2</v>
      </c>
      <c r="H24" s="89">
        <f t="shared" si="8"/>
        <v>0.9433323290885901</v>
      </c>
      <c r="I24" s="107">
        <f t="shared" si="9"/>
        <v>1.6081406315239084E-2</v>
      </c>
      <c r="J24" s="346">
        <f t="shared" si="10"/>
        <v>0.98391859368476087</v>
      </c>
      <c r="N24" s="43">
        <v>2012</v>
      </c>
      <c r="O24" s="78">
        <v>27857.063274314332</v>
      </c>
      <c r="P24" s="78">
        <v>23740.378798321501</v>
      </c>
      <c r="Q24" s="78">
        <v>32431.157136528589</v>
      </c>
      <c r="R24" s="99">
        <f t="shared" si="4"/>
        <v>5560.5200855740177</v>
      </c>
      <c r="S24" s="99">
        <f t="shared" si="5"/>
        <v>20367.387751545008</v>
      </c>
      <c r="T24" s="99">
        <f t="shared" si="6"/>
        <v>1929.1554371953082</v>
      </c>
      <c r="U24" s="13"/>
      <c r="V24" s="97"/>
    </row>
    <row r="25" spans="1:22">
      <c r="F25" s="43">
        <v>2006</v>
      </c>
      <c r="G25" s="89">
        <f t="shared" si="7"/>
        <v>0.15349073079094003</v>
      </c>
      <c r="H25" s="89">
        <f t="shared" si="8"/>
        <v>0.58021596805563624</v>
      </c>
      <c r="I25" s="107">
        <f t="shared" si="9"/>
        <v>0.2662933011534237</v>
      </c>
      <c r="J25" s="346">
        <f t="shared" si="10"/>
        <v>0.73370669884657636</v>
      </c>
      <c r="N25" s="43">
        <v>2013</v>
      </c>
      <c r="O25" s="78">
        <v>35252</v>
      </c>
      <c r="P25" s="78">
        <v>29763</v>
      </c>
      <c r="Q25" s="78">
        <v>41572</v>
      </c>
      <c r="R25" s="99">
        <f t="shared" si="4"/>
        <v>3412.7435537965125</v>
      </c>
      <c r="S25" s="99">
        <f t="shared" si="5"/>
        <v>23560.772499979357</v>
      </c>
      <c r="T25" s="99">
        <f t="shared" si="6"/>
        <v>8278.4839462241252</v>
      </c>
      <c r="U25" s="13"/>
      <c r="V25" s="97"/>
    </row>
    <row r="26" spans="1:22" ht="15" thickBot="1">
      <c r="F26" s="43">
        <v>2007</v>
      </c>
      <c r="G26" s="89">
        <f t="shared" si="7"/>
        <v>3.3395672932889274E-2</v>
      </c>
      <c r="H26" s="89">
        <f t="shared" si="8"/>
        <v>0.83624328374875934</v>
      </c>
      <c r="I26" s="107">
        <f t="shared" si="9"/>
        <v>0.13036104331835141</v>
      </c>
      <c r="J26" s="346">
        <f t="shared" si="10"/>
        <v>0.86963895668164859</v>
      </c>
      <c r="N26" s="44">
        <v>2014</v>
      </c>
      <c r="O26" s="100">
        <v>22361</v>
      </c>
      <c r="P26" s="100">
        <v>17234</v>
      </c>
      <c r="Q26" s="100">
        <v>29733</v>
      </c>
      <c r="R26" s="101">
        <f t="shared" si="4"/>
        <v>2835.3135192511818</v>
      </c>
      <c r="S26" s="101">
        <f t="shared" si="5"/>
        <v>12053.010862822404</v>
      </c>
      <c r="T26" s="101">
        <f t="shared" si="6"/>
        <v>7472.675617926413</v>
      </c>
      <c r="U26" s="42"/>
      <c r="V26" s="102"/>
    </row>
    <row r="27" spans="1:22">
      <c r="F27" s="43">
        <v>2008</v>
      </c>
      <c r="G27" s="89">
        <f t="shared" si="7"/>
        <v>1.1854983457220546E-2</v>
      </c>
      <c r="H27" s="89">
        <f t="shared" si="8"/>
        <v>0.82600218336177444</v>
      </c>
      <c r="I27" s="107">
        <f t="shared" si="9"/>
        <v>0.16214283318100486</v>
      </c>
      <c r="J27" s="346">
        <f t="shared" si="10"/>
        <v>0.83785716681899514</v>
      </c>
    </row>
    <row r="28" spans="1:22">
      <c r="F28" s="43">
        <v>2009</v>
      </c>
      <c r="G28" s="89">
        <f t="shared" si="7"/>
        <v>0.12113186791901676</v>
      </c>
      <c r="H28" s="89">
        <f t="shared" si="8"/>
        <v>0.75930284748622667</v>
      </c>
      <c r="I28" s="107">
        <f t="shared" si="9"/>
        <v>0.11956528459475664</v>
      </c>
      <c r="J28" s="346">
        <f t="shared" si="10"/>
        <v>0.88043471540524332</v>
      </c>
    </row>
    <row r="29" spans="1:22">
      <c r="F29" s="43">
        <v>2010</v>
      </c>
      <c r="G29" s="89">
        <f t="shared" si="7"/>
        <v>4.0759285364377333E-2</v>
      </c>
      <c r="H29" s="89">
        <f t="shared" si="8"/>
        <v>0.68202594035825315</v>
      </c>
      <c r="I29" s="107">
        <f t="shared" si="9"/>
        <v>0.27721477427736957</v>
      </c>
      <c r="J29" s="346">
        <f t="shared" si="10"/>
        <v>0.72278522572263038</v>
      </c>
    </row>
    <row r="30" spans="1:22">
      <c r="F30" s="43">
        <v>2011</v>
      </c>
      <c r="G30" s="89">
        <f t="shared" si="7"/>
        <v>0.15195182043813596</v>
      </c>
      <c r="H30" s="89">
        <f t="shared" si="8"/>
        <v>0.64384306093753774</v>
      </c>
      <c r="I30" s="107">
        <f t="shared" si="9"/>
        <v>0.20420511862432625</v>
      </c>
      <c r="J30" s="346">
        <f t="shared" si="10"/>
        <v>0.79579488137567378</v>
      </c>
    </row>
    <row r="31" spans="1:22">
      <c r="F31" s="108">
        <v>2012</v>
      </c>
      <c r="G31" s="13" t="s">
        <v>352</v>
      </c>
      <c r="H31" s="13"/>
      <c r="I31" s="97"/>
      <c r="J31"/>
    </row>
    <row r="32" spans="1:22" ht="15" thickBot="1">
      <c r="F32" s="109">
        <v>2013</v>
      </c>
      <c r="G32" s="42" t="s">
        <v>352</v>
      </c>
      <c r="H32" s="42"/>
      <c r="I32" s="102"/>
      <c r="J32"/>
    </row>
    <row r="33" spans="6:14">
      <c r="J33"/>
    </row>
    <row r="34" spans="6:14">
      <c r="G34" s="346">
        <f>AVERAGE(G23:G30)</f>
        <v>8.2970613889024797E-2</v>
      </c>
      <c r="H34" s="346">
        <f>AVERAGE(H23:H30)</f>
        <v>0.75561210175947058</v>
      </c>
      <c r="I34" s="346">
        <f>AVERAGE(I23:I30)</f>
        <v>0.16141728435150468</v>
      </c>
    </row>
    <row r="35" spans="6:14">
      <c r="F35" s="297"/>
      <c r="G35" s="297"/>
      <c r="H35" s="297"/>
    </row>
    <row r="36" spans="6:14">
      <c r="F36" s="419"/>
      <c r="G36" s="419"/>
      <c r="H36" s="419"/>
    </row>
    <row r="40" spans="6:14">
      <c r="F40"/>
      <c r="G40"/>
      <c r="H40"/>
      <c r="I40"/>
      <c r="J40"/>
      <c r="K40"/>
      <c r="L40"/>
      <c r="M40"/>
      <c r="N40"/>
    </row>
    <row r="41" spans="6:14">
      <c r="F41"/>
      <c r="G41"/>
      <c r="H41"/>
      <c r="I41"/>
      <c r="J41"/>
      <c r="K41"/>
      <c r="L41"/>
      <c r="M41"/>
      <c r="N41"/>
    </row>
    <row r="42" spans="6:14">
      <c r="F42"/>
      <c r="G42"/>
      <c r="H42"/>
      <c r="I42"/>
      <c r="J42"/>
      <c r="K42"/>
      <c r="L42"/>
      <c r="M42"/>
      <c r="N42"/>
    </row>
    <row r="43" spans="6:14">
      <c r="F43"/>
      <c r="G43"/>
      <c r="H43"/>
      <c r="I43"/>
      <c r="J43"/>
      <c r="K43"/>
      <c r="L43"/>
      <c r="M43"/>
      <c r="N43"/>
    </row>
    <row r="44" spans="6:14">
      <c r="F44"/>
      <c r="G44"/>
      <c r="H44"/>
      <c r="I44"/>
      <c r="J44"/>
      <c r="K44"/>
      <c r="L44"/>
      <c r="M44"/>
      <c r="N44"/>
    </row>
    <row r="45" spans="6:14">
      <c r="F45"/>
      <c r="G45"/>
      <c r="H45"/>
      <c r="I45"/>
      <c r="J45"/>
      <c r="K45"/>
      <c r="L45"/>
      <c r="M45"/>
      <c r="N45"/>
    </row>
    <row r="46" spans="6:14">
      <c r="F46"/>
      <c r="G46"/>
      <c r="H46"/>
      <c r="I46"/>
      <c r="J46"/>
      <c r="K46"/>
      <c r="L46"/>
      <c r="M46"/>
      <c r="N46"/>
    </row>
    <row r="47" spans="6:14">
      <c r="F47"/>
      <c r="G47"/>
      <c r="H47"/>
      <c r="I47"/>
      <c r="J47"/>
      <c r="K47"/>
      <c r="L47"/>
      <c r="M47"/>
      <c r="N47"/>
    </row>
    <row r="48" spans="6:14">
      <c r="F48"/>
      <c r="G48"/>
      <c r="H48"/>
      <c r="I48"/>
      <c r="J48"/>
      <c r="K48"/>
      <c r="L48"/>
      <c r="M48"/>
      <c r="N48"/>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1"/>
  </sheetPr>
  <dimension ref="A1:V36"/>
  <sheetViews>
    <sheetView workbookViewId="0">
      <selection activeCell="H113" sqref="H113"/>
    </sheetView>
  </sheetViews>
  <sheetFormatPr defaultColWidth="8.88671875" defaultRowHeight="14.4"/>
  <cols>
    <col min="1" max="9" width="8.88671875" style="297"/>
    <col min="10" max="12" width="7.88671875" style="297" customWidth="1"/>
    <col min="13" max="14" width="8.88671875" style="297"/>
    <col min="15" max="17" width="9.44140625" style="297" bestFit="1" customWidth="1"/>
    <col min="18" max="16384" width="8.88671875" style="297"/>
  </cols>
  <sheetData>
    <row r="1" spans="1:22" ht="18.600000000000001" thickBot="1">
      <c r="A1" s="436" t="s">
        <v>407</v>
      </c>
      <c r="B1" s="437"/>
      <c r="C1" s="437"/>
      <c r="D1" s="437"/>
      <c r="F1" s="56" t="s">
        <v>355</v>
      </c>
      <c r="N1" s="459" t="s">
        <v>406</v>
      </c>
      <c r="O1" s="7"/>
      <c r="P1" s="7"/>
      <c r="Q1" s="7"/>
      <c r="R1" s="7"/>
      <c r="S1" s="7"/>
      <c r="T1" s="7"/>
      <c r="U1" s="7"/>
      <c r="V1" s="7"/>
    </row>
    <row r="2" spans="1:22" ht="15" thickBot="1">
      <c r="A2" s="437" t="s">
        <v>405</v>
      </c>
      <c r="B2" s="437"/>
      <c r="C2" s="437"/>
      <c r="D2" s="437"/>
      <c r="F2" s="448" t="s">
        <v>723</v>
      </c>
      <c r="G2" s="448"/>
      <c r="H2" s="448"/>
      <c r="I2" s="448"/>
      <c r="J2" s="448"/>
      <c r="K2" s="448"/>
      <c r="L2" s="448"/>
      <c r="M2" s="416"/>
      <c r="N2" s="460" t="s">
        <v>363</v>
      </c>
      <c r="O2" s="461"/>
      <c r="P2" s="461"/>
      <c r="Q2" s="461"/>
      <c r="R2" s="461"/>
      <c r="S2" s="461"/>
      <c r="T2" s="462" t="s">
        <v>361</v>
      </c>
      <c r="U2" s="461"/>
      <c r="V2" s="463"/>
    </row>
    <row r="3" spans="1:22">
      <c r="A3" s="438" t="s">
        <v>302</v>
      </c>
      <c r="B3" s="439" t="s">
        <v>303</v>
      </c>
      <c r="C3" s="439" t="s">
        <v>304</v>
      </c>
      <c r="D3" s="440" t="s">
        <v>305</v>
      </c>
      <c r="F3" s="104" t="s">
        <v>347</v>
      </c>
      <c r="G3" s="105" t="s">
        <v>348</v>
      </c>
      <c r="H3" s="105" t="s">
        <v>304</v>
      </c>
      <c r="I3" s="106" t="s">
        <v>305</v>
      </c>
      <c r="J3" s="75" t="s">
        <v>349</v>
      </c>
      <c r="K3" s="75" t="s">
        <v>350</v>
      </c>
      <c r="L3" s="46" t="s">
        <v>351</v>
      </c>
      <c r="N3" s="464" t="s">
        <v>354</v>
      </c>
      <c r="O3" s="465" t="s">
        <v>302</v>
      </c>
      <c r="P3" s="465" t="s">
        <v>156</v>
      </c>
      <c r="Q3" s="465" t="s">
        <v>157</v>
      </c>
      <c r="R3" s="465" t="s">
        <v>158</v>
      </c>
      <c r="S3" s="465" t="s">
        <v>159</v>
      </c>
      <c r="T3" s="466" t="s">
        <v>359</v>
      </c>
      <c r="U3" s="465" t="s">
        <v>360</v>
      </c>
      <c r="V3" s="467" t="s">
        <v>358</v>
      </c>
    </row>
    <row r="4" spans="1:22">
      <c r="A4" s="441">
        <v>2001</v>
      </c>
      <c r="B4" s="442"/>
      <c r="C4" s="442"/>
      <c r="D4" s="443"/>
      <c r="F4" s="114">
        <v>2001</v>
      </c>
      <c r="G4" s="450"/>
      <c r="H4" s="450"/>
      <c r="I4" s="451"/>
      <c r="J4" s="437" t="s">
        <v>722</v>
      </c>
      <c r="K4" s="437"/>
      <c r="L4" s="452"/>
      <c r="N4" s="468" t="s">
        <v>353</v>
      </c>
      <c r="O4" s="469">
        <v>2005</v>
      </c>
      <c r="P4" s="470">
        <v>8.6999999999999994E-2</v>
      </c>
      <c r="Q4" s="470">
        <v>0.621</v>
      </c>
      <c r="R4" s="470">
        <v>0.27700000000000002</v>
      </c>
      <c r="S4" s="470">
        <v>8.0000000000000002E-3</v>
      </c>
      <c r="T4" s="471">
        <v>8.7613293051359509E-2</v>
      </c>
      <c r="U4" s="472">
        <v>0.62537764350453173</v>
      </c>
      <c r="V4" s="473">
        <v>0.28700906344410881</v>
      </c>
    </row>
    <row r="5" spans="1:22">
      <c r="A5" s="441">
        <v>2002</v>
      </c>
      <c r="B5" s="442"/>
      <c r="C5" s="442"/>
      <c r="D5" s="443"/>
      <c r="F5" s="43">
        <v>2002</v>
      </c>
      <c r="G5" s="452"/>
      <c r="H5" s="452"/>
      <c r="I5" s="453"/>
      <c r="J5" s="437"/>
      <c r="K5" s="437"/>
      <c r="L5" s="454"/>
      <c r="N5" s="468" t="s">
        <v>353</v>
      </c>
      <c r="O5" s="469">
        <v>2006</v>
      </c>
      <c r="P5" s="470">
        <v>4.0999999999999995E-2</v>
      </c>
      <c r="Q5" s="470">
        <v>0.68700000000000006</v>
      </c>
      <c r="R5" s="470">
        <v>0.26899999999999996</v>
      </c>
      <c r="S5" s="470">
        <v>2E-3</v>
      </c>
      <c r="T5" s="471">
        <v>4.1041041041041032E-2</v>
      </c>
      <c r="U5" s="472">
        <v>0.68768768768768762</v>
      </c>
      <c r="V5" s="473">
        <v>0.27127127127127121</v>
      </c>
    </row>
    <row r="6" spans="1:22">
      <c r="A6" s="441">
        <v>2003</v>
      </c>
      <c r="B6" s="442"/>
      <c r="C6" s="442"/>
      <c r="D6" s="443"/>
      <c r="F6" s="43">
        <v>2003</v>
      </c>
      <c r="G6" s="452"/>
      <c r="H6" s="452"/>
      <c r="I6" s="453"/>
      <c r="J6" s="437"/>
      <c r="K6" s="437"/>
      <c r="L6" s="452"/>
      <c r="N6" s="468" t="s">
        <v>353</v>
      </c>
      <c r="O6" s="469">
        <v>2007</v>
      </c>
      <c r="P6" s="470">
        <v>5.5999999999999994E-2</v>
      </c>
      <c r="Q6" s="470">
        <v>0.84599999999999997</v>
      </c>
      <c r="R6" s="470">
        <v>9.0999999999999998E-2</v>
      </c>
      <c r="S6" s="470">
        <v>0</v>
      </c>
      <c r="T6" s="471">
        <v>5.6394763343403827E-2</v>
      </c>
      <c r="U6" s="472">
        <v>0.85196374622356508</v>
      </c>
      <c r="V6" s="473">
        <v>9.1641490433031228E-2</v>
      </c>
    </row>
    <row r="7" spans="1:22">
      <c r="A7" s="441">
        <v>2004</v>
      </c>
      <c r="B7" s="442">
        <v>0.66100000000000003</v>
      </c>
      <c r="C7" s="442">
        <v>0.46068800000000004</v>
      </c>
      <c r="D7" s="443">
        <v>0.86131200000000008</v>
      </c>
      <c r="F7" s="43">
        <v>2004</v>
      </c>
      <c r="G7" s="452"/>
      <c r="H7" s="452"/>
      <c r="I7" s="453"/>
      <c r="J7" s="449"/>
      <c r="K7" s="449"/>
      <c r="L7" s="449"/>
      <c r="N7" s="468" t="s">
        <v>353</v>
      </c>
      <c r="O7" s="469">
        <v>2008</v>
      </c>
      <c r="P7" s="470">
        <v>7.4999999999999997E-2</v>
      </c>
      <c r="Q7" s="470">
        <v>0.86599999999999999</v>
      </c>
      <c r="R7" s="470">
        <v>5.9000000000000004E-2</v>
      </c>
      <c r="S7" s="470">
        <v>0</v>
      </c>
      <c r="T7" s="471">
        <v>7.4999999999999997E-2</v>
      </c>
      <c r="U7" s="472">
        <v>0.86599999999999999</v>
      </c>
      <c r="V7" s="473">
        <v>5.9000000000000004E-2</v>
      </c>
    </row>
    <row r="8" spans="1:22">
      <c r="A8" s="441">
        <v>2005</v>
      </c>
      <c r="B8" s="442">
        <v>0.55400000000000005</v>
      </c>
      <c r="C8" s="442">
        <v>0.43592960000000003</v>
      </c>
      <c r="D8" s="443">
        <v>0.67207040000000007</v>
      </c>
      <c r="F8" s="43">
        <v>2005</v>
      </c>
      <c r="G8" s="452"/>
      <c r="H8" s="452"/>
      <c r="I8" s="453"/>
      <c r="J8" s="449"/>
      <c r="K8" s="449"/>
      <c r="L8" s="449"/>
      <c r="N8" s="468" t="s">
        <v>353</v>
      </c>
      <c r="O8" s="469">
        <v>2009</v>
      </c>
      <c r="P8" s="470">
        <v>2.1000000000000001E-2</v>
      </c>
      <c r="Q8" s="470">
        <v>0.80799999999999994</v>
      </c>
      <c r="R8" s="470">
        <v>0.17100000000000001</v>
      </c>
      <c r="S8" s="470">
        <v>0</v>
      </c>
      <c r="T8" s="471">
        <v>2.1000000000000001E-2</v>
      </c>
      <c r="U8" s="472">
        <v>0.80799999999999994</v>
      </c>
      <c r="V8" s="473">
        <v>0.17100000000000001</v>
      </c>
    </row>
    <row r="9" spans="1:22">
      <c r="A9" s="441">
        <v>2006</v>
      </c>
      <c r="B9" s="442">
        <v>0.88900000000000001</v>
      </c>
      <c r="C9" s="442">
        <v>0.67359600000000008</v>
      </c>
      <c r="D9" s="443">
        <v>1</v>
      </c>
      <c r="F9" s="43">
        <v>2006</v>
      </c>
      <c r="G9" s="452"/>
      <c r="H9" s="452"/>
      <c r="I9" s="453"/>
      <c r="J9" s="449"/>
      <c r="K9" s="449"/>
      <c r="L9" s="449"/>
      <c r="N9" s="468" t="s">
        <v>353</v>
      </c>
      <c r="O9" s="469">
        <v>2010</v>
      </c>
      <c r="P9" s="470">
        <v>7.8E-2</v>
      </c>
      <c r="Q9" s="470">
        <v>0.84799999999999998</v>
      </c>
      <c r="R9" s="470">
        <v>7.2999999999999995E-2</v>
      </c>
      <c r="S9" s="470">
        <v>0</v>
      </c>
      <c r="T9" s="471">
        <v>7.8078078078078081E-2</v>
      </c>
      <c r="U9" s="472">
        <v>0.84884884884884892</v>
      </c>
      <c r="V9" s="473">
        <v>7.3073073073073078E-2</v>
      </c>
    </row>
    <row r="10" spans="1:22">
      <c r="A10" s="441">
        <v>2007</v>
      </c>
      <c r="B10" s="442">
        <v>0.70499999999999996</v>
      </c>
      <c r="C10" s="442">
        <v>0.5842444</v>
      </c>
      <c r="D10" s="443">
        <v>0.82575559999999992</v>
      </c>
      <c r="F10" s="43">
        <v>2007</v>
      </c>
      <c r="G10" s="452"/>
      <c r="H10" s="452"/>
      <c r="I10" s="453"/>
      <c r="J10" s="449"/>
      <c r="K10" s="449"/>
      <c r="L10" s="449"/>
      <c r="N10" s="468" t="s">
        <v>353</v>
      </c>
      <c r="O10" s="469">
        <v>2011</v>
      </c>
      <c r="P10" s="470">
        <v>6.9004707801333096E-2</v>
      </c>
      <c r="Q10" s="470">
        <v>0.69453617317465377</v>
      </c>
      <c r="R10" s="470">
        <v>0.23645911902401318</v>
      </c>
      <c r="S10" s="470">
        <v>0</v>
      </c>
      <c r="T10" s="471">
        <v>6.9004707801333096E-2</v>
      </c>
      <c r="U10" s="472">
        <v>0.69453617317465377</v>
      </c>
      <c r="V10" s="473">
        <v>0.23645911902401318</v>
      </c>
    </row>
    <row r="11" spans="1:22">
      <c r="A11" s="441">
        <v>2008</v>
      </c>
      <c r="B11" s="442">
        <v>0.95399999999999996</v>
      </c>
      <c r="C11" s="442">
        <v>0.64608399999999999</v>
      </c>
      <c r="D11" s="443">
        <v>1</v>
      </c>
      <c r="F11" s="43">
        <v>2008</v>
      </c>
      <c r="G11" s="78">
        <v>22851.425647834847</v>
      </c>
      <c r="H11" s="452"/>
      <c r="I11" s="453"/>
      <c r="J11" s="16">
        <f>$G11*G27</f>
        <v>1895.9968142402633</v>
      </c>
      <c r="K11" s="16">
        <f t="shared" ref="J11:L14" si="0">$G11*H27</f>
        <v>17266.813761960759</v>
      </c>
      <c r="L11" s="16">
        <f t="shared" si="0"/>
        <v>3688.6150716338248</v>
      </c>
      <c r="N11" s="474" t="s">
        <v>353</v>
      </c>
      <c r="O11" s="469">
        <v>2012</v>
      </c>
      <c r="P11" s="470">
        <v>0.19942652563767738</v>
      </c>
      <c r="Q11" s="470">
        <v>0.73047076767940566</v>
      </c>
      <c r="R11" s="470">
        <v>6.9188629900467188E-2</v>
      </c>
      <c r="S11" s="470">
        <v>0</v>
      </c>
      <c r="T11" s="471">
        <v>0.19960898357513182</v>
      </c>
      <c r="U11" s="472">
        <v>0.73113908494169244</v>
      </c>
      <c r="V11" s="473">
        <v>6.9251931483175766E-2</v>
      </c>
    </row>
    <row r="12" spans="1:22">
      <c r="A12" s="441">
        <v>2009</v>
      </c>
      <c r="B12" s="442">
        <v>0.76800000000000002</v>
      </c>
      <c r="C12" s="442">
        <v>0.65279120000000002</v>
      </c>
      <c r="D12" s="443">
        <v>0.88320880000000002</v>
      </c>
      <c r="F12" s="43">
        <v>2009</v>
      </c>
      <c r="G12" s="78">
        <v>29320.578474291397</v>
      </c>
      <c r="H12" s="452"/>
      <c r="I12" s="453"/>
      <c r="J12" s="16">
        <f t="shared" si="0"/>
        <v>2432.7463955932831</v>
      </c>
      <c r="K12" s="16">
        <f t="shared" si="0"/>
        <v>22154.983925762812</v>
      </c>
      <c r="L12" s="16">
        <f t="shared" si="0"/>
        <v>4732.8481529353012</v>
      </c>
      <c r="N12" s="474" t="s">
        <v>353</v>
      </c>
      <c r="O12" s="469">
        <v>2013</v>
      </c>
      <c r="P12" s="470">
        <v>9.129619749861978E-2</v>
      </c>
      <c r="Q12" s="470">
        <v>0.63028730564453672</v>
      </c>
      <c r="R12" s="470">
        <v>0.2031298029574084</v>
      </c>
      <c r="S12" s="470">
        <v>1.8332517146557946E-2</v>
      </c>
      <c r="T12" s="471">
        <v>9.6809927204031337E-2</v>
      </c>
      <c r="U12" s="472">
        <v>0.66835278849368429</v>
      </c>
      <c r="V12" s="473">
        <v>0.23483728430228429</v>
      </c>
    </row>
    <row r="13" spans="1:22">
      <c r="A13" s="441">
        <v>2010</v>
      </c>
      <c r="B13" s="442">
        <v>0.88</v>
      </c>
      <c r="C13" s="442">
        <v>0.71</v>
      </c>
      <c r="D13" s="443">
        <v>1</v>
      </c>
      <c r="F13" s="43">
        <v>2010</v>
      </c>
      <c r="G13" s="78">
        <v>83307.142574561047</v>
      </c>
      <c r="H13" s="452"/>
      <c r="I13" s="453"/>
      <c r="J13" s="16">
        <f>$G13*G29</f>
        <v>6912.0447607518436</v>
      </c>
      <c r="K13" s="16">
        <f t="shared" si="0"/>
        <v>62947.885092339944</v>
      </c>
      <c r="L13" s="16">
        <f t="shared" si="0"/>
        <v>13447.212721469263</v>
      </c>
      <c r="N13" s="468" t="s">
        <v>353</v>
      </c>
      <c r="O13" s="469">
        <v>2014</v>
      </c>
      <c r="P13" s="470">
        <v>0.12619447779111645</v>
      </c>
      <c r="Q13" s="470">
        <v>0.5364568684616704</v>
      </c>
      <c r="R13" s="470">
        <v>0.3325947521865889</v>
      </c>
      <c r="S13" s="470">
        <v>0</v>
      </c>
      <c r="T13" s="475">
        <v>0.1267972594808453</v>
      </c>
      <c r="U13" s="476">
        <v>0.5390193132159744</v>
      </c>
      <c r="V13" s="477">
        <v>0.33418342730318024</v>
      </c>
    </row>
    <row r="14" spans="1:22">
      <c r="A14" s="441">
        <v>2011</v>
      </c>
      <c r="B14" s="442">
        <v>0.86</v>
      </c>
      <c r="C14" s="442">
        <v>0.44879200000000002</v>
      </c>
      <c r="D14" s="443">
        <v>1</v>
      </c>
      <c r="F14" s="43">
        <v>2011</v>
      </c>
      <c r="G14" s="78">
        <v>97677.41014641567</v>
      </c>
      <c r="H14" s="452"/>
      <c r="I14" s="453"/>
      <c r="J14" s="16">
        <f>$G14*G30</f>
        <v>8104.3546829381676</v>
      </c>
      <c r="K14" s="16">
        <f t="shared" si="0"/>
        <v>73806.233175154979</v>
      </c>
      <c r="L14" s="16">
        <f t="shared" si="0"/>
        <v>15766.822288322526</v>
      </c>
      <c r="N14" s="468"/>
      <c r="O14" s="469"/>
      <c r="P14" s="469"/>
      <c r="Q14" s="469"/>
      <c r="R14" s="469"/>
      <c r="S14" s="469"/>
      <c r="T14" s="469"/>
      <c r="U14" s="469"/>
      <c r="V14" s="478"/>
    </row>
    <row r="15" spans="1:22">
      <c r="A15" s="441">
        <v>2012</v>
      </c>
      <c r="B15" s="442">
        <v>0.87880000000000003</v>
      </c>
      <c r="C15" s="442">
        <v>0.61263200000000007</v>
      </c>
      <c r="D15" s="443">
        <v>1</v>
      </c>
      <c r="F15" s="108">
        <v>2012</v>
      </c>
      <c r="G15" s="81"/>
      <c r="H15" s="452"/>
      <c r="I15" s="453"/>
      <c r="J15" s="297" t="s">
        <v>365</v>
      </c>
      <c r="N15" s="479" t="s">
        <v>302</v>
      </c>
      <c r="O15" s="480" t="s">
        <v>348</v>
      </c>
      <c r="P15" s="480" t="s">
        <v>304</v>
      </c>
      <c r="Q15" s="480" t="s">
        <v>305</v>
      </c>
      <c r="R15" s="285" t="s">
        <v>359</v>
      </c>
      <c r="S15" s="285" t="s">
        <v>360</v>
      </c>
      <c r="T15" s="285" t="s">
        <v>358</v>
      </c>
      <c r="U15" s="469"/>
      <c r="V15" s="478"/>
    </row>
    <row r="16" spans="1:22" ht="15" thickBot="1">
      <c r="A16" s="441">
        <v>2013</v>
      </c>
      <c r="B16" s="442">
        <v>0.38440000000000002</v>
      </c>
      <c r="C16" s="442">
        <v>0.259548</v>
      </c>
      <c r="D16" s="443">
        <v>0.50925200000000004</v>
      </c>
      <c r="F16" s="109">
        <v>2013</v>
      </c>
      <c r="G16" s="118"/>
      <c r="H16" s="455"/>
      <c r="I16" s="456"/>
      <c r="J16" s="297" t="s">
        <v>366</v>
      </c>
      <c r="N16" s="481">
        <v>2004</v>
      </c>
      <c r="O16" s="285">
        <v>20974</v>
      </c>
      <c r="P16" s="285"/>
      <c r="Q16" s="285"/>
      <c r="R16" s="285"/>
      <c r="S16" s="285"/>
      <c r="T16" s="285"/>
      <c r="U16" s="469"/>
      <c r="V16" s="478"/>
    </row>
    <row r="17" spans="1:22" ht="15" thickBot="1">
      <c r="A17" s="444">
        <v>2014</v>
      </c>
      <c r="B17" s="445">
        <v>0.40350000000000003</v>
      </c>
      <c r="C17" s="445">
        <v>0.19</v>
      </c>
      <c r="D17" s="446">
        <v>0.61</v>
      </c>
      <c r="N17" s="482">
        <v>2005</v>
      </c>
      <c r="O17" s="120">
        <v>25425.53947368421</v>
      </c>
      <c r="P17" s="120">
        <v>18398.166976492703</v>
      </c>
      <c r="Q17" s="120">
        <v>37604.841742260396</v>
      </c>
      <c r="R17" s="483">
        <v>2227.6152408968037</v>
      </c>
      <c r="S17" s="483">
        <v>15900.563960884083</v>
      </c>
      <c r="T17" s="483">
        <v>7297.3602719033242</v>
      </c>
      <c r="U17" s="469"/>
      <c r="V17" s="478"/>
    </row>
    <row r="18" spans="1:22" ht="15" thickBot="1">
      <c r="A18" s="437"/>
      <c r="B18" s="447">
        <f>AVERAGE(B7:B17)</f>
        <v>0.72160909090909098</v>
      </c>
      <c r="C18" s="437" t="s">
        <v>320</v>
      </c>
      <c r="D18" s="437"/>
      <c r="F18" s="103" t="s">
        <v>356</v>
      </c>
      <c r="G18" s="28"/>
      <c r="H18" s="28"/>
      <c r="I18" s="28"/>
      <c r="N18" s="482">
        <v>2006</v>
      </c>
      <c r="O18" s="120">
        <v>22668.281632653063</v>
      </c>
      <c r="P18" s="120">
        <v>15598.20065618421</v>
      </c>
      <c r="Q18" s="120">
        <v>33539.85511917551</v>
      </c>
      <c r="R18" s="483">
        <v>930.32987681559098</v>
      </c>
      <c r="S18" s="483">
        <v>15588.698179812465</v>
      </c>
      <c r="T18" s="483">
        <v>6149.2535760250039</v>
      </c>
      <c r="U18" s="469"/>
      <c r="V18" s="478"/>
    </row>
    <row r="19" spans="1:22">
      <c r="A19" s="437"/>
      <c r="B19" s="437">
        <f>STDEV(B7:B17)</f>
        <v>0.2000178914724651</v>
      </c>
      <c r="C19" s="437" t="s">
        <v>586</v>
      </c>
      <c r="D19" s="437"/>
      <c r="F19" s="104" t="s">
        <v>347</v>
      </c>
      <c r="G19" s="105">
        <v>1</v>
      </c>
      <c r="H19" s="105">
        <v>2</v>
      </c>
      <c r="I19" s="106" t="s">
        <v>362</v>
      </c>
      <c r="J19" s="28"/>
      <c r="N19" s="482">
        <v>2007</v>
      </c>
      <c r="O19" s="120">
        <v>25380.576923076922</v>
      </c>
      <c r="P19" s="120">
        <v>20703.111156890325</v>
      </c>
      <c r="Q19" s="120">
        <v>31594.107900151157</v>
      </c>
      <c r="R19" s="483">
        <v>1431.3316290959795</v>
      </c>
      <c r="S19" s="483">
        <v>21623.331396699978</v>
      </c>
      <c r="T19" s="483">
        <v>2325.9138972809669</v>
      </c>
      <c r="U19" s="469"/>
      <c r="V19" s="478"/>
    </row>
    <row r="20" spans="1:22">
      <c r="A20" s="437"/>
      <c r="B20" s="254">
        <f>B19/B18</f>
        <v>0.27718316466950321</v>
      </c>
      <c r="C20" s="437" t="s">
        <v>587</v>
      </c>
      <c r="D20" s="437"/>
      <c r="F20" s="43">
        <v>2001</v>
      </c>
      <c r="G20" s="47"/>
      <c r="H20" s="47"/>
      <c r="I20" s="92"/>
      <c r="N20" s="482">
        <v>2008</v>
      </c>
      <c r="O20" s="120">
        <v>6247.84</v>
      </c>
      <c r="P20" s="120">
        <v>3657.476329537843</v>
      </c>
      <c r="Q20" s="120">
        <v>10970.336610850638</v>
      </c>
      <c r="R20" s="483">
        <v>468.58799999999997</v>
      </c>
      <c r="S20" s="483">
        <v>5410.6294399999997</v>
      </c>
      <c r="T20" s="483">
        <v>368.62256000000002</v>
      </c>
      <c r="U20" s="469"/>
      <c r="V20" s="478"/>
    </row>
    <row r="21" spans="1:22">
      <c r="A21" s="437"/>
      <c r="B21" s="437"/>
      <c r="C21" s="437"/>
      <c r="D21" s="437"/>
      <c r="F21" s="43">
        <v>2002</v>
      </c>
      <c r="G21" s="47"/>
      <c r="H21" s="47"/>
      <c r="I21" s="92"/>
      <c r="N21" s="482">
        <v>2009</v>
      </c>
      <c r="O21" s="120">
        <v>14521.86</v>
      </c>
      <c r="P21" s="120">
        <v>9646.2298058622</v>
      </c>
      <c r="Q21" s="120">
        <v>23222.814564141605</v>
      </c>
      <c r="R21" s="483">
        <v>304.95906000000002</v>
      </c>
      <c r="S21" s="483">
        <v>11733.66288</v>
      </c>
      <c r="T21" s="483">
        <v>2483.2380600000001</v>
      </c>
      <c r="U21" s="469"/>
      <c r="V21" s="478"/>
    </row>
    <row r="22" spans="1:22">
      <c r="F22" s="43">
        <v>2003</v>
      </c>
      <c r="G22" s="47"/>
      <c r="H22" s="47"/>
      <c r="I22" s="92"/>
      <c r="N22" s="482">
        <v>2010</v>
      </c>
      <c r="O22" s="120">
        <v>25031.761904761905</v>
      </c>
      <c r="P22" s="120">
        <v>21015.615189925091</v>
      </c>
      <c r="Q22" s="120">
        <v>29981.598779417469</v>
      </c>
      <c r="R22" s="483">
        <v>1954.4318604318605</v>
      </c>
      <c r="S22" s="483">
        <v>21248.182277515614</v>
      </c>
      <c r="T22" s="483">
        <v>1829.1477668144337</v>
      </c>
      <c r="U22" s="469"/>
      <c r="V22" s="478"/>
    </row>
    <row r="23" spans="1:22">
      <c r="F23" s="43">
        <v>2004</v>
      </c>
      <c r="G23" s="89">
        <f>AVERAGE(S.smolt!G$23:G$30)</f>
        <v>8.2970613889024797E-2</v>
      </c>
      <c r="H23" s="89">
        <f>AVERAGE(S.smolt!H$23:H$30)</f>
        <v>0.75561210175947058</v>
      </c>
      <c r="I23" s="107">
        <f>AVERAGE(S.smolt!I$23:I$30)</f>
        <v>0.16141728435150468</v>
      </c>
      <c r="N23" s="482">
        <v>2011</v>
      </c>
      <c r="O23" s="120">
        <v>17639.337837837837</v>
      </c>
      <c r="P23" s="120">
        <v>11105.336542021472</v>
      </c>
      <c r="Q23" s="120">
        <v>28941.927249166973</v>
      </c>
      <c r="R23" s="483">
        <v>1217.1973533089986</v>
      </c>
      <c r="S23" s="483">
        <v>12251.158199226762</v>
      </c>
      <c r="T23" s="483">
        <v>4170.982285302076</v>
      </c>
      <c r="U23" s="469"/>
      <c r="V23" s="478"/>
    </row>
    <row r="24" spans="1:22">
      <c r="F24" s="43">
        <v>2005</v>
      </c>
      <c r="G24" s="89">
        <f>AVERAGE(S.smolt!G$23:G$30)</f>
        <v>8.2970613889024797E-2</v>
      </c>
      <c r="H24" s="89">
        <f>AVERAGE(S.smolt!H$23:H$30)</f>
        <v>0.75561210175947058</v>
      </c>
      <c r="I24" s="107">
        <f>AVERAGE(S.smolt!I$23:I$30)</f>
        <v>0.16141728435150468</v>
      </c>
      <c r="N24" s="482">
        <v>2012</v>
      </c>
      <c r="O24" s="120">
        <v>27857.063274314332</v>
      </c>
      <c r="P24" s="120">
        <v>23740.378798321501</v>
      </c>
      <c r="Q24" s="120">
        <v>32431.157136528589</v>
      </c>
      <c r="R24" s="483">
        <v>5560.5200855740177</v>
      </c>
      <c r="S24" s="483">
        <v>20367.387751545008</v>
      </c>
      <c r="T24" s="483">
        <v>1929.1554371953082</v>
      </c>
      <c r="U24" s="469"/>
      <c r="V24" s="478"/>
    </row>
    <row r="25" spans="1:22">
      <c r="F25" s="43">
        <v>2006</v>
      </c>
      <c r="G25" s="89">
        <f>AVERAGE(S.smolt!G$23:G$30)</f>
        <v>8.2970613889024797E-2</v>
      </c>
      <c r="H25" s="89">
        <f>AVERAGE(S.smolt!H$23:H$30)</f>
        <v>0.75561210175947058</v>
      </c>
      <c r="I25" s="107">
        <f>AVERAGE(S.smolt!I$23:I$30)</f>
        <v>0.16141728435150468</v>
      </c>
      <c r="N25" s="482">
        <v>2013</v>
      </c>
      <c r="O25" s="120">
        <v>35252</v>
      </c>
      <c r="P25" s="120">
        <v>29763</v>
      </c>
      <c r="Q25" s="120">
        <v>41572</v>
      </c>
      <c r="R25" s="483">
        <v>3412.7435537965125</v>
      </c>
      <c r="S25" s="483">
        <v>23560.772499979357</v>
      </c>
      <c r="T25" s="483">
        <v>8278.4839462241252</v>
      </c>
      <c r="U25" s="469"/>
      <c r="V25" s="478"/>
    </row>
    <row r="26" spans="1:22" ht="15" thickBot="1">
      <c r="F26" s="43">
        <v>2007</v>
      </c>
      <c r="G26" s="89">
        <f>AVERAGE(S.smolt!G$23:G$30)</f>
        <v>8.2970613889024797E-2</v>
      </c>
      <c r="H26" s="89">
        <f>AVERAGE(S.smolt!H$23:H$30)</f>
        <v>0.75561210175947058</v>
      </c>
      <c r="I26" s="107">
        <f>AVERAGE(S.smolt!I$23:I$30)</f>
        <v>0.16141728435150468</v>
      </c>
      <c r="N26" s="484">
        <v>2014</v>
      </c>
      <c r="O26" s="485">
        <v>22361</v>
      </c>
      <c r="P26" s="485">
        <v>17234</v>
      </c>
      <c r="Q26" s="485">
        <v>29733</v>
      </c>
      <c r="R26" s="486">
        <v>2835.3135192511818</v>
      </c>
      <c r="S26" s="486">
        <v>12053.010862822404</v>
      </c>
      <c r="T26" s="486">
        <v>7472.675617926413</v>
      </c>
      <c r="U26" s="487"/>
      <c r="V26" s="488"/>
    </row>
    <row r="27" spans="1:22">
      <c r="F27" s="43">
        <v>2008</v>
      </c>
      <c r="G27" s="89">
        <f>AVERAGE(S.smolt!G$23:G$30)</f>
        <v>8.2970613889024797E-2</v>
      </c>
      <c r="H27" s="89">
        <f>AVERAGE(S.smolt!H$23:H$30)</f>
        <v>0.75561210175947058</v>
      </c>
      <c r="I27" s="107">
        <f>AVERAGE(S.smolt!I$23:I$30)</f>
        <v>0.16141728435150468</v>
      </c>
    </row>
    <row r="28" spans="1:22">
      <c r="F28" s="43">
        <v>2009</v>
      </c>
      <c r="G28" s="89">
        <f>AVERAGE(S.smolt!G$23:G$30)</f>
        <v>8.2970613889024797E-2</v>
      </c>
      <c r="H28" s="89">
        <f>AVERAGE(S.smolt!H$23:H$30)</f>
        <v>0.75561210175947058</v>
      </c>
      <c r="I28" s="107">
        <f>AVERAGE(S.smolt!I$23:I$30)</f>
        <v>0.16141728435150468</v>
      </c>
    </row>
    <row r="29" spans="1:22">
      <c r="F29" s="43">
        <v>2010</v>
      </c>
      <c r="G29" s="89">
        <f>AVERAGE(S.smolt!G$23:G$30)</f>
        <v>8.2970613889024797E-2</v>
      </c>
      <c r="H29" s="89">
        <f>AVERAGE(S.smolt!H$23:H$30)</f>
        <v>0.75561210175947058</v>
      </c>
      <c r="I29" s="107">
        <f>AVERAGE(S.smolt!I$23:I$30)</f>
        <v>0.16141728435150468</v>
      </c>
    </row>
    <row r="30" spans="1:22">
      <c r="F30" s="43">
        <v>2011</v>
      </c>
      <c r="G30" s="89">
        <f>AVERAGE(S.smolt!G$23:G$30)</f>
        <v>8.2970613889024797E-2</v>
      </c>
      <c r="H30" s="89">
        <f>AVERAGE(S.smolt!H$23:H$30)</f>
        <v>0.75561210175947058</v>
      </c>
      <c r="I30" s="107">
        <f>AVERAGE(S.smolt!I$23:I$30)</f>
        <v>0.16141728435150468</v>
      </c>
    </row>
    <row r="31" spans="1:22">
      <c r="F31" s="108">
        <v>2012</v>
      </c>
      <c r="G31" s="13" t="s">
        <v>352</v>
      </c>
      <c r="H31" s="13"/>
      <c r="I31" s="97"/>
    </row>
    <row r="32" spans="1:22" ht="15" thickBot="1">
      <c r="F32" s="109">
        <v>2013</v>
      </c>
      <c r="G32" s="42" t="s">
        <v>352</v>
      </c>
      <c r="H32" s="42"/>
      <c r="I32" s="102"/>
    </row>
    <row r="34" spans="6:9">
      <c r="G34" s="346">
        <f>AVERAGE(S.smolt!G23:G30)</f>
        <v>8.2970613889024797E-2</v>
      </c>
      <c r="H34" s="346">
        <f>AVERAGE(S.smolt!H23:H30)</f>
        <v>0.75561210175947058</v>
      </c>
      <c r="I34" s="346">
        <f>AVERAGE(S.smolt!I23:I30)</f>
        <v>0.16141728435150468</v>
      </c>
    </row>
    <row r="36" spans="6:9">
      <c r="F36" s="419"/>
      <c r="G36" s="419"/>
      <c r="H36" s="419"/>
    </row>
  </sheetData>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E27"/>
  <sheetViews>
    <sheetView zoomScaleNormal="100" workbookViewId="0">
      <selection activeCell="E14" sqref="E14"/>
    </sheetView>
  </sheetViews>
  <sheetFormatPr defaultColWidth="8.88671875" defaultRowHeight="14.4"/>
  <cols>
    <col min="1" max="1" width="5.44140625" style="297" bestFit="1" customWidth="1"/>
    <col min="2" max="2" width="37.109375" style="297" bestFit="1" customWidth="1"/>
    <col min="3" max="3" width="29.6640625" style="297" bestFit="1" customWidth="1"/>
    <col min="4" max="4" width="27.5546875" style="297" bestFit="1" customWidth="1"/>
    <col min="5" max="5" width="76.33203125" style="297" bestFit="1" customWidth="1"/>
    <col min="6" max="24" width="8.88671875" style="297"/>
    <col min="25" max="25" width="6.6640625" style="297" bestFit="1" customWidth="1"/>
    <col min="26" max="16384" width="8.88671875" style="297"/>
  </cols>
  <sheetData>
    <row r="1" spans="1:5">
      <c r="E1" s="297" t="s">
        <v>593</v>
      </c>
    </row>
    <row r="2" spans="1:5">
      <c r="B2" s="297" t="s">
        <v>687</v>
      </c>
      <c r="C2" s="297">
        <v>1</v>
      </c>
    </row>
    <row r="3" spans="1:5">
      <c r="B3" s="297" t="s">
        <v>688</v>
      </c>
      <c r="C3" s="297">
        <v>1</v>
      </c>
    </row>
    <row r="4" spans="1:5">
      <c r="B4" s="297" t="s">
        <v>689</v>
      </c>
      <c r="C4" s="297">
        <v>1</v>
      </c>
      <c r="E4" s="297" t="s">
        <v>690</v>
      </c>
    </row>
    <row r="5" spans="1:5">
      <c r="B5" s="297" t="s">
        <v>691</v>
      </c>
      <c r="C5" s="297">
        <v>1</v>
      </c>
      <c r="E5" s="297" t="s">
        <v>1052</v>
      </c>
    </row>
    <row r="6" spans="1:5">
      <c r="B6" s="297" t="s">
        <v>692</v>
      </c>
      <c r="C6" s="297">
        <v>75</v>
      </c>
      <c r="E6" s="588" t="s">
        <v>1055</v>
      </c>
    </row>
    <row r="7" spans="1:5">
      <c r="B7" s="297" t="s">
        <v>1053</v>
      </c>
      <c r="C7" s="297">
        <v>150</v>
      </c>
      <c r="E7" s="297" t="s">
        <v>693</v>
      </c>
    </row>
    <row r="8" spans="1:5">
      <c r="B8" s="297" t="s">
        <v>694</v>
      </c>
      <c r="C8" s="297">
        <v>0</v>
      </c>
      <c r="E8" s="297" t="s">
        <v>695</v>
      </c>
    </row>
    <row r="9" spans="1:5">
      <c r="B9" s="297" t="s">
        <v>696</v>
      </c>
      <c r="C9" s="297">
        <v>0</v>
      </c>
      <c r="E9" s="297" t="s">
        <v>697</v>
      </c>
    </row>
    <row r="10" spans="1:5">
      <c r="B10" s="297" t="s">
        <v>698</v>
      </c>
      <c r="C10" s="297">
        <v>1</v>
      </c>
      <c r="E10" s="297" t="s">
        <v>699</v>
      </c>
    </row>
    <row r="11" spans="1:5">
      <c r="B11" s="297" t="s">
        <v>700</v>
      </c>
      <c r="C11" s="297">
        <v>1</v>
      </c>
      <c r="E11" s="297" t="s">
        <v>701</v>
      </c>
    </row>
    <row r="14" spans="1:5">
      <c r="C14" s="297" t="s">
        <v>702</v>
      </c>
    </row>
    <row r="15" spans="1:5">
      <c r="A15" s="297" t="s">
        <v>703</v>
      </c>
      <c r="B15" s="297" t="s">
        <v>1</v>
      </c>
      <c r="C15" s="297" t="s">
        <v>704</v>
      </c>
      <c r="D15" s="297" t="s">
        <v>705</v>
      </c>
    </row>
    <row r="16" spans="1:5">
      <c r="A16" s="297">
        <v>1</v>
      </c>
      <c r="B16" s="297" t="s">
        <v>2</v>
      </c>
      <c r="C16" s="297" t="s">
        <v>706</v>
      </c>
      <c r="D16" s="297" t="s">
        <v>707</v>
      </c>
    </row>
    <row r="17" spans="1:4">
      <c r="A17" s="297">
        <v>2</v>
      </c>
      <c r="B17" s="7"/>
      <c r="C17" s="7"/>
      <c r="D17" s="7"/>
    </row>
    <row r="18" spans="1:4">
      <c r="A18" s="297">
        <v>3</v>
      </c>
      <c r="B18" s="7"/>
      <c r="C18" s="7"/>
      <c r="D18" s="7"/>
    </row>
    <row r="19" spans="1:4">
      <c r="A19" s="297">
        <v>4</v>
      </c>
      <c r="B19" s="7"/>
      <c r="C19" s="7"/>
      <c r="D19" s="7"/>
    </row>
    <row r="20" spans="1:4">
      <c r="A20" s="297">
        <v>5</v>
      </c>
      <c r="B20" s="7"/>
      <c r="C20" s="7"/>
      <c r="D20" s="7"/>
    </row>
    <row r="21" spans="1:4">
      <c r="A21" s="297">
        <v>6</v>
      </c>
      <c r="B21" s="7"/>
      <c r="C21" s="7"/>
      <c r="D21" s="7"/>
    </row>
    <row r="22" spans="1:4">
      <c r="A22" s="297">
        <v>7</v>
      </c>
      <c r="B22" s="7"/>
      <c r="C22" s="7"/>
      <c r="D22" s="7"/>
    </row>
    <row r="23" spans="1:4">
      <c r="A23" s="297">
        <v>8</v>
      </c>
      <c r="B23" s="7"/>
      <c r="C23" s="7"/>
      <c r="D23" s="7"/>
    </row>
    <row r="24" spans="1:4">
      <c r="A24" s="297">
        <v>9</v>
      </c>
      <c r="B24" s="7"/>
      <c r="C24" s="7"/>
      <c r="D24" s="7"/>
    </row>
    <row r="25" spans="1:4">
      <c r="A25" s="297">
        <v>10</v>
      </c>
      <c r="B25" s="7"/>
      <c r="C25" s="7"/>
      <c r="D25" s="7"/>
    </row>
    <row r="27" spans="1:4">
      <c r="B27" s="297" t="s">
        <v>708</v>
      </c>
      <c r="C27" s="297" t="s">
        <v>709</v>
      </c>
      <c r="D27" s="297" t="s">
        <v>710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theme="1"/>
  </sheetPr>
  <dimension ref="A1:CI210"/>
  <sheetViews>
    <sheetView zoomScale="85" zoomScaleNormal="85" workbookViewId="0">
      <pane ySplit="3" topLeftCell="A64" activePane="bottomLeft" state="frozen"/>
      <selection activeCell="H113" sqref="H113"/>
      <selection pane="bottomLeft" activeCell="H113" sqref="H113"/>
    </sheetView>
  </sheetViews>
  <sheetFormatPr defaultRowHeight="14.4"/>
  <cols>
    <col min="1" max="1" width="11.44140625" customWidth="1"/>
    <col min="4" max="4" width="9.44140625" bestFit="1" customWidth="1"/>
  </cols>
  <sheetData>
    <row r="1" spans="1:20">
      <c r="A1" s="1" t="s">
        <v>0</v>
      </c>
    </row>
    <row r="2" spans="1:20" ht="15.6">
      <c r="B2" t="s">
        <v>1</v>
      </c>
      <c r="C2" s="2" t="s">
        <v>2</v>
      </c>
      <c r="D2" s="3"/>
      <c r="E2" s="3"/>
      <c r="T2">
        <f>S2*(1-'InputFile (determ)'!H101)*8</f>
        <v>0</v>
      </c>
    </row>
    <row r="3" spans="1:20">
      <c r="B3" s="416" t="s">
        <v>3</v>
      </c>
      <c r="C3" s="416" t="s">
        <v>715</v>
      </c>
      <c r="D3" s="416"/>
      <c r="E3" s="416"/>
      <c r="F3" s="416"/>
      <c r="G3" s="416"/>
      <c r="H3" s="416"/>
      <c r="I3" s="416"/>
      <c r="J3" s="416"/>
      <c r="K3" s="416"/>
      <c r="L3" s="416"/>
    </row>
    <row r="4" spans="1:20">
      <c r="B4" s="14" t="s">
        <v>4</v>
      </c>
    </row>
    <row r="7" spans="1:20">
      <c r="A7" s="1" t="s">
        <v>5</v>
      </c>
    </row>
    <row r="8" spans="1:20">
      <c r="A8" s="1" t="s">
        <v>6</v>
      </c>
    </row>
    <row r="9" spans="1:20">
      <c r="B9" s="6" t="s">
        <v>7</v>
      </c>
      <c r="C9" s="6" t="s">
        <v>8</v>
      </c>
      <c r="D9" s="6" t="s">
        <v>9</v>
      </c>
      <c r="E9" s="6" t="s">
        <v>10</v>
      </c>
      <c r="F9" s="6" t="s">
        <v>11</v>
      </c>
      <c r="G9" s="6" t="s">
        <v>12</v>
      </c>
      <c r="H9" s="6" t="s">
        <v>13</v>
      </c>
      <c r="I9" s="6" t="s">
        <v>14</v>
      </c>
    </row>
    <row r="10" spans="1:20">
      <c r="B10" s="7" t="s">
        <v>15</v>
      </c>
      <c r="C10" s="8">
        <v>645750</v>
      </c>
      <c r="D10" s="7">
        <v>0</v>
      </c>
      <c r="E10" s="7">
        <v>0</v>
      </c>
      <c r="F10" s="7">
        <v>0</v>
      </c>
      <c r="G10" s="7">
        <v>0</v>
      </c>
      <c r="H10" s="7">
        <v>0</v>
      </c>
      <c r="I10" s="7">
        <v>0</v>
      </c>
      <c r="J10" t="s">
        <v>16</v>
      </c>
    </row>
    <row r="11" spans="1:20">
      <c r="A11" t="s">
        <v>17</v>
      </c>
      <c r="B11" s="7" t="s">
        <v>18</v>
      </c>
      <c r="C11" s="7">
        <v>0</v>
      </c>
      <c r="D11" s="7">
        <v>0</v>
      </c>
      <c r="E11" s="7">
        <v>0</v>
      </c>
      <c r="F11" s="7">
        <v>0</v>
      </c>
      <c r="G11" s="7">
        <v>0</v>
      </c>
      <c r="H11" s="7">
        <v>0</v>
      </c>
      <c r="I11" s="7">
        <v>0</v>
      </c>
    </row>
    <row r="12" spans="1:20">
      <c r="B12" s="7" t="s">
        <v>19</v>
      </c>
      <c r="C12" s="7">
        <v>0</v>
      </c>
      <c r="D12" s="7">
        <v>0</v>
      </c>
      <c r="E12" s="7">
        <v>0</v>
      </c>
      <c r="F12" s="7">
        <v>0</v>
      </c>
      <c r="G12" s="7">
        <v>0</v>
      </c>
      <c r="H12" s="7">
        <v>0</v>
      </c>
      <c r="I12" s="7">
        <v>0</v>
      </c>
    </row>
    <row r="13" spans="1:20">
      <c r="B13" s="7" t="s">
        <v>20</v>
      </c>
      <c r="C13" s="7">
        <v>0</v>
      </c>
      <c r="D13" s="7">
        <v>0</v>
      </c>
      <c r="E13" s="7">
        <v>0</v>
      </c>
      <c r="F13" s="7">
        <v>0</v>
      </c>
      <c r="G13" s="7">
        <v>0</v>
      </c>
      <c r="H13" s="7">
        <v>0</v>
      </c>
      <c r="I13" s="7">
        <v>0</v>
      </c>
    </row>
    <row r="14" spans="1:20">
      <c r="B14" s="7" t="s">
        <v>21</v>
      </c>
      <c r="C14" s="7">
        <v>0</v>
      </c>
      <c r="D14" s="7">
        <v>0</v>
      </c>
      <c r="E14" s="7">
        <v>0</v>
      </c>
      <c r="F14" s="7">
        <v>0</v>
      </c>
      <c r="G14" s="7">
        <v>0</v>
      </c>
      <c r="H14" s="7">
        <v>0</v>
      </c>
      <c r="I14" s="7">
        <v>0</v>
      </c>
    </row>
    <row r="15" spans="1:20">
      <c r="B15" s="7" t="s">
        <v>22</v>
      </c>
      <c r="C15" s="7">
        <v>0</v>
      </c>
      <c r="D15" s="7">
        <v>0</v>
      </c>
      <c r="E15" s="7">
        <v>0</v>
      </c>
      <c r="F15" s="7">
        <v>0</v>
      </c>
      <c r="G15" s="7">
        <v>0</v>
      </c>
      <c r="H15" s="7">
        <v>0</v>
      </c>
      <c r="I15" s="7">
        <v>0</v>
      </c>
    </row>
    <row r="16" spans="1:20">
      <c r="B16" s="7" t="s">
        <v>23</v>
      </c>
      <c r="C16" s="7">
        <v>0</v>
      </c>
      <c r="D16" s="7">
        <v>0</v>
      </c>
      <c r="E16" s="7">
        <v>0</v>
      </c>
      <c r="F16" s="7">
        <v>0</v>
      </c>
      <c r="G16" s="7">
        <v>0</v>
      </c>
      <c r="H16" s="7">
        <v>0</v>
      </c>
      <c r="I16" s="7">
        <v>0</v>
      </c>
    </row>
    <row r="17" spans="1:31">
      <c r="B17" s="7" t="s">
        <v>24</v>
      </c>
      <c r="C17" s="7">
        <v>0</v>
      </c>
      <c r="D17" s="7">
        <v>0</v>
      </c>
      <c r="E17" s="7">
        <v>0</v>
      </c>
      <c r="F17" s="7">
        <v>0</v>
      </c>
      <c r="G17" s="7">
        <v>0</v>
      </c>
      <c r="H17" s="7">
        <v>0</v>
      </c>
      <c r="I17" s="7">
        <v>0</v>
      </c>
    </row>
    <row r="18" spans="1:31">
      <c r="B18" s="7" t="s">
        <v>25</v>
      </c>
      <c r="C18" s="7">
        <v>0</v>
      </c>
      <c r="D18" s="7">
        <v>0</v>
      </c>
      <c r="E18" s="7">
        <v>0</v>
      </c>
      <c r="F18" s="7">
        <v>0</v>
      </c>
      <c r="G18" s="7">
        <v>0</v>
      </c>
      <c r="H18" s="7">
        <v>0</v>
      </c>
      <c r="I18" s="7">
        <v>0</v>
      </c>
    </row>
    <row r="19" spans="1:31">
      <c r="B19" s="7" t="s">
        <v>26</v>
      </c>
      <c r="C19" s="7">
        <v>0</v>
      </c>
      <c r="D19" s="7">
        <v>0</v>
      </c>
      <c r="E19" s="7">
        <v>0</v>
      </c>
      <c r="F19" s="7">
        <v>0</v>
      </c>
      <c r="G19" s="7">
        <v>0</v>
      </c>
      <c r="H19" s="7">
        <v>0</v>
      </c>
      <c r="I19" s="7">
        <v>0</v>
      </c>
    </row>
    <row r="20" spans="1:31">
      <c r="B20" s="7" t="s">
        <v>27</v>
      </c>
      <c r="C20" s="7">
        <v>0</v>
      </c>
      <c r="D20" s="7">
        <v>0</v>
      </c>
      <c r="E20" s="7">
        <v>0</v>
      </c>
      <c r="F20" s="7">
        <v>0</v>
      </c>
      <c r="G20" s="7">
        <v>0</v>
      </c>
      <c r="H20" s="7">
        <v>0</v>
      </c>
      <c r="I20" s="7">
        <v>0</v>
      </c>
    </row>
    <row r="21" spans="1:31">
      <c r="B21" s="7" t="s">
        <v>28</v>
      </c>
      <c r="C21" s="7">
        <v>0</v>
      </c>
      <c r="D21" s="7">
        <v>0</v>
      </c>
      <c r="E21" s="7">
        <v>0</v>
      </c>
      <c r="F21" s="7">
        <v>0</v>
      </c>
      <c r="G21" s="7">
        <v>0</v>
      </c>
      <c r="H21" s="7">
        <v>0</v>
      </c>
      <c r="I21" s="7">
        <v>0</v>
      </c>
    </row>
    <row r="25" spans="1:31">
      <c r="A25" s="1" t="s">
        <v>29</v>
      </c>
      <c r="B25" s="1"/>
    </row>
    <row r="26" spans="1:31">
      <c r="A26" s="1"/>
      <c r="B26" s="1" t="s">
        <v>30</v>
      </c>
      <c r="O26" t="s">
        <v>31</v>
      </c>
      <c r="S26" t="s">
        <v>32</v>
      </c>
      <c r="AE26" t="s">
        <v>33</v>
      </c>
    </row>
    <row r="27" spans="1:31">
      <c r="B27" s="6" t="s">
        <v>7</v>
      </c>
      <c r="C27" s="6" t="s">
        <v>34</v>
      </c>
      <c r="D27" s="6" t="s">
        <v>35</v>
      </c>
      <c r="E27" s="6" t="s">
        <v>36</v>
      </c>
      <c r="F27" s="6" t="s">
        <v>37</v>
      </c>
      <c r="G27" s="6" t="s">
        <v>38</v>
      </c>
      <c r="H27" s="6" t="s">
        <v>39</v>
      </c>
      <c r="I27" s="6" t="s">
        <v>40</v>
      </c>
      <c r="J27" s="6" t="s">
        <v>41</v>
      </c>
      <c r="K27" s="6" t="s">
        <v>42</v>
      </c>
      <c r="L27" s="6" t="s">
        <v>43</v>
      </c>
      <c r="M27" s="6" t="s">
        <v>44</v>
      </c>
      <c r="N27" s="6" t="s">
        <v>45</v>
      </c>
      <c r="O27" s="6" t="s">
        <v>46</v>
      </c>
      <c r="P27" s="6" t="s">
        <v>47</v>
      </c>
      <c r="Q27" s="6" t="s">
        <v>48</v>
      </c>
      <c r="R27" s="6" t="s">
        <v>49</v>
      </c>
      <c r="S27" s="6" t="s">
        <v>34</v>
      </c>
      <c r="T27" s="6" t="s">
        <v>35</v>
      </c>
      <c r="U27" s="6" t="s">
        <v>36</v>
      </c>
      <c r="V27" s="6" t="s">
        <v>37</v>
      </c>
      <c r="W27" s="6" t="s">
        <v>38</v>
      </c>
      <c r="X27" s="6" t="s">
        <v>39</v>
      </c>
      <c r="Y27" s="6" t="s">
        <v>40</v>
      </c>
      <c r="Z27" s="6" t="s">
        <v>41</v>
      </c>
      <c r="AA27" s="6" t="s">
        <v>42</v>
      </c>
      <c r="AB27" s="6" t="s">
        <v>43</v>
      </c>
      <c r="AC27" s="6" t="s">
        <v>44</v>
      </c>
      <c r="AD27" s="6" t="s">
        <v>45</v>
      </c>
      <c r="AE27" s="6" t="s">
        <v>50</v>
      </c>
    </row>
    <row r="28" spans="1:31">
      <c r="B28" s="7" t="s">
        <v>15</v>
      </c>
      <c r="C28" s="8">
        <v>1</v>
      </c>
      <c r="D28" s="7">
        <v>0</v>
      </c>
      <c r="E28" s="7">
        <v>0</v>
      </c>
      <c r="F28" s="7">
        <v>0</v>
      </c>
      <c r="G28" s="7">
        <v>0</v>
      </c>
      <c r="H28" s="7">
        <v>0</v>
      </c>
      <c r="I28" s="7">
        <v>0</v>
      </c>
      <c r="J28" s="7">
        <v>0</v>
      </c>
      <c r="K28" s="7">
        <v>0</v>
      </c>
      <c r="L28" s="7">
        <v>0</v>
      </c>
      <c r="M28" s="7">
        <v>0</v>
      </c>
      <c r="N28" s="7">
        <v>0</v>
      </c>
      <c r="O28" s="7">
        <v>9999</v>
      </c>
      <c r="P28" s="7">
        <v>9999</v>
      </c>
      <c r="Q28" s="7">
        <v>9999</v>
      </c>
      <c r="R28" s="7">
        <v>9999</v>
      </c>
      <c r="S28" s="7">
        <v>0</v>
      </c>
      <c r="T28" s="7">
        <v>0</v>
      </c>
      <c r="U28" s="7">
        <v>0</v>
      </c>
      <c r="V28" s="7">
        <v>0</v>
      </c>
      <c r="W28" s="7">
        <v>0</v>
      </c>
      <c r="X28" s="7">
        <v>0</v>
      </c>
      <c r="Y28" s="7">
        <v>0</v>
      </c>
      <c r="Z28" s="7">
        <v>0</v>
      </c>
      <c r="AA28" s="7">
        <v>0</v>
      </c>
      <c r="AB28" s="7">
        <v>0</v>
      </c>
      <c r="AC28" s="7">
        <v>0</v>
      </c>
      <c r="AD28" s="7">
        <v>0</v>
      </c>
      <c r="AE28" s="7">
        <v>0</v>
      </c>
    </row>
    <row r="29" spans="1:31">
      <c r="B29" s="7" t="s">
        <v>18</v>
      </c>
      <c r="C29" s="7">
        <v>0</v>
      </c>
      <c r="D29" s="7">
        <v>0</v>
      </c>
      <c r="E29" s="7">
        <v>0</v>
      </c>
      <c r="F29" s="7">
        <v>0</v>
      </c>
      <c r="G29" s="7">
        <v>0</v>
      </c>
      <c r="H29" s="7">
        <v>0</v>
      </c>
      <c r="I29" s="7">
        <v>0</v>
      </c>
      <c r="J29" s="7">
        <v>0</v>
      </c>
      <c r="K29" s="7">
        <v>0</v>
      </c>
      <c r="L29" s="7">
        <v>0</v>
      </c>
      <c r="M29" s="7">
        <v>0</v>
      </c>
      <c r="N29" s="7">
        <v>0</v>
      </c>
      <c r="O29" s="7">
        <v>9999</v>
      </c>
      <c r="P29" s="7">
        <v>9999</v>
      </c>
      <c r="Q29" s="7">
        <v>9999</v>
      </c>
      <c r="R29" s="7">
        <v>9999</v>
      </c>
      <c r="S29" s="7">
        <v>0</v>
      </c>
      <c r="T29" s="7">
        <v>0</v>
      </c>
      <c r="U29" s="7">
        <v>0</v>
      </c>
      <c r="V29" s="7">
        <v>0</v>
      </c>
      <c r="W29" s="7">
        <v>0</v>
      </c>
      <c r="X29" s="7">
        <v>0</v>
      </c>
      <c r="Y29" s="7">
        <v>0</v>
      </c>
      <c r="Z29" s="7">
        <v>0</v>
      </c>
      <c r="AA29" s="7">
        <v>0</v>
      </c>
      <c r="AB29" s="7">
        <v>0</v>
      </c>
      <c r="AC29" s="7">
        <v>0</v>
      </c>
      <c r="AD29" s="7">
        <v>0</v>
      </c>
      <c r="AE29" s="7">
        <v>0</v>
      </c>
    </row>
    <row r="30" spans="1:31">
      <c r="B30" s="7" t="s">
        <v>19</v>
      </c>
      <c r="C30" s="7">
        <v>0</v>
      </c>
      <c r="D30" s="7">
        <v>0</v>
      </c>
      <c r="E30" s="7">
        <v>0</v>
      </c>
      <c r="F30" s="7">
        <v>0</v>
      </c>
      <c r="G30" s="7">
        <v>0</v>
      </c>
      <c r="H30" s="7">
        <v>0</v>
      </c>
      <c r="I30" s="7">
        <v>0</v>
      </c>
      <c r="J30" s="7">
        <v>0</v>
      </c>
      <c r="K30" s="7">
        <v>0</v>
      </c>
      <c r="L30" s="7">
        <v>0</v>
      </c>
      <c r="M30" s="7">
        <v>0</v>
      </c>
      <c r="N30" s="7">
        <v>0</v>
      </c>
      <c r="O30" s="7">
        <v>9999</v>
      </c>
      <c r="P30" s="7">
        <v>9999</v>
      </c>
      <c r="Q30" s="7">
        <v>9999</v>
      </c>
      <c r="R30" s="7">
        <v>9999</v>
      </c>
      <c r="S30" s="7">
        <v>0</v>
      </c>
      <c r="T30" s="7">
        <v>0</v>
      </c>
      <c r="U30" s="7">
        <v>0</v>
      </c>
      <c r="V30" s="7">
        <v>0</v>
      </c>
      <c r="W30" s="7">
        <v>0</v>
      </c>
      <c r="X30" s="7">
        <v>0</v>
      </c>
      <c r="Y30" s="7">
        <v>0</v>
      </c>
      <c r="Z30" s="7">
        <v>0</v>
      </c>
      <c r="AA30" s="7">
        <v>0</v>
      </c>
      <c r="AB30" s="7">
        <v>0</v>
      </c>
      <c r="AC30" s="7">
        <v>0</v>
      </c>
      <c r="AD30" s="7">
        <v>0</v>
      </c>
      <c r="AE30" s="7">
        <v>0</v>
      </c>
    </row>
    <row r="31" spans="1:31">
      <c r="B31" s="7" t="s">
        <v>20</v>
      </c>
      <c r="C31" s="7">
        <v>0</v>
      </c>
      <c r="D31" s="7">
        <v>0</v>
      </c>
      <c r="E31" s="7">
        <v>0</v>
      </c>
      <c r="F31" s="7">
        <v>0</v>
      </c>
      <c r="G31" s="7">
        <v>0</v>
      </c>
      <c r="H31" s="7">
        <v>0</v>
      </c>
      <c r="I31" s="7">
        <v>0</v>
      </c>
      <c r="J31" s="7">
        <v>0</v>
      </c>
      <c r="K31" s="7">
        <v>0</v>
      </c>
      <c r="L31" s="7">
        <v>0</v>
      </c>
      <c r="M31" s="7">
        <v>0</v>
      </c>
      <c r="N31" s="7">
        <v>0</v>
      </c>
      <c r="O31" s="7">
        <v>9999</v>
      </c>
      <c r="P31" s="7">
        <v>9999</v>
      </c>
      <c r="Q31" s="7">
        <v>9999</v>
      </c>
      <c r="R31" s="7">
        <v>9999</v>
      </c>
      <c r="S31" s="7">
        <v>0</v>
      </c>
      <c r="T31" s="7">
        <v>0</v>
      </c>
      <c r="U31" s="7">
        <v>0</v>
      </c>
      <c r="V31" s="7">
        <v>0</v>
      </c>
      <c r="W31" s="7">
        <v>0</v>
      </c>
      <c r="X31" s="7">
        <v>0</v>
      </c>
      <c r="Y31" s="7">
        <v>0</v>
      </c>
      <c r="Z31" s="7">
        <v>0</v>
      </c>
      <c r="AA31" s="7">
        <v>0</v>
      </c>
      <c r="AB31" s="7">
        <v>0</v>
      </c>
      <c r="AC31" s="7">
        <v>0</v>
      </c>
      <c r="AD31" s="7">
        <v>0</v>
      </c>
      <c r="AE31" s="7">
        <v>0</v>
      </c>
    </row>
    <row r="32" spans="1:31">
      <c r="B32" s="7" t="s">
        <v>21</v>
      </c>
      <c r="C32" s="7">
        <v>0</v>
      </c>
      <c r="D32" s="7">
        <v>0</v>
      </c>
      <c r="E32" s="7">
        <v>0</v>
      </c>
      <c r="F32" s="7">
        <v>0</v>
      </c>
      <c r="G32" s="7">
        <v>0</v>
      </c>
      <c r="H32" s="7">
        <v>0</v>
      </c>
      <c r="I32" s="7">
        <v>0</v>
      </c>
      <c r="J32" s="7">
        <v>0</v>
      </c>
      <c r="K32" s="7">
        <v>0</v>
      </c>
      <c r="L32" s="7">
        <v>0</v>
      </c>
      <c r="M32" s="7">
        <v>0</v>
      </c>
      <c r="N32" s="7">
        <v>0</v>
      </c>
      <c r="O32" s="7">
        <v>9999</v>
      </c>
      <c r="P32" s="7">
        <v>9999</v>
      </c>
      <c r="Q32" s="7">
        <v>9999</v>
      </c>
      <c r="R32" s="7">
        <v>9999</v>
      </c>
      <c r="S32" s="7">
        <v>0</v>
      </c>
      <c r="T32" s="7">
        <v>0</v>
      </c>
      <c r="U32" s="7">
        <v>0</v>
      </c>
      <c r="V32" s="7">
        <v>0</v>
      </c>
      <c r="W32" s="7">
        <v>0</v>
      </c>
      <c r="X32" s="7">
        <v>0</v>
      </c>
      <c r="Y32" s="7">
        <v>0</v>
      </c>
      <c r="Z32" s="7">
        <v>0</v>
      </c>
      <c r="AA32" s="7">
        <v>0</v>
      </c>
      <c r="AB32" s="7">
        <v>0</v>
      </c>
      <c r="AC32" s="7">
        <v>0</v>
      </c>
      <c r="AD32" s="7">
        <v>0</v>
      </c>
      <c r="AE32" s="7">
        <v>0</v>
      </c>
    </row>
    <row r="33" spans="1:42">
      <c r="B33" s="7" t="s">
        <v>22</v>
      </c>
      <c r="C33" s="7">
        <v>0</v>
      </c>
      <c r="D33" s="7">
        <v>0</v>
      </c>
      <c r="E33" s="7">
        <v>0</v>
      </c>
      <c r="F33" s="7">
        <v>0</v>
      </c>
      <c r="G33" s="7">
        <v>0</v>
      </c>
      <c r="H33" s="7">
        <v>0</v>
      </c>
      <c r="I33" s="7">
        <v>0</v>
      </c>
      <c r="J33" s="7">
        <v>0</v>
      </c>
      <c r="K33" s="7">
        <v>0</v>
      </c>
      <c r="L33" s="7">
        <v>0</v>
      </c>
      <c r="M33" s="7">
        <v>0</v>
      </c>
      <c r="N33" s="7">
        <v>0</v>
      </c>
      <c r="O33" s="7">
        <v>9999</v>
      </c>
      <c r="P33" s="7">
        <v>9999</v>
      </c>
      <c r="Q33" s="7">
        <v>9999</v>
      </c>
      <c r="R33" s="7">
        <v>9999</v>
      </c>
      <c r="S33" s="7">
        <v>0</v>
      </c>
      <c r="T33" s="7">
        <v>0</v>
      </c>
      <c r="U33" s="7">
        <v>0</v>
      </c>
      <c r="V33" s="7">
        <v>0</v>
      </c>
      <c r="W33" s="7">
        <v>0</v>
      </c>
      <c r="X33" s="7">
        <v>0</v>
      </c>
      <c r="Y33" s="7">
        <v>0</v>
      </c>
      <c r="Z33" s="7">
        <v>0</v>
      </c>
      <c r="AA33" s="7">
        <v>0</v>
      </c>
      <c r="AB33" s="7">
        <v>0</v>
      </c>
      <c r="AC33" s="7">
        <v>0</v>
      </c>
      <c r="AD33" s="7">
        <v>0</v>
      </c>
      <c r="AE33" s="7">
        <v>0</v>
      </c>
    </row>
    <row r="34" spans="1:42">
      <c r="B34" s="7" t="s">
        <v>23</v>
      </c>
      <c r="C34" s="7">
        <v>0</v>
      </c>
      <c r="D34" s="7">
        <v>0</v>
      </c>
      <c r="E34" s="7">
        <v>0</v>
      </c>
      <c r="F34" s="7">
        <v>0</v>
      </c>
      <c r="G34" s="7">
        <v>0</v>
      </c>
      <c r="H34" s="7">
        <v>0</v>
      </c>
      <c r="I34" s="7">
        <v>0</v>
      </c>
      <c r="J34" s="7">
        <v>0</v>
      </c>
      <c r="K34" s="7">
        <v>0</v>
      </c>
      <c r="L34" s="7">
        <v>0</v>
      </c>
      <c r="M34" s="7">
        <v>0</v>
      </c>
      <c r="N34" s="7">
        <v>0</v>
      </c>
      <c r="O34" s="7">
        <v>9999</v>
      </c>
      <c r="P34" s="7">
        <v>9999</v>
      </c>
      <c r="Q34" s="7">
        <v>9999</v>
      </c>
      <c r="R34" s="7">
        <v>9999</v>
      </c>
      <c r="S34" s="7">
        <v>0</v>
      </c>
      <c r="T34" s="7">
        <v>0</v>
      </c>
      <c r="U34" s="7">
        <v>0</v>
      </c>
      <c r="V34" s="7">
        <v>0</v>
      </c>
      <c r="W34" s="7">
        <v>0</v>
      </c>
      <c r="X34" s="7">
        <v>0</v>
      </c>
      <c r="Y34" s="7">
        <v>0</v>
      </c>
      <c r="Z34" s="7">
        <v>0</v>
      </c>
      <c r="AA34" s="7">
        <v>0</v>
      </c>
      <c r="AB34" s="7">
        <v>0</v>
      </c>
      <c r="AC34" s="7">
        <v>0</v>
      </c>
      <c r="AD34" s="7">
        <v>0</v>
      </c>
      <c r="AE34" s="7">
        <v>0</v>
      </c>
    </row>
    <row r="35" spans="1:42">
      <c r="B35" s="7" t="s">
        <v>24</v>
      </c>
      <c r="C35" s="7">
        <v>0</v>
      </c>
      <c r="D35" s="7">
        <v>0</v>
      </c>
      <c r="E35" s="7">
        <v>0</v>
      </c>
      <c r="F35" s="7">
        <v>0</v>
      </c>
      <c r="G35" s="7">
        <v>0</v>
      </c>
      <c r="H35" s="7">
        <v>0</v>
      </c>
      <c r="I35" s="7">
        <v>0</v>
      </c>
      <c r="J35" s="7">
        <v>0</v>
      </c>
      <c r="K35" s="7">
        <v>0</v>
      </c>
      <c r="L35" s="7">
        <v>0</v>
      </c>
      <c r="M35" s="7">
        <v>0</v>
      </c>
      <c r="N35" s="7">
        <v>0</v>
      </c>
      <c r="O35" s="7">
        <v>9999</v>
      </c>
      <c r="P35" s="7">
        <v>9999</v>
      </c>
      <c r="Q35" s="7">
        <v>9999</v>
      </c>
      <c r="R35" s="7">
        <v>9999</v>
      </c>
      <c r="S35" s="7">
        <v>0</v>
      </c>
      <c r="T35" s="7">
        <v>0</v>
      </c>
      <c r="U35" s="7">
        <v>0</v>
      </c>
      <c r="V35" s="7">
        <v>0</v>
      </c>
      <c r="W35" s="7">
        <v>0</v>
      </c>
      <c r="X35" s="7">
        <v>0</v>
      </c>
      <c r="Y35" s="7">
        <v>0</v>
      </c>
      <c r="Z35" s="7">
        <v>0</v>
      </c>
      <c r="AA35" s="7">
        <v>0</v>
      </c>
      <c r="AB35" s="7">
        <v>0</v>
      </c>
      <c r="AC35" s="7">
        <v>0</v>
      </c>
      <c r="AD35" s="7">
        <v>0</v>
      </c>
      <c r="AE35" s="7">
        <v>0</v>
      </c>
    </row>
    <row r="36" spans="1:42">
      <c r="B36" s="7" t="s">
        <v>25</v>
      </c>
      <c r="C36" s="7">
        <v>0</v>
      </c>
      <c r="D36" s="7">
        <v>0</v>
      </c>
      <c r="E36" s="7">
        <v>0</v>
      </c>
      <c r="F36" s="7">
        <v>0</v>
      </c>
      <c r="G36" s="7">
        <v>0</v>
      </c>
      <c r="H36" s="7">
        <v>0</v>
      </c>
      <c r="I36" s="7">
        <v>0</v>
      </c>
      <c r="J36" s="7">
        <v>0</v>
      </c>
      <c r="K36" s="7">
        <v>0</v>
      </c>
      <c r="L36" s="7">
        <v>0</v>
      </c>
      <c r="M36" s="7">
        <v>0</v>
      </c>
      <c r="N36" s="7">
        <v>0</v>
      </c>
      <c r="O36" s="7">
        <v>9999</v>
      </c>
      <c r="P36" s="7">
        <v>9999</v>
      </c>
      <c r="Q36" s="7">
        <v>9999</v>
      </c>
      <c r="R36" s="7">
        <v>9999</v>
      </c>
      <c r="S36" s="7">
        <v>0</v>
      </c>
      <c r="T36" s="7">
        <v>0</v>
      </c>
      <c r="U36" s="7">
        <v>0</v>
      </c>
      <c r="V36" s="7">
        <v>0</v>
      </c>
      <c r="W36" s="7">
        <v>0</v>
      </c>
      <c r="X36" s="7">
        <v>0</v>
      </c>
      <c r="Y36" s="7">
        <v>0</v>
      </c>
      <c r="Z36" s="7">
        <v>0</v>
      </c>
      <c r="AA36" s="7">
        <v>0</v>
      </c>
      <c r="AB36" s="7">
        <v>0</v>
      </c>
      <c r="AC36" s="7">
        <v>0</v>
      </c>
      <c r="AD36" s="7">
        <v>0</v>
      </c>
      <c r="AE36" s="7">
        <v>0</v>
      </c>
    </row>
    <row r="37" spans="1:42">
      <c r="B37" s="7" t="s">
        <v>26</v>
      </c>
      <c r="C37" s="7">
        <v>0</v>
      </c>
      <c r="D37" s="7">
        <v>0</v>
      </c>
      <c r="E37" s="7">
        <v>0</v>
      </c>
      <c r="F37" s="7">
        <v>0</v>
      </c>
      <c r="G37" s="7">
        <v>0</v>
      </c>
      <c r="H37" s="7">
        <v>0</v>
      </c>
      <c r="I37" s="7">
        <v>0</v>
      </c>
      <c r="J37" s="7">
        <v>0</v>
      </c>
      <c r="K37" s="7">
        <v>0</v>
      </c>
      <c r="L37" s="7">
        <v>0</v>
      </c>
      <c r="M37" s="7">
        <v>0</v>
      </c>
      <c r="N37" s="7">
        <v>0</v>
      </c>
      <c r="O37" s="7">
        <v>9999</v>
      </c>
      <c r="P37" s="7">
        <v>9999</v>
      </c>
      <c r="Q37" s="7">
        <v>9999</v>
      </c>
      <c r="R37" s="7">
        <v>9999</v>
      </c>
      <c r="S37" s="7">
        <v>0</v>
      </c>
      <c r="T37" s="7">
        <v>0</v>
      </c>
      <c r="U37" s="7">
        <v>0</v>
      </c>
      <c r="V37" s="7">
        <v>0</v>
      </c>
      <c r="W37" s="7">
        <v>0</v>
      </c>
      <c r="X37" s="7">
        <v>0</v>
      </c>
      <c r="Y37" s="7">
        <v>0</v>
      </c>
      <c r="Z37" s="7">
        <v>0</v>
      </c>
      <c r="AA37" s="7">
        <v>0</v>
      </c>
      <c r="AB37" s="7">
        <v>0</v>
      </c>
      <c r="AC37" s="7">
        <v>0</v>
      </c>
      <c r="AD37" s="7">
        <v>0</v>
      </c>
      <c r="AE37" s="7">
        <v>0</v>
      </c>
    </row>
    <row r="38" spans="1:42">
      <c r="B38" s="7" t="s">
        <v>27</v>
      </c>
      <c r="C38" s="7">
        <v>0</v>
      </c>
      <c r="D38" s="7">
        <v>0</v>
      </c>
      <c r="E38" s="7">
        <v>0</v>
      </c>
      <c r="F38" s="7">
        <v>0</v>
      </c>
      <c r="G38" s="7">
        <v>0</v>
      </c>
      <c r="H38" s="7">
        <v>0</v>
      </c>
      <c r="I38" s="7">
        <v>0</v>
      </c>
      <c r="J38" s="7">
        <v>0</v>
      </c>
      <c r="K38" s="7">
        <v>0</v>
      </c>
      <c r="L38" s="7">
        <v>0</v>
      </c>
      <c r="M38" s="7">
        <v>0</v>
      </c>
      <c r="N38" s="7">
        <v>0</v>
      </c>
      <c r="O38" s="7">
        <v>9999</v>
      </c>
      <c r="P38" s="7">
        <v>9999</v>
      </c>
      <c r="Q38" s="7">
        <v>9999</v>
      </c>
      <c r="R38" s="7">
        <v>9999</v>
      </c>
      <c r="S38" s="7">
        <v>0</v>
      </c>
      <c r="T38" s="7">
        <v>0</v>
      </c>
      <c r="U38" s="7">
        <v>0</v>
      </c>
      <c r="V38" s="7">
        <v>0</v>
      </c>
      <c r="W38" s="7">
        <v>0</v>
      </c>
      <c r="X38" s="7">
        <v>0</v>
      </c>
      <c r="Y38" s="7">
        <v>0</v>
      </c>
      <c r="Z38" s="7">
        <v>0</v>
      </c>
      <c r="AA38" s="7">
        <v>0</v>
      </c>
      <c r="AB38" s="7">
        <v>0</v>
      </c>
      <c r="AC38" s="7">
        <v>0</v>
      </c>
      <c r="AD38" s="7">
        <v>0</v>
      </c>
      <c r="AE38" s="7">
        <v>0</v>
      </c>
    </row>
    <row r="39" spans="1:42">
      <c r="B39" s="7" t="s">
        <v>28</v>
      </c>
      <c r="C39" s="7">
        <v>0</v>
      </c>
      <c r="D39" s="7">
        <v>0</v>
      </c>
      <c r="E39" s="7">
        <v>0</v>
      </c>
      <c r="F39" s="7">
        <v>0</v>
      </c>
      <c r="G39" s="7">
        <v>0</v>
      </c>
      <c r="H39" s="7">
        <v>0</v>
      </c>
      <c r="I39" s="7">
        <v>0</v>
      </c>
      <c r="J39" s="7">
        <v>0</v>
      </c>
      <c r="K39" s="7">
        <v>0</v>
      </c>
      <c r="L39" s="7">
        <v>0</v>
      </c>
      <c r="M39" s="7">
        <v>0</v>
      </c>
      <c r="N39" s="7">
        <v>0</v>
      </c>
      <c r="O39" s="7">
        <v>9999</v>
      </c>
      <c r="P39" s="7">
        <v>9999</v>
      </c>
      <c r="Q39" s="7">
        <v>9999</v>
      </c>
      <c r="R39" s="7">
        <v>9999</v>
      </c>
      <c r="S39" s="7">
        <v>0</v>
      </c>
      <c r="T39" s="7">
        <v>0</v>
      </c>
      <c r="U39" s="7">
        <v>0</v>
      </c>
      <c r="V39" s="7">
        <v>0</v>
      </c>
      <c r="W39" s="7">
        <v>0</v>
      </c>
      <c r="X39" s="7">
        <v>0</v>
      </c>
      <c r="Y39" s="7">
        <v>0</v>
      </c>
      <c r="Z39" s="7">
        <v>0</v>
      </c>
      <c r="AA39" s="7">
        <v>0</v>
      </c>
      <c r="AB39" s="7">
        <v>0</v>
      </c>
      <c r="AC39" s="7">
        <v>0</v>
      </c>
      <c r="AD39" s="7">
        <v>0</v>
      </c>
      <c r="AE39" s="7">
        <v>0</v>
      </c>
    </row>
    <row r="41" spans="1:42">
      <c r="A41" s="1" t="s">
        <v>51</v>
      </c>
    </row>
    <row r="42" spans="1:42">
      <c r="C42" t="s">
        <v>52</v>
      </c>
      <c r="H42" t="s">
        <v>53</v>
      </c>
      <c r="M42" t="s">
        <v>54</v>
      </c>
      <c r="R42" t="s">
        <v>55</v>
      </c>
      <c r="W42" t="s">
        <v>56</v>
      </c>
    </row>
    <row r="43" spans="1:42">
      <c r="C43" t="s">
        <v>57</v>
      </c>
      <c r="D43" t="s">
        <v>57</v>
      </c>
      <c r="E43" t="s">
        <v>57</v>
      </c>
      <c r="F43" t="s">
        <v>57</v>
      </c>
      <c r="G43" t="s">
        <v>57</v>
      </c>
      <c r="H43" t="s">
        <v>9</v>
      </c>
      <c r="I43" t="s">
        <v>9</v>
      </c>
      <c r="J43" t="s">
        <v>9</v>
      </c>
      <c r="K43" t="s">
        <v>9</v>
      </c>
      <c r="L43" t="s">
        <v>9</v>
      </c>
      <c r="M43" t="s">
        <v>10</v>
      </c>
      <c r="N43" t="s">
        <v>10</v>
      </c>
      <c r="O43" t="s">
        <v>10</v>
      </c>
      <c r="P43" t="s">
        <v>10</v>
      </c>
      <c r="Q43" t="s">
        <v>10</v>
      </c>
      <c r="R43" t="s">
        <v>11</v>
      </c>
      <c r="S43" t="s">
        <v>11</v>
      </c>
      <c r="T43" t="s">
        <v>11</v>
      </c>
      <c r="U43" t="s">
        <v>11</v>
      </c>
      <c r="V43" t="s">
        <v>11</v>
      </c>
      <c r="W43" t="s">
        <v>58</v>
      </c>
      <c r="X43" t="s">
        <v>58</v>
      </c>
      <c r="Y43" t="s">
        <v>58</v>
      </c>
      <c r="Z43" t="s">
        <v>58</v>
      </c>
      <c r="AA43" t="s">
        <v>58</v>
      </c>
      <c r="AB43" t="s">
        <v>59</v>
      </c>
      <c r="AG43" t="s">
        <v>60</v>
      </c>
    </row>
    <row r="44" spans="1:42">
      <c r="B44" s="6" t="s">
        <v>61</v>
      </c>
      <c r="C44" s="6" t="s">
        <v>62</v>
      </c>
      <c r="D44" s="6" t="s">
        <v>63</v>
      </c>
      <c r="E44" s="6" t="s">
        <v>64</v>
      </c>
      <c r="F44" s="6" t="s">
        <v>65</v>
      </c>
      <c r="G44" s="6" t="s">
        <v>66</v>
      </c>
      <c r="H44" s="6" t="s">
        <v>67</v>
      </c>
      <c r="I44" s="6" t="s">
        <v>63</v>
      </c>
      <c r="J44" s="6" t="s">
        <v>64</v>
      </c>
      <c r="K44" s="6" t="s">
        <v>65</v>
      </c>
      <c r="L44" s="6" t="s">
        <v>66</v>
      </c>
      <c r="M44" s="6" t="s">
        <v>67</v>
      </c>
      <c r="N44" s="6" t="s">
        <v>63</v>
      </c>
      <c r="O44" s="6" t="s">
        <v>64</v>
      </c>
      <c r="P44" s="6" t="s">
        <v>65</v>
      </c>
      <c r="Q44" s="6" t="s">
        <v>66</v>
      </c>
      <c r="R44" s="6" t="s">
        <v>67</v>
      </c>
      <c r="S44" s="6" t="s">
        <v>63</v>
      </c>
      <c r="T44" s="6" t="s">
        <v>64</v>
      </c>
      <c r="U44" s="6" t="s">
        <v>65</v>
      </c>
      <c r="V44" s="6" t="s">
        <v>66</v>
      </c>
      <c r="W44" s="6" t="s">
        <v>67</v>
      </c>
      <c r="X44" s="6" t="s">
        <v>63</v>
      </c>
      <c r="Y44" s="6" t="s">
        <v>64</v>
      </c>
      <c r="Z44" s="6" t="s">
        <v>65</v>
      </c>
      <c r="AA44" s="6" t="s">
        <v>66</v>
      </c>
      <c r="AB44" s="6" t="s">
        <v>67</v>
      </c>
      <c r="AC44" s="6" t="s">
        <v>63</v>
      </c>
      <c r="AD44" s="6" t="s">
        <v>64</v>
      </c>
      <c r="AE44" s="6" t="s">
        <v>65</v>
      </c>
      <c r="AF44" s="6" t="s">
        <v>66</v>
      </c>
      <c r="AG44" s="6" t="s">
        <v>67</v>
      </c>
      <c r="AH44" s="6" t="s">
        <v>63</v>
      </c>
      <c r="AI44" s="6" t="s">
        <v>64</v>
      </c>
      <c r="AJ44" s="6" t="s">
        <v>65</v>
      </c>
      <c r="AK44" s="6" t="s">
        <v>66</v>
      </c>
    </row>
    <row r="45" spans="1:42">
      <c r="A45" s="516" t="s">
        <v>838</v>
      </c>
      <c r="B45" s="499" t="s">
        <v>34</v>
      </c>
      <c r="C45" s="517">
        <f>AN46*AN48</f>
        <v>349.8</v>
      </c>
      <c r="D45" s="528">
        <v>1.0000000000000001E+50</v>
      </c>
      <c r="E45" s="517">
        <f>IF(A46=1,AO51,AO52)</f>
        <v>3.6509999999999998</v>
      </c>
      <c r="F45" s="517">
        <f>IF(A46=1,AP51,AP52)</f>
        <v>2.661</v>
      </c>
      <c r="G45" s="528">
        <v>1.0000000000000001E+50</v>
      </c>
      <c r="H45" s="7">
        <v>0</v>
      </c>
      <c r="I45" s="7">
        <v>0</v>
      </c>
      <c r="J45" s="7">
        <v>0</v>
      </c>
      <c r="K45" s="7">
        <v>0</v>
      </c>
      <c r="L45" s="7">
        <v>0</v>
      </c>
      <c r="M45" s="7">
        <v>0</v>
      </c>
      <c r="N45" s="7">
        <v>0</v>
      </c>
      <c r="O45" s="7">
        <v>0</v>
      </c>
      <c r="P45" s="7">
        <v>0</v>
      </c>
      <c r="Q45" s="7">
        <v>0</v>
      </c>
      <c r="R45" s="7">
        <v>0</v>
      </c>
      <c r="S45" s="7">
        <v>0</v>
      </c>
      <c r="T45" s="7">
        <v>0</v>
      </c>
      <c r="U45" s="7">
        <v>0</v>
      </c>
      <c r="V45" s="7">
        <v>0</v>
      </c>
      <c r="W45" s="7">
        <v>0</v>
      </c>
      <c r="X45" s="7">
        <v>0</v>
      </c>
      <c r="Y45" s="7">
        <v>0</v>
      </c>
      <c r="Z45" s="7">
        <v>0</v>
      </c>
      <c r="AA45" s="7">
        <v>0</v>
      </c>
      <c r="AB45" s="7">
        <v>0</v>
      </c>
      <c r="AC45" s="7">
        <v>0</v>
      </c>
      <c r="AD45" s="7">
        <v>0</v>
      </c>
      <c r="AE45" s="7">
        <v>0</v>
      </c>
      <c r="AF45" s="7">
        <v>0</v>
      </c>
      <c r="AG45" s="7">
        <v>0</v>
      </c>
      <c r="AH45" s="7">
        <v>0</v>
      </c>
      <c r="AI45" s="7">
        <v>0</v>
      </c>
      <c r="AJ45" s="7">
        <v>0</v>
      </c>
      <c r="AK45" s="7">
        <v>0</v>
      </c>
      <c r="AL45" s="499"/>
      <c r="AM45" s="499"/>
      <c r="AN45" s="516" t="s">
        <v>839</v>
      </c>
      <c r="AO45" s="499"/>
      <c r="AP45" s="499"/>
    </row>
    <row r="46" spans="1:42">
      <c r="A46" s="518">
        <v>1</v>
      </c>
      <c r="B46" s="499" t="s">
        <v>35</v>
      </c>
      <c r="C46" s="7">
        <v>0</v>
      </c>
      <c r="D46" s="7">
        <v>0</v>
      </c>
      <c r="E46" s="7">
        <v>0</v>
      </c>
      <c r="F46" s="7">
        <v>0</v>
      </c>
      <c r="G46" s="7">
        <v>0</v>
      </c>
      <c r="H46" s="7">
        <v>0</v>
      </c>
      <c r="I46" s="7">
        <v>0</v>
      </c>
      <c r="J46" s="7">
        <v>0</v>
      </c>
      <c r="K46" s="7">
        <v>0</v>
      </c>
      <c r="L46" s="7">
        <v>0</v>
      </c>
      <c r="M46" s="7">
        <v>0</v>
      </c>
      <c r="N46" s="7">
        <v>0</v>
      </c>
      <c r="O46" s="7">
        <v>0</v>
      </c>
      <c r="P46" s="7">
        <v>0</v>
      </c>
      <c r="Q46" s="7">
        <v>0</v>
      </c>
      <c r="R46" s="7">
        <v>0</v>
      </c>
      <c r="S46" s="7">
        <v>0</v>
      </c>
      <c r="T46" s="7">
        <v>0</v>
      </c>
      <c r="U46" s="7">
        <v>0</v>
      </c>
      <c r="V46" s="7">
        <v>0</v>
      </c>
      <c r="W46" s="7">
        <v>0</v>
      </c>
      <c r="X46" s="7">
        <v>0</v>
      </c>
      <c r="Y46" s="7">
        <v>0</v>
      </c>
      <c r="Z46" s="7">
        <v>0</v>
      </c>
      <c r="AA46" s="7">
        <v>0</v>
      </c>
      <c r="AB46" s="7">
        <v>0</v>
      </c>
      <c r="AC46" s="7">
        <v>0</v>
      </c>
      <c r="AD46" s="7">
        <v>0</v>
      </c>
      <c r="AE46" s="7">
        <v>0</v>
      </c>
      <c r="AF46" s="7">
        <v>0</v>
      </c>
      <c r="AG46" s="7">
        <v>0</v>
      </c>
      <c r="AH46" s="7">
        <v>0</v>
      </c>
      <c r="AI46" s="7">
        <v>0</v>
      </c>
      <c r="AJ46" s="7">
        <v>0</v>
      </c>
      <c r="AK46" s="7">
        <v>0</v>
      </c>
      <c r="AL46" s="499"/>
      <c r="AM46" s="499"/>
      <c r="AN46" s="518">
        <v>6.3600000000000004E-2</v>
      </c>
      <c r="AO46" s="499"/>
      <c r="AP46" s="499"/>
    </row>
    <row r="47" spans="1:42">
      <c r="A47" s="499"/>
      <c r="B47" s="499" t="s">
        <v>36</v>
      </c>
      <c r="C47" s="7">
        <v>0</v>
      </c>
      <c r="D47" s="7">
        <v>0</v>
      </c>
      <c r="E47" s="7">
        <v>0</v>
      </c>
      <c r="F47" s="7">
        <v>0</v>
      </c>
      <c r="G47" s="7">
        <v>0</v>
      </c>
      <c r="H47" s="7">
        <v>0</v>
      </c>
      <c r="I47" s="7">
        <v>0</v>
      </c>
      <c r="J47" s="7">
        <v>0</v>
      </c>
      <c r="K47" s="7">
        <v>0</v>
      </c>
      <c r="L47" s="7">
        <v>0</v>
      </c>
      <c r="M47" s="7">
        <v>0</v>
      </c>
      <c r="N47" s="7">
        <v>0</v>
      </c>
      <c r="O47" s="7">
        <v>0</v>
      </c>
      <c r="P47" s="7">
        <v>0</v>
      </c>
      <c r="Q47" s="7">
        <v>0</v>
      </c>
      <c r="R47" s="7">
        <v>0</v>
      </c>
      <c r="S47" s="7">
        <v>0</v>
      </c>
      <c r="T47" s="7">
        <v>0</v>
      </c>
      <c r="U47" s="7">
        <v>0</v>
      </c>
      <c r="V47" s="7">
        <v>0</v>
      </c>
      <c r="W47" s="7">
        <v>0</v>
      </c>
      <c r="X47" s="7">
        <v>0</v>
      </c>
      <c r="Y47" s="7">
        <v>0</v>
      </c>
      <c r="Z47" s="7">
        <v>0</v>
      </c>
      <c r="AA47" s="7">
        <v>0</v>
      </c>
      <c r="AB47" s="7">
        <v>0</v>
      </c>
      <c r="AC47" s="7">
        <v>0</v>
      </c>
      <c r="AD47" s="7">
        <v>0</v>
      </c>
      <c r="AE47" s="7">
        <v>0</v>
      </c>
      <c r="AF47" s="7">
        <v>0</v>
      </c>
      <c r="AG47" s="7">
        <v>0</v>
      </c>
      <c r="AH47" s="7">
        <v>0</v>
      </c>
      <c r="AI47" s="7">
        <v>0</v>
      </c>
      <c r="AJ47" s="7">
        <v>0</v>
      </c>
      <c r="AK47" s="7">
        <v>0</v>
      </c>
      <c r="AL47" s="499"/>
      <c r="AM47" s="499"/>
      <c r="AN47" s="516" t="s">
        <v>840</v>
      </c>
      <c r="AO47" s="499"/>
      <c r="AP47" s="499"/>
    </row>
    <row r="48" spans="1:42">
      <c r="A48" s="499"/>
      <c r="B48" s="499" t="s">
        <v>37</v>
      </c>
      <c r="C48" s="7">
        <v>0</v>
      </c>
      <c r="D48" s="7">
        <v>0</v>
      </c>
      <c r="E48" s="7">
        <v>0</v>
      </c>
      <c r="F48" s="7">
        <v>0</v>
      </c>
      <c r="G48" s="7">
        <v>0</v>
      </c>
      <c r="H48" s="7">
        <v>0</v>
      </c>
      <c r="I48" s="7">
        <v>0</v>
      </c>
      <c r="J48" s="7">
        <v>0</v>
      </c>
      <c r="K48" s="7">
        <v>0</v>
      </c>
      <c r="L48" s="7">
        <v>0</v>
      </c>
      <c r="M48" s="7">
        <v>0</v>
      </c>
      <c r="N48" s="7">
        <v>0</v>
      </c>
      <c r="O48" s="7">
        <v>0</v>
      </c>
      <c r="P48" s="7">
        <v>0</v>
      </c>
      <c r="Q48" s="7">
        <v>0</v>
      </c>
      <c r="R48" s="7">
        <v>0</v>
      </c>
      <c r="S48" s="7">
        <v>0</v>
      </c>
      <c r="T48" s="7">
        <v>0</v>
      </c>
      <c r="U48" s="7">
        <v>0</v>
      </c>
      <c r="V48" s="7">
        <v>0</v>
      </c>
      <c r="W48" s="7">
        <v>0</v>
      </c>
      <c r="X48" s="7">
        <v>0</v>
      </c>
      <c r="Y48" s="7">
        <v>0</v>
      </c>
      <c r="Z48" s="7">
        <v>0</v>
      </c>
      <c r="AA48" s="7">
        <v>0</v>
      </c>
      <c r="AB48" s="7">
        <v>0</v>
      </c>
      <c r="AC48" s="7">
        <v>0</v>
      </c>
      <c r="AD48" s="7">
        <v>0</v>
      </c>
      <c r="AE48" s="7">
        <v>0</v>
      </c>
      <c r="AF48" s="7">
        <v>0</v>
      </c>
      <c r="AG48" s="7">
        <v>0</v>
      </c>
      <c r="AH48" s="7">
        <v>0</v>
      </c>
      <c r="AI48" s="7">
        <v>0</v>
      </c>
      <c r="AJ48" s="7">
        <v>0</v>
      </c>
      <c r="AK48" s="7">
        <v>0</v>
      </c>
      <c r="AL48" s="499"/>
      <c r="AM48" s="499"/>
      <c r="AN48" s="518">
        <v>5500</v>
      </c>
      <c r="AO48" s="499"/>
      <c r="AP48" s="499"/>
    </row>
    <row r="49" spans="1:42">
      <c r="A49" s="499"/>
      <c r="B49" s="499" t="s">
        <v>38</v>
      </c>
      <c r="C49" s="7">
        <v>0</v>
      </c>
      <c r="D49" s="7">
        <v>0</v>
      </c>
      <c r="E49" s="7">
        <v>0</v>
      </c>
      <c r="F49" s="7">
        <v>0</v>
      </c>
      <c r="G49" s="7">
        <v>0</v>
      </c>
      <c r="H49" s="7">
        <v>0</v>
      </c>
      <c r="I49" s="7">
        <v>0</v>
      </c>
      <c r="J49" s="7">
        <v>0</v>
      </c>
      <c r="K49" s="7">
        <v>0</v>
      </c>
      <c r="L49" s="7">
        <v>0</v>
      </c>
      <c r="M49" s="7">
        <v>0</v>
      </c>
      <c r="N49" s="7">
        <v>0</v>
      </c>
      <c r="O49" s="7">
        <v>0</v>
      </c>
      <c r="P49" s="7">
        <v>0</v>
      </c>
      <c r="Q49" s="7">
        <v>0</v>
      </c>
      <c r="R49" s="7">
        <v>0</v>
      </c>
      <c r="S49" s="7">
        <v>0</v>
      </c>
      <c r="T49" s="7">
        <v>0</v>
      </c>
      <c r="U49" s="7">
        <v>0</v>
      </c>
      <c r="V49" s="7">
        <v>0</v>
      </c>
      <c r="W49" s="7">
        <v>0</v>
      </c>
      <c r="X49" s="7">
        <v>0</v>
      </c>
      <c r="Y49" s="7">
        <v>0</v>
      </c>
      <c r="Z49" s="7">
        <v>0</v>
      </c>
      <c r="AA49" s="7">
        <v>0</v>
      </c>
      <c r="AB49" s="7">
        <v>0</v>
      </c>
      <c r="AC49" s="7">
        <v>0</v>
      </c>
      <c r="AD49" s="7">
        <v>0</v>
      </c>
      <c r="AE49" s="7">
        <v>0</v>
      </c>
      <c r="AF49" s="7">
        <v>0</v>
      </c>
      <c r="AG49" s="7">
        <v>0</v>
      </c>
      <c r="AH49" s="7">
        <v>0</v>
      </c>
      <c r="AI49" s="7">
        <v>0</v>
      </c>
      <c r="AJ49" s="7">
        <v>0</v>
      </c>
      <c r="AK49" s="7">
        <v>0</v>
      </c>
      <c r="AL49" s="499"/>
      <c r="AM49" s="499"/>
      <c r="AN49" s="499"/>
      <c r="AO49" s="499"/>
      <c r="AP49" s="499"/>
    </row>
    <row r="50" spans="1:42">
      <c r="A50" s="499"/>
      <c r="B50" s="499" t="s">
        <v>39</v>
      </c>
      <c r="C50" s="7">
        <v>0</v>
      </c>
      <c r="D50" s="7">
        <v>0</v>
      </c>
      <c r="E50" s="7">
        <v>0</v>
      </c>
      <c r="F50" s="7">
        <v>0</v>
      </c>
      <c r="G50" s="7">
        <v>0</v>
      </c>
      <c r="H50" s="7">
        <v>0</v>
      </c>
      <c r="I50" s="7">
        <v>0</v>
      </c>
      <c r="J50" s="7">
        <v>0</v>
      </c>
      <c r="K50" s="7">
        <v>0</v>
      </c>
      <c r="L50" s="7">
        <v>0</v>
      </c>
      <c r="M50" s="7">
        <v>0</v>
      </c>
      <c r="N50" s="7">
        <v>0</v>
      </c>
      <c r="O50" s="7">
        <v>0</v>
      </c>
      <c r="P50" s="7">
        <v>0</v>
      </c>
      <c r="Q50" s="7">
        <v>0</v>
      </c>
      <c r="R50" s="7">
        <v>0</v>
      </c>
      <c r="S50" s="7">
        <v>0</v>
      </c>
      <c r="T50" s="7">
        <v>0</v>
      </c>
      <c r="U50" s="7">
        <v>0</v>
      </c>
      <c r="V50" s="7">
        <v>0</v>
      </c>
      <c r="W50" s="7">
        <v>0</v>
      </c>
      <c r="X50" s="7">
        <v>0</v>
      </c>
      <c r="Y50" s="7">
        <v>0</v>
      </c>
      <c r="Z50" s="7">
        <v>0</v>
      </c>
      <c r="AA50" s="7">
        <v>0</v>
      </c>
      <c r="AB50" s="7">
        <v>0</v>
      </c>
      <c r="AC50" s="7">
        <v>0</v>
      </c>
      <c r="AD50" s="7">
        <v>0</v>
      </c>
      <c r="AE50" s="7">
        <v>0</v>
      </c>
      <c r="AF50" s="7">
        <v>0</v>
      </c>
      <c r="AG50" s="7">
        <v>0</v>
      </c>
      <c r="AH50" s="7">
        <v>0</v>
      </c>
      <c r="AI50" s="7">
        <v>0</v>
      </c>
      <c r="AJ50" s="7">
        <v>0</v>
      </c>
      <c r="AK50" s="7">
        <v>0</v>
      </c>
      <c r="AL50" s="499"/>
      <c r="AM50" s="499"/>
      <c r="AN50" s="519" t="s">
        <v>841</v>
      </c>
      <c r="AO50" s="520" t="s">
        <v>68</v>
      </c>
      <c r="AP50" s="521" t="s">
        <v>69</v>
      </c>
    </row>
    <row r="51" spans="1:42">
      <c r="A51" s="499"/>
      <c r="B51" s="499" t="s">
        <v>40</v>
      </c>
      <c r="C51" s="7">
        <v>0</v>
      </c>
      <c r="D51" s="7">
        <v>0</v>
      </c>
      <c r="E51" s="7">
        <v>0</v>
      </c>
      <c r="F51" s="7">
        <v>0</v>
      </c>
      <c r="G51" s="7">
        <v>0</v>
      </c>
      <c r="H51" s="7">
        <v>0</v>
      </c>
      <c r="I51" s="7">
        <v>0</v>
      </c>
      <c r="J51" s="7">
        <v>0</v>
      </c>
      <c r="K51" s="7">
        <v>0</v>
      </c>
      <c r="L51" s="7">
        <v>0</v>
      </c>
      <c r="M51" s="7">
        <v>0</v>
      </c>
      <c r="N51" s="7">
        <v>0</v>
      </c>
      <c r="O51" s="7">
        <v>0</v>
      </c>
      <c r="P51" s="7">
        <v>0</v>
      </c>
      <c r="Q51" s="7">
        <v>0</v>
      </c>
      <c r="R51" s="7">
        <v>0</v>
      </c>
      <c r="S51" s="7">
        <v>0</v>
      </c>
      <c r="T51" s="7">
        <v>0</v>
      </c>
      <c r="U51" s="7">
        <v>0</v>
      </c>
      <c r="V51" s="7">
        <v>0</v>
      </c>
      <c r="W51" s="7">
        <v>0</v>
      </c>
      <c r="X51" s="7">
        <v>0</v>
      </c>
      <c r="Y51" s="7">
        <v>0</v>
      </c>
      <c r="Z51" s="7">
        <v>0</v>
      </c>
      <c r="AA51" s="7">
        <v>0</v>
      </c>
      <c r="AB51" s="7">
        <v>0</v>
      </c>
      <c r="AC51" s="7">
        <v>0</v>
      </c>
      <c r="AD51" s="7">
        <v>0</v>
      </c>
      <c r="AE51" s="7">
        <v>0</v>
      </c>
      <c r="AF51" s="7">
        <v>0</v>
      </c>
      <c r="AG51" s="7">
        <v>0</v>
      </c>
      <c r="AH51" s="7">
        <v>0</v>
      </c>
      <c r="AI51" s="7">
        <v>0</v>
      </c>
      <c r="AJ51" s="7">
        <v>0</v>
      </c>
      <c r="AK51" s="7">
        <v>0</v>
      </c>
      <c r="AL51" s="499"/>
      <c r="AM51" s="499"/>
      <c r="AN51" s="522" t="s">
        <v>842</v>
      </c>
      <c r="AO51" s="523">
        <v>3.6509999999999998</v>
      </c>
      <c r="AP51" s="524">
        <v>2.661</v>
      </c>
    </row>
    <row r="52" spans="1:42">
      <c r="A52" s="499"/>
      <c r="B52" s="499" t="s">
        <v>41</v>
      </c>
      <c r="C52" s="7">
        <v>0</v>
      </c>
      <c r="D52" s="7">
        <v>0</v>
      </c>
      <c r="E52" s="7">
        <v>0</v>
      </c>
      <c r="F52" s="7">
        <v>0</v>
      </c>
      <c r="G52" s="7">
        <v>0</v>
      </c>
      <c r="H52" s="7">
        <v>0</v>
      </c>
      <c r="I52" s="7">
        <v>0</v>
      </c>
      <c r="J52" s="7">
        <v>0</v>
      </c>
      <c r="K52" s="7">
        <v>0</v>
      </c>
      <c r="L52" s="7">
        <v>0</v>
      </c>
      <c r="M52" s="7">
        <v>0</v>
      </c>
      <c r="N52" s="7">
        <v>0</v>
      </c>
      <c r="O52" s="7">
        <v>0</v>
      </c>
      <c r="P52" s="7">
        <v>0</v>
      </c>
      <c r="Q52" s="7">
        <v>0</v>
      </c>
      <c r="R52" s="7">
        <v>0</v>
      </c>
      <c r="S52" s="7">
        <v>0</v>
      </c>
      <c r="T52" s="7">
        <v>0</v>
      </c>
      <c r="U52" s="7">
        <v>0</v>
      </c>
      <c r="V52" s="7">
        <v>0</v>
      </c>
      <c r="W52" s="7">
        <v>0</v>
      </c>
      <c r="X52" s="7">
        <v>0</v>
      </c>
      <c r="Y52" s="7">
        <v>0</v>
      </c>
      <c r="Z52" s="7">
        <v>0</v>
      </c>
      <c r="AA52" s="7">
        <v>0</v>
      </c>
      <c r="AB52" s="7">
        <v>0</v>
      </c>
      <c r="AC52" s="7">
        <v>0</v>
      </c>
      <c r="AD52" s="7">
        <v>0</v>
      </c>
      <c r="AE52" s="7">
        <v>0</v>
      </c>
      <c r="AF52" s="7">
        <v>0</v>
      </c>
      <c r="AG52" s="7">
        <v>0</v>
      </c>
      <c r="AH52" s="7">
        <v>0</v>
      </c>
      <c r="AI52" s="7">
        <v>0</v>
      </c>
      <c r="AJ52" s="7">
        <v>0</v>
      </c>
      <c r="AK52" s="7">
        <v>0</v>
      </c>
      <c r="AL52" s="499"/>
      <c r="AM52" s="499"/>
      <c r="AN52" s="525" t="s">
        <v>843</v>
      </c>
      <c r="AO52" s="526">
        <v>6.101</v>
      </c>
      <c r="AP52" s="527">
        <v>4.5979999999999999</v>
      </c>
    </row>
    <row r="53" spans="1:42">
      <c r="B53" t="s">
        <v>42</v>
      </c>
      <c r="C53" s="7">
        <v>0</v>
      </c>
      <c r="D53" s="7">
        <v>0</v>
      </c>
      <c r="E53" s="7">
        <v>0</v>
      </c>
      <c r="F53" s="7">
        <v>0</v>
      </c>
      <c r="G53" s="7">
        <v>0</v>
      </c>
      <c r="H53" s="7">
        <v>0</v>
      </c>
      <c r="I53" s="7">
        <v>0</v>
      </c>
      <c r="J53" s="7">
        <v>0</v>
      </c>
      <c r="K53" s="7">
        <v>0</v>
      </c>
      <c r="L53" s="7">
        <v>0</v>
      </c>
      <c r="M53" s="7">
        <v>0</v>
      </c>
      <c r="N53" s="7">
        <v>0</v>
      </c>
      <c r="O53" s="7">
        <v>0</v>
      </c>
      <c r="P53" s="7">
        <v>0</v>
      </c>
      <c r="Q53" s="7">
        <v>0</v>
      </c>
      <c r="R53" s="7">
        <v>0</v>
      </c>
      <c r="S53" s="7">
        <v>0</v>
      </c>
      <c r="T53" s="7">
        <v>0</v>
      </c>
      <c r="U53" s="7">
        <v>0</v>
      </c>
      <c r="V53" s="7">
        <v>0</v>
      </c>
      <c r="W53" s="7">
        <v>0</v>
      </c>
      <c r="X53" s="7">
        <v>0</v>
      </c>
      <c r="Y53" s="7">
        <v>0</v>
      </c>
      <c r="Z53" s="7">
        <v>0</v>
      </c>
      <c r="AA53" s="7">
        <v>0</v>
      </c>
      <c r="AB53" s="7">
        <v>0</v>
      </c>
      <c r="AC53" s="7">
        <v>0</v>
      </c>
      <c r="AD53" s="7">
        <v>0</v>
      </c>
      <c r="AE53" s="7">
        <v>0</v>
      </c>
      <c r="AF53" s="7">
        <v>0</v>
      </c>
      <c r="AG53" s="7">
        <v>0</v>
      </c>
      <c r="AH53" s="7">
        <v>0</v>
      </c>
      <c r="AI53" s="7">
        <v>0</v>
      </c>
      <c r="AJ53" s="7">
        <v>0</v>
      </c>
      <c r="AK53" s="7">
        <v>0</v>
      </c>
    </row>
    <row r="54" spans="1:42">
      <c r="B54" t="s">
        <v>43</v>
      </c>
      <c r="C54" s="7">
        <v>0</v>
      </c>
      <c r="D54" s="7">
        <v>0</v>
      </c>
      <c r="E54" s="7">
        <v>0</v>
      </c>
      <c r="F54" s="7">
        <v>0</v>
      </c>
      <c r="G54" s="7">
        <v>0</v>
      </c>
      <c r="H54" s="7">
        <v>0</v>
      </c>
      <c r="I54" s="7">
        <v>0</v>
      </c>
      <c r="J54" s="7">
        <v>0</v>
      </c>
      <c r="K54" s="7">
        <v>0</v>
      </c>
      <c r="L54" s="7">
        <v>0</v>
      </c>
      <c r="M54" s="7">
        <v>0</v>
      </c>
      <c r="N54" s="7">
        <v>0</v>
      </c>
      <c r="O54" s="7">
        <v>0</v>
      </c>
      <c r="P54" s="7">
        <v>0</v>
      </c>
      <c r="Q54" s="7">
        <v>0</v>
      </c>
      <c r="R54" s="7">
        <v>0</v>
      </c>
      <c r="S54" s="7">
        <v>0</v>
      </c>
      <c r="T54" s="7">
        <v>0</v>
      </c>
      <c r="U54" s="7">
        <v>0</v>
      </c>
      <c r="V54" s="7">
        <v>0</v>
      </c>
      <c r="W54" s="7">
        <v>0</v>
      </c>
      <c r="X54" s="7">
        <v>0</v>
      </c>
      <c r="Y54" s="7">
        <v>0</v>
      </c>
      <c r="Z54" s="7">
        <v>0</v>
      </c>
      <c r="AA54" s="7">
        <v>0</v>
      </c>
      <c r="AB54" s="7">
        <v>0</v>
      </c>
      <c r="AC54" s="7">
        <v>0</v>
      </c>
      <c r="AD54" s="7">
        <v>0</v>
      </c>
      <c r="AE54" s="7">
        <v>0</v>
      </c>
      <c r="AF54" s="7">
        <v>0</v>
      </c>
      <c r="AG54" s="7">
        <v>0</v>
      </c>
      <c r="AH54" s="7">
        <v>0</v>
      </c>
      <c r="AI54" s="7">
        <v>0</v>
      </c>
      <c r="AJ54" s="7">
        <v>0</v>
      </c>
      <c r="AK54" s="7">
        <v>0</v>
      </c>
    </row>
    <row r="55" spans="1:42">
      <c r="B55" t="s">
        <v>44</v>
      </c>
      <c r="C55" s="7">
        <v>0</v>
      </c>
      <c r="D55" s="7">
        <v>0</v>
      </c>
      <c r="E55" s="7">
        <v>0</v>
      </c>
      <c r="F55" s="7">
        <v>0</v>
      </c>
      <c r="G55" s="7">
        <v>0</v>
      </c>
      <c r="H55" s="7">
        <v>0</v>
      </c>
      <c r="I55" s="7">
        <v>0</v>
      </c>
      <c r="J55" s="7">
        <v>0</v>
      </c>
      <c r="K55" s="7">
        <v>0</v>
      </c>
      <c r="L55" s="7">
        <v>0</v>
      </c>
      <c r="M55" s="7">
        <v>0</v>
      </c>
      <c r="N55" s="7">
        <v>0</v>
      </c>
      <c r="O55" s="7">
        <v>0</v>
      </c>
      <c r="P55" s="7">
        <v>0</v>
      </c>
      <c r="Q55" s="7">
        <v>0</v>
      </c>
      <c r="R55" s="7">
        <v>0</v>
      </c>
      <c r="S55" s="7">
        <v>0</v>
      </c>
      <c r="T55" s="7">
        <v>0</v>
      </c>
      <c r="U55" s="7">
        <v>0</v>
      </c>
      <c r="V55" s="7">
        <v>0</v>
      </c>
      <c r="W55" s="7">
        <v>0</v>
      </c>
      <c r="X55" s="7">
        <v>0</v>
      </c>
      <c r="Y55" s="7">
        <v>0</v>
      </c>
      <c r="Z55" s="7">
        <v>0</v>
      </c>
      <c r="AA55" s="7">
        <v>0</v>
      </c>
      <c r="AB55" s="7">
        <v>0</v>
      </c>
      <c r="AC55" s="7">
        <v>0</v>
      </c>
      <c r="AD55" s="7">
        <v>0</v>
      </c>
      <c r="AE55" s="7">
        <v>0</v>
      </c>
      <c r="AF55" s="7">
        <v>0</v>
      </c>
      <c r="AG55" s="7">
        <v>0</v>
      </c>
      <c r="AH55" s="7">
        <v>0</v>
      </c>
      <c r="AI55" s="7">
        <v>0</v>
      </c>
      <c r="AJ55" s="7">
        <v>0</v>
      </c>
      <c r="AK55" s="7">
        <v>0</v>
      </c>
    </row>
    <row r="56" spans="1:42">
      <c r="B56" t="s">
        <v>45</v>
      </c>
      <c r="C56" s="7">
        <v>0</v>
      </c>
      <c r="D56" s="7">
        <v>0</v>
      </c>
      <c r="E56" s="7">
        <v>0</v>
      </c>
      <c r="F56" s="7">
        <v>0</v>
      </c>
      <c r="G56" s="7">
        <v>0</v>
      </c>
      <c r="H56" s="7">
        <v>0</v>
      </c>
      <c r="I56" s="7">
        <v>0</v>
      </c>
      <c r="J56" s="7">
        <v>0</v>
      </c>
      <c r="K56" s="7">
        <v>0</v>
      </c>
      <c r="L56" s="7">
        <v>0</v>
      </c>
      <c r="M56" s="7">
        <v>0</v>
      </c>
      <c r="N56" s="7">
        <v>0</v>
      </c>
      <c r="O56" s="7">
        <v>0</v>
      </c>
      <c r="P56" s="7">
        <v>0</v>
      </c>
      <c r="Q56" s="7">
        <v>0</v>
      </c>
      <c r="R56" s="7">
        <v>0</v>
      </c>
      <c r="S56" s="7">
        <v>0</v>
      </c>
      <c r="T56" s="7">
        <v>0</v>
      </c>
      <c r="U56" s="7">
        <v>0</v>
      </c>
      <c r="V56" s="7">
        <v>0</v>
      </c>
      <c r="W56" s="7">
        <v>0</v>
      </c>
      <c r="X56" s="7">
        <v>0</v>
      </c>
      <c r="Y56" s="7">
        <v>0</v>
      </c>
      <c r="Z56" s="7">
        <v>0</v>
      </c>
      <c r="AA56" s="7">
        <v>0</v>
      </c>
      <c r="AB56" s="7">
        <v>0</v>
      </c>
      <c r="AC56" s="7">
        <v>0</v>
      </c>
      <c r="AD56" s="7">
        <v>0</v>
      </c>
      <c r="AE56" s="7">
        <v>0</v>
      </c>
      <c r="AF56" s="7">
        <v>0</v>
      </c>
      <c r="AG56" s="7">
        <v>0</v>
      </c>
      <c r="AH56" s="7">
        <v>0</v>
      </c>
      <c r="AI56" s="7">
        <v>0</v>
      </c>
      <c r="AJ56" s="7">
        <v>0</v>
      </c>
      <c r="AK56" s="7">
        <v>0</v>
      </c>
    </row>
    <row r="59" spans="1:42">
      <c r="A59" s="1" t="s">
        <v>70</v>
      </c>
    </row>
    <row r="60" spans="1:42">
      <c r="C60" t="s">
        <v>52</v>
      </c>
      <c r="H60" t="s">
        <v>53</v>
      </c>
      <c r="M60" t="s">
        <v>54</v>
      </c>
      <c r="R60" t="s">
        <v>55</v>
      </c>
      <c r="W60" t="s">
        <v>71</v>
      </c>
    </row>
    <row r="61" spans="1:42">
      <c r="C61" t="s">
        <v>57</v>
      </c>
      <c r="D61" t="s">
        <v>57</v>
      </c>
      <c r="E61" t="s">
        <v>57</v>
      </c>
      <c r="F61" t="s">
        <v>57</v>
      </c>
      <c r="G61" t="s">
        <v>57</v>
      </c>
      <c r="H61" t="s">
        <v>9</v>
      </c>
      <c r="I61" t="s">
        <v>9</v>
      </c>
      <c r="J61" t="s">
        <v>9</v>
      </c>
      <c r="K61" t="s">
        <v>9</v>
      </c>
      <c r="L61" t="s">
        <v>9</v>
      </c>
      <c r="M61" t="s">
        <v>10</v>
      </c>
      <c r="N61" t="s">
        <v>10</v>
      </c>
      <c r="O61" t="s">
        <v>10</v>
      </c>
      <c r="P61" t="s">
        <v>10</v>
      </c>
      <c r="Q61" t="s">
        <v>10</v>
      </c>
      <c r="R61" t="s">
        <v>11</v>
      </c>
      <c r="S61" t="s">
        <v>11</v>
      </c>
      <c r="T61" t="s">
        <v>11</v>
      </c>
      <c r="U61" t="s">
        <v>11</v>
      </c>
      <c r="V61" t="s">
        <v>11</v>
      </c>
      <c r="W61" t="s">
        <v>58</v>
      </c>
      <c r="X61" t="s">
        <v>58</v>
      </c>
      <c r="Y61" t="s">
        <v>58</v>
      </c>
      <c r="Z61" t="s">
        <v>58</v>
      </c>
      <c r="AA61" t="s">
        <v>58</v>
      </c>
      <c r="AB61" t="s">
        <v>72</v>
      </c>
      <c r="AG61" t="s">
        <v>60</v>
      </c>
    </row>
    <row r="62" spans="1:42">
      <c r="B62" s="6" t="s">
        <v>7</v>
      </c>
      <c r="C62" s="6" t="s">
        <v>67</v>
      </c>
      <c r="D62" s="6" t="s">
        <v>63</v>
      </c>
      <c r="E62" s="6" t="s">
        <v>64</v>
      </c>
      <c r="F62" s="6" t="s">
        <v>65</v>
      </c>
      <c r="G62" s="6" t="s">
        <v>66</v>
      </c>
      <c r="H62" s="6" t="s">
        <v>67</v>
      </c>
      <c r="I62" s="6" t="s">
        <v>63</v>
      </c>
      <c r="J62" s="6" t="s">
        <v>64</v>
      </c>
      <c r="K62" s="6" t="s">
        <v>65</v>
      </c>
      <c r="L62" s="6" t="s">
        <v>66</v>
      </c>
      <c r="M62" s="6" t="s">
        <v>67</v>
      </c>
      <c r="N62" s="6" t="s">
        <v>63</v>
      </c>
      <c r="O62" s="6" t="s">
        <v>64</v>
      </c>
      <c r="P62" s="6" t="s">
        <v>65</v>
      </c>
      <c r="Q62" s="6" t="s">
        <v>66</v>
      </c>
      <c r="R62" s="6" t="s">
        <v>67</v>
      </c>
      <c r="S62" s="6" t="s">
        <v>63</v>
      </c>
      <c r="T62" s="6" t="s">
        <v>64</v>
      </c>
      <c r="U62" s="6" t="s">
        <v>65</v>
      </c>
      <c r="V62" s="6" t="s">
        <v>66</v>
      </c>
      <c r="W62" s="6" t="s">
        <v>67</v>
      </c>
      <c r="X62" s="6" t="s">
        <v>63</v>
      </c>
      <c r="Y62" s="6" t="s">
        <v>64</v>
      </c>
      <c r="Z62" s="6" t="s">
        <v>65</v>
      </c>
      <c r="AA62" s="6" t="s">
        <v>66</v>
      </c>
      <c r="AB62" s="6" t="s">
        <v>67</v>
      </c>
      <c r="AC62" s="6" t="s">
        <v>63</v>
      </c>
      <c r="AD62" s="6" t="s">
        <v>64</v>
      </c>
      <c r="AE62" s="6" t="s">
        <v>65</v>
      </c>
      <c r="AF62" s="6" t="s">
        <v>66</v>
      </c>
      <c r="AG62" s="6" t="s">
        <v>67</v>
      </c>
      <c r="AH62" s="6" t="s">
        <v>63</v>
      </c>
      <c r="AI62" s="6" t="s">
        <v>64</v>
      </c>
      <c r="AJ62" s="6" t="s">
        <v>65</v>
      </c>
      <c r="AK62" s="6" t="s">
        <v>66</v>
      </c>
    </row>
    <row r="63" spans="1:42">
      <c r="B63" t="s">
        <v>15</v>
      </c>
      <c r="C63" s="7">
        <v>1</v>
      </c>
      <c r="D63" s="7">
        <v>1</v>
      </c>
      <c r="E63" s="7">
        <v>1</v>
      </c>
      <c r="F63" s="7">
        <v>1</v>
      </c>
      <c r="G63" s="7">
        <v>1</v>
      </c>
      <c r="H63" s="7">
        <v>0</v>
      </c>
      <c r="I63" s="7">
        <v>0</v>
      </c>
      <c r="J63" s="7">
        <v>0</v>
      </c>
      <c r="K63" s="7">
        <v>0</v>
      </c>
      <c r="L63" s="7">
        <v>0</v>
      </c>
      <c r="M63" s="7">
        <v>0</v>
      </c>
      <c r="N63" s="7">
        <v>0</v>
      </c>
      <c r="O63" s="7">
        <v>0</v>
      </c>
      <c r="P63" s="7">
        <v>0</v>
      </c>
      <c r="Q63" s="7">
        <v>0</v>
      </c>
      <c r="R63" s="7">
        <v>0</v>
      </c>
      <c r="S63" s="7">
        <v>0</v>
      </c>
      <c r="T63" s="7">
        <v>0</v>
      </c>
      <c r="U63" s="7">
        <v>0</v>
      </c>
      <c r="V63" s="7">
        <v>0</v>
      </c>
      <c r="W63" s="7">
        <v>0</v>
      </c>
      <c r="X63" s="7">
        <v>0</v>
      </c>
      <c r="Y63" s="7">
        <v>0</v>
      </c>
      <c r="Z63" s="7">
        <v>0</v>
      </c>
      <c r="AA63" s="7">
        <v>0</v>
      </c>
      <c r="AB63" s="7">
        <v>0</v>
      </c>
      <c r="AC63" s="7">
        <v>0</v>
      </c>
      <c r="AD63" s="7">
        <v>0</v>
      </c>
      <c r="AE63" s="7">
        <v>0</v>
      </c>
      <c r="AF63" s="7">
        <v>0</v>
      </c>
      <c r="AG63" s="7">
        <v>0</v>
      </c>
      <c r="AH63" s="7">
        <v>0</v>
      </c>
      <c r="AI63" s="7">
        <v>0</v>
      </c>
      <c r="AJ63" s="7">
        <v>0</v>
      </c>
      <c r="AK63" s="7">
        <v>0</v>
      </c>
    </row>
    <row r="64" spans="1:42">
      <c r="B64" t="s">
        <v>18</v>
      </c>
      <c r="C64" s="7">
        <v>1</v>
      </c>
      <c r="D64" s="7">
        <v>1</v>
      </c>
      <c r="E64" s="7">
        <v>1</v>
      </c>
      <c r="F64" s="7">
        <v>1</v>
      </c>
      <c r="G64" s="7">
        <v>1</v>
      </c>
      <c r="H64" s="7">
        <v>0</v>
      </c>
      <c r="I64" s="7">
        <v>0</v>
      </c>
      <c r="J64" s="7">
        <v>0</v>
      </c>
      <c r="K64" s="7">
        <v>0</v>
      </c>
      <c r="L64" s="7">
        <v>0</v>
      </c>
      <c r="M64" s="7">
        <v>0</v>
      </c>
      <c r="N64" s="7">
        <v>0</v>
      </c>
      <c r="O64" s="7">
        <v>0</v>
      </c>
      <c r="P64" s="7">
        <v>0</v>
      </c>
      <c r="Q64" s="7">
        <v>0</v>
      </c>
      <c r="R64" s="7">
        <v>0</v>
      </c>
      <c r="S64" s="7">
        <v>0</v>
      </c>
      <c r="T64" s="7">
        <v>0</v>
      </c>
      <c r="U64" s="7">
        <v>0</v>
      </c>
      <c r="V64" s="7">
        <v>0</v>
      </c>
      <c r="W64" s="7">
        <v>0</v>
      </c>
      <c r="X64" s="7">
        <v>0</v>
      </c>
      <c r="Y64" s="7">
        <v>0</v>
      </c>
      <c r="Z64" s="7">
        <v>0</v>
      </c>
      <c r="AA64" s="7">
        <v>0</v>
      </c>
      <c r="AB64" s="7">
        <v>0</v>
      </c>
      <c r="AC64" s="7">
        <v>0</v>
      </c>
      <c r="AD64" s="7">
        <v>0</v>
      </c>
      <c r="AE64" s="7">
        <v>0</v>
      </c>
      <c r="AF64" s="7">
        <v>0</v>
      </c>
      <c r="AG64" s="7">
        <v>0</v>
      </c>
      <c r="AH64" s="7">
        <v>0</v>
      </c>
      <c r="AI64" s="7">
        <v>0</v>
      </c>
      <c r="AJ64" s="7">
        <v>0</v>
      </c>
      <c r="AK64" s="7">
        <v>0</v>
      </c>
    </row>
    <row r="65" spans="1:37">
      <c r="B65" t="s">
        <v>19</v>
      </c>
      <c r="C65" s="7">
        <v>1</v>
      </c>
      <c r="D65" s="7">
        <v>1</v>
      </c>
      <c r="E65" s="7">
        <v>1</v>
      </c>
      <c r="F65" s="7">
        <v>1</v>
      </c>
      <c r="G65" s="7">
        <v>1</v>
      </c>
      <c r="H65" s="7">
        <v>0</v>
      </c>
      <c r="I65" s="7">
        <v>0</v>
      </c>
      <c r="J65" s="7">
        <v>0</v>
      </c>
      <c r="K65" s="7">
        <v>0</v>
      </c>
      <c r="L65" s="7">
        <v>0</v>
      </c>
      <c r="M65" s="7">
        <v>0</v>
      </c>
      <c r="N65" s="7">
        <v>0</v>
      </c>
      <c r="O65" s="7">
        <v>0</v>
      </c>
      <c r="P65" s="7">
        <v>0</v>
      </c>
      <c r="Q65" s="7">
        <v>0</v>
      </c>
      <c r="R65" s="7">
        <v>0</v>
      </c>
      <c r="S65" s="7">
        <v>0</v>
      </c>
      <c r="T65" s="7">
        <v>0</v>
      </c>
      <c r="U65" s="7">
        <v>0</v>
      </c>
      <c r="V65" s="7">
        <v>0</v>
      </c>
      <c r="W65" s="7">
        <v>0</v>
      </c>
      <c r="X65" s="7">
        <v>0</v>
      </c>
      <c r="Y65" s="7">
        <v>0</v>
      </c>
      <c r="Z65" s="7">
        <v>0</v>
      </c>
      <c r="AA65" s="7">
        <v>0</v>
      </c>
      <c r="AB65" s="7">
        <v>0</v>
      </c>
      <c r="AC65" s="7">
        <v>0</v>
      </c>
      <c r="AD65" s="7">
        <v>0</v>
      </c>
      <c r="AE65" s="7">
        <v>0</v>
      </c>
      <c r="AF65" s="7">
        <v>0</v>
      </c>
      <c r="AG65" s="7">
        <v>0</v>
      </c>
      <c r="AH65" s="7">
        <v>0</v>
      </c>
      <c r="AI65" s="7">
        <v>0</v>
      </c>
      <c r="AJ65" s="7">
        <v>0</v>
      </c>
      <c r="AK65" s="7">
        <v>0</v>
      </c>
    </row>
    <row r="66" spans="1:37">
      <c r="B66" t="s">
        <v>20</v>
      </c>
      <c r="C66" s="7">
        <v>1</v>
      </c>
      <c r="D66" s="7">
        <v>1</v>
      </c>
      <c r="E66" s="7">
        <v>1</v>
      </c>
      <c r="F66" s="7">
        <v>1</v>
      </c>
      <c r="G66" s="7">
        <v>1</v>
      </c>
      <c r="H66" s="7">
        <v>0</v>
      </c>
      <c r="I66" s="7">
        <v>0</v>
      </c>
      <c r="J66" s="7">
        <v>0</v>
      </c>
      <c r="K66" s="7">
        <v>0</v>
      </c>
      <c r="L66" s="7">
        <v>0</v>
      </c>
      <c r="M66" s="7">
        <v>0</v>
      </c>
      <c r="N66" s="7">
        <v>0</v>
      </c>
      <c r="O66" s="7">
        <v>0</v>
      </c>
      <c r="P66" s="7">
        <v>0</v>
      </c>
      <c r="Q66" s="7">
        <v>0</v>
      </c>
      <c r="R66" s="7">
        <v>0</v>
      </c>
      <c r="S66" s="7">
        <v>0</v>
      </c>
      <c r="T66" s="7">
        <v>0</v>
      </c>
      <c r="U66" s="7">
        <v>0</v>
      </c>
      <c r="V66" s="7">
        <v>0</v>
      </c>
      <c r="W66" s="7">
        <v>0</v>
      </c>
      <c r="X66" s="7">
        <v>0</v>
      </c>
      <c r="Y66" s="7">
        <v>0</v>
      </c>
      <c r="Z66" s="7">
        <v>0</v>
      </c>
      <c r="AA66" s="7">
        <v>0</v>
      </c>
      <c r="AB66" s="7">
        <v>0</v>
      </c>
      <c r="AC66" s="7">
        <v>0</v>
      </c>
      <c r="AD66" s="7">
        <v>0</v>
      </c>
      <c r="AE66" s="7">
        <v>0</v>
      </c>
      <c r="AF66" s="7">
        <v>0</v>
      </c>
      <c r="AG66" s="7">
        <v>0</v>
      </c>
      <c r="AH66" s="7">
        <v>0</v>
      </c>
      <c r="AI66" s="7">
        <v>0</v>
      </c>
      <c r="AJ66" s="7">
        <v>0</v>
      </c>
      <c r="AK66" s="7">
        <v>0</v>
      </c>
    </row>
    <row r="67" spans="1:37">
      <c r="B67" t="s">
        <v>21</v>
      </c>
      <c r="C67" s="7">
        <v>1</v>
      </c>
      <c r="D67" s="7">
        <v>1</v>
      </c>
      <c r="E67" s="7">
        <v>1</v>
      </c>
      <c r="F67" s="7">
        <v>1</v>
      </c>
      <c r="G67" s="7">
        <v>1</v>
      </c>
      <c r="H67" s="7">
        <v>0</v>
      </c>
      <c r="I67" s="7">
        <v>0</v>
      </c>
      <c r="J67" s="7">
        <v>0</v>
      </c>
      <c r="K67" s="7">
        <v>0</v>
      </c>
      <c r="L67" s="7">
        <v>0</v>
      </c>
      <c r="M67" s="7">
        <v>0</v>
      </c>
      <c r="N67" s="7">
        <v>0</v>
      </c>
      <c r="O67" s="7">
        <v>0</v>
      </c>
      <c r="P67" s="7">
        <v>0</v>
      </c>
      <c r="Q67" s="7">
        <v>0</v>
      </c>
      <c r="R67" s="7">
        <v>0</v>
      </c>
      <c r="S67" s="7">
        <v>0</v>
      </c>
      <c r="T67" s="7">
        <v>0</v>
      </c>
      <c r="U67" s="7">
        <v>0</v>
      </c>
      <c r="V67" s="7">
        <v>0</v>
      </c>
      <c r="W67" s="7">
        <v>0</v>
      </c>
      <c r="X67" s="7">
        <v>0</v>
      </c>
      <c r="Y67" s="7">
        <v>0</v>
      </c>
      <c r="Z67" s="7">
        <v>0</v>
      </c>
      <c r="AA67" s="7">
        <v>0</v>
      </c>
      <c r="AB67" s="7">
        <v>0</v>
      </c>
      <c r="AC67" s="7">
        <v>0</v>
      </c>
      <c r="AD67" s="7">
        <v>0</v>
      </c>
      <c r="AE67" s="7">
        <v>0</v>
      </c>
      <c r="AF67" s="7">
        <v>0</v>
      </c>
      <c r="AG67" s="7">
        <v>0</v>
      </c>
      <c r="AH67" s="7">
        <v>0</v>
      </c>
      <c r="AI67" s="7">
        <v>0</v>
      </c>
      <c r="AJ67" s="7">
        <v>0</v>
      </c>
      <c r="AK67" s="7">
        <v>0</v>
      </c>
    </row>
    <row r="68" spans="1:37">
      <c r="B68" t="s">
        <v>22</v>
      </c>
      <c r="C68" s="7">
        <v>1</v>
      </c>
      <c r="D68" s="7">
        <v>1</v>
      </c>
      <c r="E68" s="7">
        <v>1</v>
      </c>
      <c r="F68" s="7">
        <v>1</v>
      </c>
      <c r="G68" s="7">
        <v>1</v>
      </c>
      <c r="H68" s="7">
        <v>0</v>
      </c>
      <c r="I68" s="7">
        <v>0</v>
      </c>
      <c r="J68" s="7">
        <v>0</v>
      </c>
      <c r="K68" s="7">
        <v>0</v>
      </c>
      <c r="L68" s="7">
        <v>0</v>
      </c>
      <c r="M68" s="7">
        <v>0</v>
      </c>
      <c r="N68" s="7">
        <v>0</v>
      </c>
      <c r="O68" s="7">
        <v>0</v>
      </c>
      <c r="P68" s="7">
        <v>0</v>
      </c>
      <c r="Q68" s="7">
        <v>0</v>
      </c>
      <c r="R68" s="7">
        <v>0</v>
      </c>
      <c r="S68" s="7">
        <v>0</v>
      </c>
      <c r="T68" s="7">
        <v>0</v>
      </c>
      <c r="U68" s="7">
        <v>0</v>
      </c>
      <c r="V68" s="7">
        <v>0</v>
      </c>
      <c r="W68" s="7">
        <v>0</v>
      </c>
      <c r="X68" s="7">
        <v>0</v>
      </c>
      <c r="Y68" s="7">
        <v>0</v>
      </c>
      <c r="Z68" s="7">
        <v>0</v>
      </c>
      <c r="AA68" s="7">
        <v>0</v>
      </c>
      <c r="AB68" s="7">
        <v>0</v>
      </c>
      <c r="AC68" s="7">
        <v>0</v>
      </c>
      <c r="AD68" s="7">
        <v>0</v>
      </c>
      <c r="AE68" s="7">
        <v>0</v>
      </c>
      <c r="AF68" s="7">
        <v>0</v>
      </c>
      <c r="AG68" s="7">
        <v>0</v>
      </c>
      <c r="AH68" s="7">
        <v>0</v>
      </c>
      <c r="AI68" s="7">
        <v>0</v>
      </c>
      <c r="AJ68" s="7">
        <v>0</v>
      </c>
      <c r="AK68" s="7">
        <v>0</v>
      </c>
    </row>
    <row r="69" spans="1:37">
      <c r="B69" t="s">
        <v>23</v>
      </c>
      <c r="C69" s="7">
        <v>1</v>
      </c>
      <c r="D69" s="7">
        <v>1</v>
      </c>
      <c r="E69" s="7">
        <v>1</v>
      </c>
      <c r="F69" s="7">
        <v>1</v>
      </c>
      <c r="G69" s="7">
        <v>1</v>
      </c>
      <c r="H69" s="7">
        <v>0</v>
      </c>
      <c r="I69" s="7">
        <v>0</v>
      </c>
      <c r="J69" s="7">
        <v>0</v>
      </c>
      <c r="K69" s="7">
        <v>0</v>
      </c>
      <c r="L69" s="7">
        <v>0</v>
      </c>
      <c r="M69" s="7">
        <v>0</v>
      </c>
      <c r="N69" s="7">
        <v>0</v>
      </c>
      <c r="O69" s="7">
        <v>0</v>
      </c>
      <c r="P69" s="7">
        <v>0</v>
      </c>
      <c r="Q69" s="7">
        <v>0</v>
      </c>
      <c r="R69" s="7">
        <v>0</v>
      </c>
      <c r="S69" s="7">
        <v>0</v>
      </c>
      <c r="T69" s="7">
        <v>0</v>
      </c>
      <c r="U69" s="7">
        <v>0</v>
      </c>
      <c r="V69" s="7">
        <v>0</v>
      </c>
      <c r="W69" s="7">
        <v>0</v>
      </c>
      <c r="X69" s="7">
        <v>0</v>
      </c>
      <c r="Y69" s="7">
        <v>0</v>
      </c>
      <c r="Z69" s="7">
        <v>0</v>
      </c>
      <c r="AA69" s="7">
        <v>0</v>
      </c>
      <c r="AB69" s="7">
        <v>0</v>
      </c>
      <c r="AC69" s="7">
        <v>0</v>
      </c>
      <c r="AD69" s="7">
        <v>0</v>
      </c>
      <c r="AE69" s="7">
        <v>0</v>
      </c>
      <c r="AF69" s="7">
        <v>0</v>
      </c>
      <c r="AG69" s="7">
        <v>0</v>
      </c>
      <c r="AH69" s="7">
        <v>0</v>
      </c>
      <c r="AI69" s="7">
        <v>0</v>
      </c>
      <c r="AJ69" s="7">
        <v>0</v>
      </c>
      <c r="AK69" s="7">
        <v>0</v>
      </c>
    </row>
    <row r="70" spans="1:37">
      <c r="B70" t="s">
        <v>24</v>
      </c>
      <c r="C70" s="7">
        <v>1</v>
      </c>
      <c r="D70" s="7">
        <v>1</v>
      </c>
      <c r="E70" s="7">
        <v>1</v>
      </c>
      <c r="F70" s="7">
        <v>1</v>
      </c>
      <c r="G70" s="7">
        <v>1</v>
      </c>
      <c r="H70" s="7">
        <v>0</v>
      </c>
      <c r="I70" s="7">
        <v>0</v>
      </c>
      <c r="J70" s="7">
        <v>0</v>
      </c>
      <c r="K70" s="7">
        <v>0</v>
      </c>
      <c r="L70" s="7">
        <v>0</v>
      </c>
      <c r="M70" s="7">
        <v>0</v>
      </c>
      <c r="N70" s="7">
        <v>0</v>
      </c>
      <c r="O70" s="7">
        <v>0</v>
      </c>
      <c r="P70" s="7">
        <v>0</v>
      </c>
      <c r="Q70" s="7">
        <v>0</v>
      </c>
      <c r="R70" s="7">
        <v>0</v>
      </c>
      <c r="S70" s="7">
        <v>0</v>
      </c>
      <c r="T70" s="7">
        <v>0</v>
      </c>
      <c r="U70" s="7">
        <v>0</v>
      </c>
      <c r="V70" s="7">
        <v>0</v>
      </c>
      <c r="W70" s="7">
        <v>0</v>
      </c>
      <c r="X70" s="7">
        <v>0</v>
      </c>
      <c r="Y70" s="7">
        <v>0</v>
      </c>
      <c r="Z70" s="7">
        <v>0</v>
      </c>
      <c r="AA70" s="7">
        <v>0</v>
      </c>
      <c r="AB70" s="7">
        <v>0</v>
      </c>
      <c r="AC70" s="7">
        <v>0</v>
      </c>
      <c r="AD70" s="7">
        <v>0</v>
      </c>
      <c r="AE70" s="7">
        <v>0</v>
      </c>
      <c r="AF70" s="7">
        <v>0</v>
      </c>
      <c r="AG70" s="7">
        <v>0</v>
      </c>
      <c r="AH70" s="7">
        <v>0</v>
      </c>
      <c r="AI70" s="7">
        <v>0</v>
      </c>
      <c r="AJ70" s="7">
        <v>0</v>
      </c>
      <c r="AK70" s="7">
        <v>0</v>
      </c>
    </row>
    <row r="71" spans="1:37">
      <c r="B71" t="s">
        <v>25</v>
      </c>
      <c r="C71" s="7">
        <v>1</v>
      </c>
      <c r="D71" s="7">
        <v>1</v>
      </c>
      <c r="E71" s="7">
        <v>1</v>
      </c>
      <c r="F71" s="7">
        <v>1</v>
      </c>
      <c r="G71" s="7">
        <v>1</v>
      </c>
      <c r="H71" s="7">
        <v>0</v>
      </c>
      <c r="I71" s="7">
        <v>0</v>
      </c>
      <c r="J71" s="7">
        <v>0</v>
      </c>
      <c r="K71" s="7">
        <v>0</v>
      </c>
      <c r="L71" s="7">
        <v>0</v>
      </c>
      <c r="M71" s="7">
        <v>0</v>
      </c>
      <c r="N71" s="7">
        <v>0</v>
      </c>
      <c r="O71" s="7">
        <v>0</v>
      </c>
      <c r="P71" s="7">
        <v>0</v>
      </c>
      <c r="Q71" s="7">
        <v>0</v>
      </c>
      <c r="R71" s="7">
        <v>0</v>
      </c>
      <c r="S71" s="7">
        <v>0</v>
      </c>
      <c r="T71" s="7">
        <v>0</v>
      </c>
      <c r="U71" s="7">
        <v>0</v>
      </c>
      <c r="V71" s="7">
        <v>0</v>
      </c>
      <c r="W71" s="7">
        <v>0</v>
      </c>
      <c r="X71" s="7">
        <v>0</v>
      </c>
      <c r="Y71" s="7">
        <v>0</v>
      </c>
      <c r="Z71" s="7">
        <v>0</v>
      </c>
      <c r="AA71" s="7">
        <v>0</v>
      </c>
      <c r="AB71" s="7">
        <v>0</v>
      </c>
      <c r="AC71" s="7">
        <v>0</v>
      </c>
      <c r="AD71" s="7">
        <v>0</v>
      </c>
      <c r="AE71" s="7">
        <v>0</v>
      </c>
      <c r="AF71" s="7">
        <v>0</v>
      </c>
      <c r="AG71" s="7">
        <v>0</v>
      </c>
      <c r="AH71" s="7">
        <v>0</v>
      </c>
      <c r="AI71" s="7">
        <v>0</v>
      </c>
      <c r="AJ71" s="7">
        <v>0</v>
      </c>
      <c r="AK71" s="7">
        <v>0</v>
      </c>
    </row>
    <row r="72" spans="1:37">
      <c r="B72" t="s">
        <v>26</v>
      </c>
      <c r="C72" s="7">
        <v>1</v>
      </c>
      <c r="D72" s="7">
        <v>1</v>
      </c>
      <c r="E72" s="7">
        <v>1</v>
      </c>
      <c r="F72" s="7">
        <v>1</v>
      </c>
      <c r="G72" s="7">
        <v>1</v>
      </c>
      <c r="H72" s="7">
        <v>0</v>
      </c>
      <c r="I72" s="7">
        <v>0</v>
      </c>
      <c r="J72" s="7">
        <v>0</v>
      </c>
      <c r="K72" s="7">
        <v>0</v>
      </c>
      <c r="L72" s="7">
        <v>0</v>
      </c>
      <c r="M72" s="7">
        <v>0</v>
      </c>
      <c r="N72" s="7">
        <v>0</v>
      </c>
      <c r="O72" s="7">
        <v>0</v>
      </c>
      <c r="P72" s="7">
        <v>0</v>
      </c>
      <c r="Q72" s="7">
        <v>0</v>
      </c>
      <c r="R72" s="7">
        <v>0</v>
      </c>
      <c r="S72" s="7">
        <v>0</v>
      </c>
      <c r="T72" s="7">
        <v>0</v>
      </c>
      <c r="U72" s="7">
        <v>0</v>
      </c>
      <c r="V72" s="7">
        <v>0</v>
      </c>
      <c r="W72" s="7">
        <v>0</v>
      </c>
      <c r="X72" s="7">
        <v>0</v>
      </c>
      <c r="Y72" s="7">
        <v>0</v>
      </c>
      <c r="Z72" s="7">
        <v>0</v>
      </c>
      <c r="AA72" s="7">
        <v>0</v>
      </c>
      <c r="AB72" s="7">
        <v>0</v>
      </c>
      <c r="AC72" s="7">
        <v>0</v>
      </c>
      <c r="AD72" s="7">
        <v>0</v>
      </c>
      <c r="AE72" s="7">
        <v>0</v>
      </c>
      <c r="AF72" s="7">
        <v>0</v>
      </c>
      <c r="AG72" s="7">
        <v>0</v>
      </c>
      <c r="AH72" s="7">
        <v>0</v>
      </c>
      <c r="AI72" s="7">
        <v>0</v>
      </c>
      <c r="AJ72" s="7">
        <v>0</v>
      </c>
      <c r="AK72" s="7">
        <v>0</v>
      </c>
    </row>
    <row r="73" spans="1:37">
      <c r="B73" t="s">
        <v>27</v>
      </c>
      <c r="C73" s="7">
        <v>1</v>
      </c>
      <c r="D73" s="7">
        <v>1</v>
      </c>
      <c r="E73" s="7">
        <v>1</v>
      </c>
      <c r="F73" s="7">
        <v>1</v>
      </c>
      <c r="G73" s="7">
        <v>1</v>
      </c>
      <c r="H73" s="7">
        <v>0</v>
      </c>
      <c r="I73" s="7">
        <v>0</v>
      </c>
      <c r="J73" s="7">
        <v>0</v>
      </c>
      <c r="K73" s="7">
        <v>0</v>
      </c>
      <c r="L73" s="7">
        <v>0</v>
      </c>
      <c r="M73" s="7">
        <v>0</v>
      </c>
      <c r="N73" s="7">
        <v>0</v>
      </c>
      <c r="O73" s="7">
        <v>0</v>
      </c>
      <c r="P73" s="7">
        <v>0</v>
      </c>
      <c r="Q73" s="7">
        <v>0</v>
      </c>
      <c r="R73" s="7">
        <v>0</v>
      </c>
      <c r="S73" s="7">
        <v>0</v>
      </c>
      <c r="T73" s="7">
        <v>0</v>
      </c>
      <c r="U73" s="7">
        <v>0</v>
      </c>
      <c r="V73" s="7">
        <v>0</v>
      </c>
      <c r="W73" s="7">
        <v>0</v>
      </c>
      <c r="X73" s="7">
        <v>0</v>
      </c>
      <c r="Y73" s="7">
        <v>0</v>
      </c>
      <c r="Z73" s="7">
        <v>0</v>
      </c>
      <c r="AA73" s="7">
        <v>0</v>
      </c>
      <c r="AB73" s="7">
        <v>0</v>
      </c>
      <c r="AC73" s="7">
        <v>0</v>
      </c>
      <c r="AD73" s="7">
        <v>0</v>
      </c>
      <c r="AE73" s="7">
        <v>0</v>
      </c>
      <c r="AF73" s="7">
        <v>0</v>
      </c>
      <c r="AG73" s="7">
        <v>0</v>
      </c>
      <c r="AH73" s="7">
        <v>0</v>
      </c>
      <c r="AI73" s="7">
        <v>0</v>
      </c>
      <c r="AJ73" s="7">
        <v>0</v>
      </c>
      <c r="AK73" s="7">
        <v>0</v>
      </c>
    </row>
    <row r="74" spans="1:37">
      <c r="B74" t="s">
        <v>28</v>
      </c>
      <c r="C74" s="7">
        <v>1</v>
      </c>
      <c r="D74" s="7">
        <v>1</v>
      </c>
      <c r="E74" s="7">
        <v>1</v>
      </c>
      <c r="F74" s="7">
        <v>1</v>
      </c>
      <c r="G74" s="7">
        <v>1</v>
      </c>
      <c r="H74" s="7">
        <v>0</v>
      </c>
      <c r="I74" s="7">
        <v>0</v>
      </c>
      <c r="J74" s="7">
        <v>0</v>
      </c>
      <c r="K74" s="7">
        <v>0</v>
      </c>
      <c r="L74" s="7">
        <v>0</v>
      </c>
      <c r="M74" s="7">
        <v>0</v>
      </c>
      <c r="N74" s="7">
        <v>0</v>
      </c>
      <c r="O74" s="7">
        <v>0</v>
      </c>
      <c r="P74" s="7">
        <v>0</v>
      </c>
      <c r="Q74" s="7">
        <v>0</v>
      </c>
      <c r="R74" s="7">
        <v>0</v>
      </c>
      <c r="S74" s="7">
        <v>0</v>
      </c>
      <c r="T74" s="7">
        <v>0</v>
      </c>
      <c r="U74" s="7">
        <v>0</v>
      </c>
      <c r="V74" s="7">
        <v>0</v>
      </c>
      <c r="W74" s="7">
        <v>0</v>
      </c>
      <c r="X74" s="7">
        <v>0</v>
      </c>
      <c r="Y74" s="7">
        <v>0</v>
      </c>
      <c r="Z74" s="7">
        <v>0</v>
      </c>
      <c r="AA74" s="7">
        <v>0</v>
      </c>
      <c r="AB74" s="7">
        <v>0</v>
      </c>
      <c r="AC74" s="7">
        <v>0</v>
      </c>
      <c r="AD74" s="7">
        <v>0</v>
      </c>
      <c r="AE74" s="7">
        <v>0</v>
      </c>
      <c r="AF74" s="7">
        <v>0</v>
      </c>
      <c r="AG74" s="7">
        <v>0</v>
      </c>
      <c r="AH74" s="7">
        <v>0</v>
      </c>
      <c r="AI74" s="7">
        <v>0</v>
      </c>
      <c r="AJ74" s="7">
        <v>0</v>
      </c>
      <c r="AK74" s="7">
        <v>0</v>
      </c>
    </row>
    <row r="78" spans="1:37">
      <c r="A78" s="1" t="s">
        <v>73</v>
      </c>
      <c r="I78" t="s">
        <v>74</v>
      </c>
    </row>
    <row r="79" spans="1:37">
      <c r="B79" s="6" t="s">
        <v>75</v>
      </c>
      <c r="C79" s="6" t="s">
        <v>75</v>
      </c>
      <c r="D79" s="6" t="s">
        <v>76</v>
      </c>
      <c r="E79" s="6" t="s">
        <v>77</v>
      </c>
      <c r="F79" s="6" t="s">
        <v>78</v>
      </c>
      <c r="G79" s="6" t="s">
        <v>79</v>
      </c>
      <c r="H79" s="6" t="s">
        <v>80</v>
      </c>
      <c r="I79" s="9" t="s">
        <v>81</v>
      </c>
      <c r="J79" s="9" t="s">
        <v>33</v>
      </c>
    </row>
    <row r="80" spans="1:37">
      <c r="B80" t="s">
        <v>82</v>
      </c>
      <c r="C80" t="s">
        <v>83</v>
      </c>
      <c r="D80" s="416">
        <v>1</v>
      </c>
      <c r="E80" s="7">
        <v>99999</v>
      </c>
      <c r="F80" s="7">
        <v>99</v>
      </c>
      <c r="G80" s="7">
        <v>99999</v>
      </c>
      <c r="H80" s="7">
        <v>99999</v>
      </c>
      <c r="I80" s="7">
        <v>0</v>
      </c>
      <c r="J80" s="7">
        <v>0</v>
      </c>
      <c r="N80" t="s">
        <v>720</v>
      </c>
    </row>
    <row r="81" spans="1:11">
      <c r="A81" s="416" t="s">
        <v>464</v>
      </c>
      <c r="B81" t="s">
        <v>84</v>
      </c>
      <c r="C81" t="s">
        <v>85</v>
      </c>
      <c r="D81" s="515">
        <v>1</v>
      </c>
      <c r="E81" s="7">
        <v>99999</v>
      </c>
      <c r="F81" s="7">
        <v>99</v>
      </c>
      <c r="G81" s="7">
        <v>99999</v>
      </c>
      <c r="H81" s="7">
        <v>99999</v>
      </c>
      <c r="I81" s="7">
        <v>0</v>
      </c>
      <c r="J81" s="7">
        <v>0</v>
      </c>
    </row>
    <row r="82" spans="1:11">
      <c r="A82" s="416" t="s">
        <v>465</v>
      </c>
      <c r="B82" t="s">
        <v>86</v>
      </c>
      <c r="C82" t="s">
        <v>87</v>
      </c>
      <c r="D82" s="376">
        <f>'e (sf)'!C13</f>
        <v>0.13419264841314441</v>
      </c>
      <c r="E82" s="7">
        <v>99999</v>
      </c>
      <c r="F82" s="7">
        <v>999</v>
      </c>
      <c r="G82" s="7">
        <v>99999</v>
      </c>
      <c r="H82" s="7">
        <v>99999</v>
      </c>
      <c r="I82" s="7">
        <v>0</v>
      </c>
      <c r="J82" s="7">
        <v>0</v>
      </c>
    </row>
    <row r="83" spans="1:11">
      <c r="B83" t="s">
        <v>88</v>
      </c>
      <c r="C83" t="s">
        <v>89</v>
      </c>
      <c r="D83" s="11">
        <v>-99</v>
      </c>
      <c r="E83" s="7">
        <v>-99</v>
      </c>
      <c r="F83" s="7">
        <v>-99</v>
      </c>
      <c r="G83" s="7">
        <v>-99</v>
      </c>
      <c r="H83" s="7">
        <v>-99</v>
      </c>
      <c r="I83" s="7">
        <v>0</v>
      </c>
      <c r="J83" s="7">
        <v>-99</v>
      </c>
      <c r="K83" t="s">
        <v>90</v>
      </c>
    </row>
    <row r="84" spans="1:11">
      <c r="A84" s="416" t="s">
        <v>859</v>
      </c>
      <c r="B84" t="s">
        <v>91</v>
      </c>
      <c r="C84" t="s">
        <v>92</v>
      </c>
      <c r="D84" s="266">
        <f>S.smolt!B18</f>
        <v>0.72160909090909098</v>
      </c>
      <c r="E84" s="7">
        <v>99999</v>
      </c>
      <c r="F84" s="7">
        <v>999</v>
      </c>
      <c r="G84" s="7">
        <v>99999</v>
      </c>
      <c r="H84" s="7">
        <v>99999</v>
      </c>
      <c r="I84" s="7">
        <v>0</v>
      </c>
      <c r="J84" s="7">
        <v>0</v>
      </c>
      <c r="K84" t="s">
        <v>93</v>
      </c>
    </row>
    <row r="85" spans="1:11">
      <c r="B85" t="s">
        <v>94</v>
      </c>
      <c r="C85" t="s">
        <v>95</v>
      </c>
      <c r="D85" s="266">
        <v>1</v>
      </c>
      <c r="E85" s="7">
        <v>99999</v>
      </c>
      <c r="F85" s="7">
        <v>99</v>
      </c>
      <c r="G85" s="7">
        <v>99999</v>
      </c>
      <c r="H85" s="7">
        <v>99999</v>
      </c>
      <c r="I85" s="7">
        <v>0</v>
      </c>
      <c r="J85" s="7">
        <v>0</v>
      </c>
    </row>
    <row r="86" spans="1:11">
      <c r="A86" s="416" t="s">
        <v>860</v>
      </c>
      <c r="B86" t="s">
        <v>96</v>
      </c>
      <c r="C86" t="s">
        <v>97</v>
      </c>
      <c r="D86" s="266">
        <f>m!D92</f>
        <v>8.0873749999999994E-2</v>
      </c>
      <c r="E86" s="7">
        <v>99999</v>
      </c>
      <c r="F86" s="7">
        <v>999</v>
      </c>
      <c r="G86" s="7">
        <v>99999</v>
      </c>
      <c r="H86" s="7">
        <v>99999</v>
      </c>
      <c r="I86" s="7">
        <v>0</v>
      </c>
      <c r="J86" s="7">
        <v>0</v>
      </c>
    </row>
    <row r="87" spans="1:11">
      <c r="A87" s="416" t="s">
        <v>861</v>
      </c>
      <c r="B87" t="s">
        <v>98</v>
      </c>
      <c r="C87" t="s">
        <v>99</v>
      </c>
      <c r="D87" s="266">
        <f>m!D104</f>
        <v>0.47448750000000001</v>
      </c>
      <c r="E87" s="7">
        <v>99999</v>
      </c>
      <c r="F87" s="7">
        <v>999</v>
      </c>
      <c r="G87" s="7">
        <v>99999</v>
      </c>
      <c r="H87" s="7">
        <v>99999</v>
      </c>
      <c r="I87" s="7">
        <v>0</v>
      </c>
      <c r="J87" s="7">
        <v>0</v>
      </c>
    </row>
    <row r="88" spans="1:11">
      <c r="A88" s="416" t="s">
        <v>862</v>
      </c>
      <c r="B88" t="s">
        <v>100</v>
      </c>
      <c r="C88" t="s">
        <v>101</v>
      </c>
      <c r="D88" s="266">
        <f>m!D107</f>
        <v>0.65820000000000001</v>
      </c>
      <c r="E88" s="7">
        <v>99999</v>
      </c>
      <c r="F88" s="7">
        <v>999</v>
      </c>
      <c r="G88" s="7">
        <v>99999</v>
      </c>
      <c r="H88" s="7">
        <v>99999</v>
      </c>
      <c r="I88" s="7">
        <v>0</v>
      </c>
      <c r="J88" s="7">
        <v>0</v>
      </c>
    </row>
    <row r="89" spans="1:11">
      <c r="B89" t="s">
        <v>102</v>
      </c>
      <c r="C89" t="s">
        <v>103</v>
      </c>
      <c r="D89" s="398">
        <f>m!D107</f>
        <v>0.65820000000000001</v>
      </c>
      <c r="E89" s="7">
        <v>9999</v>
      </c>
      <c r="F89" s="7">
        <v>9999</v>
      </c>
      <c r="G89" s="7">
        <v>99999</v>
      </c>
      <c r="H89" s="7">
        <v>99999</v>
      </c>
      <c r="I89" s="7">
        <v>0</v>
      </c>
      <c r="J89" s="7">
        <v>0</v>
      </c>
    </row>
    <row r="90" spans="1:11">
      <c r="B90" t="s">
        <v>104</v>
      </c>
      <c r="C90" t="s">
        <v>105</v>
      </c>
      <c r="D90" s="398">
        <f>m!D107</f>
        <v>0.65820000000000001</v>
      </c>
      <c r="E90" s="7">
        <v>9999</v>
      </c>
      <c r="F90" s="7">
        <v>9999</v>
      </c>
      <c r="G90" s="7">
        <v>9999</v>
      </c>
      <c r="H90" s="7">
        <v>9999</v>
      </c>
      <c r="I90" s="7">
        <v>0</v>
      </c>
      <c r="J90" s="7">
        <v>0</v>
      </c>
    </row>
    <row r="91" spans="1:11">
      <c r="B91" t="s">
        <v>106</v>
      </c>
      <c r="C91" t="s">
        <v>107</v>
      </c>
      <c r="D91" s="398">
        <f>m!D107</f>
        <v>0.65820000000000001</v>
      </c>
      <c r="E91" s="7">
        <v>9999</v>
      </c>
      <c r="F91" s="7">
        <v>9999</v>
      </c>
      <c r="G91" s="7">
        <v>9999</v>
      </c>
      <c r="H91" s="7">
        <v>9999</v>
      </c>
      <c r="I91" s="7">
        <v>0</v>
      </c>
      <c r="J91" s="7">
        <v>0</v>
      </c>
    </row>
    <row r="92" spans="1:11">
      <c r="B92" t="s">
        <v>108</v>
      </c>
      <c r="C92" t="s">
        <v>109</v>
      </c>
      <c r="D92" s="398">
        <f>m!D107</f>
        <v>0.65820000000000001</v>
      </c>
      <c r="E92" s="7">
        <v>9999</v>
      </c>
      <c r="F92" s="7">
        <v>9999</v>
      </c>
      <c r="G92" s="7">
        <v>9999</v>
      </c>
      <c r="H92" s="7">
        <v>9999</v>
      </c>
      <c r="I92" s="7">
        <v>0</v>
      </c>
      <c r="J92" s="7">
        <v>0</v>
      </c>
    </row>
    <row r="93" spans="1:11">
      <c r="B93" t="s">
        <v>110</v>
      </c>
      <c r="C93" t="s">
        <v>111</v>
      </c>
      <c r="D93" s="7">
        <v>0</v>
      </c>
      <c r="E93" s="7">
        <v>9999</v>
      </c>
      <c r="F93" s="7">
        <v>9999</v>
      </c>
      <c r="G93" s="7">
        <v>9999</v>
      </c>
      <c r="H93" s="7">
        <v>9999</v>
      </c>
      <c r="I93" s="7">
        <v>0</v>
      </c>
      <c r="J93" s="7">
        <v>0</v>
      </c>
    </row>
    <row r="94" spans="1:11">
      <c r="B94" t="s">
        <v>112</v>
      </c>
      <c r="C94" t="s">
        <v>113</v>
      </c>
      <c r="D94" s="7">
        <v>0</v>
      </c>
      <c r="E94" s="7">
        <v>9999</v>
      </c>
      <c r="F94" s="7">
        <v>9999</v>
      </c>
      <c r="G94" s="7">
        <v>9999</v>
      </c>
      <c r="H94" s="7">
        <v>9999</v>
      </c>
      <c r="I94" s="7">
        <v>0</v>
      </c>
      <c r="J94" s="7">
        <v>0</v>
      </c>
    </row>
    <row r="95" spans="1:11">
      <c r="B95" t="s">
        <v>114</v>
      </c>
      <c r="C95" t="s">
        <v>115</v>
      </c>
      <c r="D95" s="7">
        <v>0</v>
      </c>
      <c r="E95" s="7">
        <v>9999</v>
      </c>
      <c r="F95" s="7">
        <v>9999</v>
      </c>
      <c r="G95" s="7">
        <v>9999</v>
      </c>
      <c r="H95" s="7">
        <v>9999</v>
      </c>
      <c r="I95" s="7">
        <v>0</v>
      </c>
      <c r="J95" s="7">
        <v>0</v>
      </c>
    </row>
    <row r="98" spans="1:56">
      <c r="A98" s="1" t="s">
        <v>116</v>
      </c>
      <c r="H98" s="45"/>
      <c r="AA98" t="s">
        <v>117</v>
      </c>
    </row>
    <row r="99" spans="1:56">
      <c r="C99" t="s">
        <v>118</v>
      </c>
      <c r="H99" t="s">
        <v>119</v>
      </c>
      <c r="V99" t="s">
        <v>120</v>
      </c>
      <c r="AA99" s="4" t="s">
        <v>121</v>
      </c>
      <c r="AB99" s="4"/>
      <c r="AC99" s="4" t="s">
        <v>122</v>
      </c>
      <c r="AD99" s="4"/>
      <c r="AE99" s="4"/>
      <c r="AF99" s="4"/>
      <c r="AG99" s="4"/>
      <c r="AH99" s="4"/>
      <c r="AI99" s="4"/>
      <c r="AJ99" s="4"/>
      <c r="AK99" s="4" t="s">
        <v>123</v>
      </c>
      <c r="AL99" s="4"/>
    </row>
    <row r="100" spans="1:56">
      <c r="B100" s="6" t="s">
        <v>124</v>
      </c>
      <c r="C100" s="6" t="s">
        <v>125</v>
      </c>
      <c r="D100" s="6" t="s">
        <v>126</v>
      </c>
      <c r="E100" s="6" t="s">
        <v>127</v>
      </c>
      <c r="F100" s="6" t="s">
        <v>128</v>
      </c>
      <c r="G100" s="6" t="s">
        <v>49</v>
      </c>
      <c r="H100" s="6" t="s">
        <v>129</v>
      </c>
      <c r="I100" s="6" t="s">
        <v>130</v>
      </c>
      <c r="J100" s="6" t="s">
        <v>131</v>
      </c>
      <c r="K100" s="6" t="s">
        <v>132</v>
      </c>
      <c r="L100" s="6" t="s">
        <v>133</v>
      </c>
      <c r="M100" s="6" t="s">
        <v>134</v>
      </c>
      <c r="N100" s="6" t="s">
        <v>135</v>
      </c>
      <c r="O100" s="6" t="s">
        <v>136</v>
      </c>
      <c r="P100" s="6" t="s">
        <v>137</v>
      </c>
      <c r="Q100" s="6" t="s">
        <v>138</v>
      </c>
      <c r="R100" s="6" t="s">
        <v>139</v>
      </c>
      <c r="S100" s="6" t="s">
        <v>140</v>
      </c>
      <c r="T100" s="6" t="s">
        <v>141</v>
      </c>
      <c r="U100" s="6" t="s">
        <v>142</v>
      </c>
      <c r="V100" s="6" t="s">
        <v>143</v>
      </c>
      <c r="W100" s="6" t="s">
        <v>144</v>
      </c>
      <c r="X100" s="6" t="s">
        <v>145</v>
      </c>
      <c r="Y100" s="6" t="s">
        <v>146</v>
      </c>
      <c r="Z100" s="6" t="s">
        <v>147</v>
      </c>
      <c r="AA100" s="9" t="s">
        <v>148</v>
      </c>
      <c r="AB100" s="9" t="s">
        <v>149</v>
      </c>
      <c r="AC100" s="9" t="s">
        <v>150</v>
      </c>
      <c r="AD100" s="9" t="s">
        <v>130</v>
      </c>
      <c r="AE100" s="9" t="s">
        <v>131</v>
      </c>
      <c r="AF100" s="9" t="s">
        <v>136</v>
      </c>
      <c r="AG100" s="9" t="s">
        <v>137</v>
      </c>
      <c r="AH100" s="9" t="s">
        <v>138</v>
      </c>
      <c r="AI100" s="9" t="s">
        <v>151</v>
      </c>
      <c r="AJ100" s="9" t="s">
        <v>152</v>
      </c>
      <c r="AK100" s="9" t="s">
        <v>153</v>
      </c>
      <c r="AL100" s="9" t="s">
        <v>154</v>
      </c>
      <c r="AM100" s="6" t="s">
        <v>155</v>
      </c>
    </row>
    <row r="101" spans="1:56">
      <c r="A101" s="416" t="s">
        <v>865</v>
      </c>
      <c r="B101">
        <v>0</v>
      </c>
      <c r="C101" s="266">
        <f>'e (sf)'!U11</f>
        <v>0.48784836172599255</v>
      </c>
      <c r="D101" s="7">
        <v>9999</v>
      </c>
      <c r="E101" s="7">
        <v>99999</v>
      </c>
      <c r="F101" s="7">
        <v>99999</v>
      </c>
      <c r="G101" s="7">
        <v>99999</v>
      </c>
      <c r="H101" s="29">
        <f>'e (sf)'!D22*'e (sf)'!$E$22*2</f>
        <v>2.7716855522955292E-2</v>
      </c>
      <c r="I101" s="29">
        <f>(1-H101)*f!C27</f>
        <v>0</v>
      </c>
      <c r="J101" s="29">
        <f>1-I101-H101</f>
        <v>0.97228314447704467</v>
      </c>
      <c r="K101" s="7">
        <v>99999</v>
      </c>
      <c r="L101" s="7">
        <v>99999</v>
      </c>
      <c r="M101" s="7">
        <v>99999</v>
      </c>
      <c r="N101" s="7">
        <v>99999</v>
      </c>
      <c r="O101" s="29">
        <f>'e (sf)'!D22*2*(1-'e (sf)'!$E$22)</f>
        <v>1.9197253351376616E-2</v>
      </c>
      <c r="P101" s="29">
        <f>(1-O101)*f!B27</f>
        <v>0</v>
      </c>
      <c r="Q101" s="29">
        <f>1-P101-O101</f>
        <v>0.98080274664862344</v>
      </c>
      <c r="R101" s="7">
        <v>99999</v>
      </c>
      <c r="S101" s="7">
        <v>99999</v>
      </c>
      <c r="T101" s="7">
        <v>99999</v>
      </c>
      <c r="U101" s="7">
        <v>99999</v>
      </c>
      <c r="V101" s="7">
        <v>1</v>
      </c>
      <c r="W101" s="7">
        <v>0</v>
      </c>
      <c r="X101" s="7">
        <v>0</v>
      </c>
      <c r="Y101" s="7">
        <v>0</v>
      </c>
      <c r="Z101" s="7">
        <v>0</v>
      </c>
      <c r="AA101" s="7">
        <v>0</v>
      </c>
      <c r="AB101" s="7">
        <v>0</v>
      </c>
      <c r="AC101" s="7">
        <v>0</v>
      </c>
      <c r="AD101" s="7">
        <v>0</v>
      </c>
      <c r="AE101" s="7">
        <v>0</v>
      </c>
      <c r="AF101" s="7">
        <v>0</v>
      </c>
      <c r="AG101" s="7">
        <v>0</v>
      </c>
      <c r="AH101" s="7">
        <v>0</v>
      </c>
      <c r="AI101" s="7">
        <v>0</v>
      </c>
      <c r="AJ101" s="7">
        <v>0</v>
      </c>
      <c r="AK101" s="7">
        <v>0</v>
      </c>
      <c r="AL101" s="7">
        <v>0</v>
      </c>
      <c r="AM101" s="267">
        <f>f!D17</f>
        <v>11.096877459504327</v>
      </c>
    </row>
    <row r="102" spans="1:56">
      <c r="A102" s="416" t="s">
        <v>866</v>
      </c>
      <c r="B102">
        <v>1</v>
      </c>
      <c r="C102" s="266">
        <f>'e (sf)'!V11</f>
        <v>0.3434652836786164</v>
      </c>
      <c r="D102" s="7">
        <v>9999</v>
      </c>
      <c r="E102" s="7">
        <v>9999</v>
      </c>
      <c r="F102" s="7">
        <v>9999</v>
      </c>
      <c r="G102" s="7">
        <v>9999</v>
      </c>
      <c r="H102" s="29">
        <f>('e (sf)'!F23*(1-O101)*O102)/(1-H101)</f>
        <v>0.68025085432876553</v>
      </c>
      <c r="I102" s="29">
        <f>(1-H102)*f!C28</f>
        <v>0</v>
      </c>
      <c r="J102" s="29">
        <f t="shared" ref="J102:J107" si="0">1-I102-H102</f>
        <v>0.31974914567123447</v>
      </c>
      <c r="K102" s="7">
        <v>9999</v>
      </c>
      <c r="L102" s="7">
        <v>9999</v>
      </c>
      <c r="M102" s="7">
        <v>9999</v>
      </c>
      <c r="N102" s="7">
        <v>9999</v>
      </c>
      <c r="O102" s="29">
        <f>('e (sf)'!D23*(2*(1-'e (sf)'!D22)))/('e (sf)'!F23*(1-O101)+(1-O101))</f>
        <v>0.46706284219096106</v>
      </c>
      <c r="P102" s="29">
        <f>(1-O102)*f!B28</f>
        <v>0</v>
      </c>
      <c r="Q102" s="29">
        <f t="shared" ref="Q102:Q107" si="1">1-P102-O102</f>
        <v>0.53293715780903894</v>
      </c>
      <c r="R102" s="7">
        <v>9999</v>
      </c>
      <c r="S102" s="7">
        <v>9999</v>
      </c>
      <c r="T102" s="7">
        <v>9999</v>
      </c>
      <c r="U102" s="7">
        <v>9999</v>
      </c>
      <c r="V102" s="7">
        <v>1</v>
      </c>
      <c r="W102" s="7">
        <v>0</v>
      </c>
      <c r="X102" s="7">
        <v>0</v>
      </c>
      <c r="Y102" s="7">
        <v>0</v>
      </c>
      <c r="Z102" s="7">
        <v>0</v>
      </c>
      <c r="AA102" s="7">
        <v>0</v>
      </c>
      <c r="AB102" s="7">
        <v>0</v>
      </c>
      <c r="AC102" s="7">
        <v>0</v>
      </c>
      <c r="AD102" s="7">
        <v>0</v>
      </c>
      <c r="AE102" s="7">
        <v>0</v>
      </c>
      <c r="AF102" s="7">
        <v>0</v>
      </c>
      <c r="AG102" s="7">
        <v>0</v>
      </c>
      <c r="AH102" s="7">
        <v>0</v>
      </c>
      <c r="AI102" s="7">
        <v>0</v>
      </c>
      <c r="AJ102" s="7">
        <v>0</v>
      </c>
      <c r="AK102" s="7">
        <v>0</v>
      </c>
      <c r="AL102" s="7">
        <v>0</v>
      </c>
      <c r="AM102" s="268">
        <f>f!D18</f>
        <v>38.06904278109397</v>
      </c>
    </row>
    <row r="103" spans="1:56">
      <c r="A103" s="416" t="s">
        <v>867</v>
      </c>
      <c r="B103">
        <v>2</v>
      </c>
      <c r="C103" s="266">
        <f>'e (sf)'!W11</f>
        <v>0.35455328883972964</v>
      </c>
      <c r="D103" s="7">
        <v>9999</v>
      </c>
      <c r="E103" s="7">
        <v>9999</v>
      </c>
      <c r="F103" s="7">
        <v>9999</v>
      </c>
      <c r="G103" s="7">
        <v>9999</v>
      </c>
      <c r="H103" s="262">
        <f>'e (sf)'!D24</f>
        <v>0.95</v>
      </c>
      <c r="I103" s="29">
        <f>(1-H103)*f!C29</f>
        <v>5.0000000000000044E-3</v>
      </c>
      <c r="J103" s="29">
        <f t="shared" si="0"/>
        <v>4.500000000000004E-2</v>
      </c>
      <c r="K103" s="7">
        <v>9999</v>
      </c>
      <c r="L103" s="7">
        <v>9999</v>
      </c>
      <c r="M103" s="7">
        <v>9999</v>
      </c>
      <c r="N103" s="7">
        <v>9999</v>
      </c>
      <c r="O103" s="261">
        <f>'e (sf)'!E24</f>
        <v>0.65798916723087331</v>
      </c>
      <c r="P103" s="29">
        <f>(1-O103)*f!B29</f>
        <v>0.15390487474610701</v>
      </c>
      <c r="Q103" s="29">
        <f t="shared" si="1"/>
        <v>0.18810595802301966</v>
      </c>
      <c r="R103" s="7">
        <v>9999</v>
      </c>
      <c r="S103" s="7">
        <v>9999</v>
      </c>
      <c r="T103" s="7">
        <v>9999</v>
      </c>
      <c r="U103" s="7">
        <v>9999</v>
      </c>
      <c r="V103" s="7">
        <v>1</v>
      </c>
      <c r="W103" s="7">
        <v>0</v>
      </c>
      <c r="X103" s="7">
        <v>0</v>
      </c>
      <c r="Y103" s="7">
        <v>0</v>
      </c>
      <c r="Z103" s="7">
        <v>0</v>
      </c>
      <c r="AA103" s="7">
        <v>0</v>
      </c>
      <c r="AB103" s="7">
        <v>0</v>
      </c>
      <c r="AC103" s="7">
        <v>0</v>
      </c>
      <c r="AD103" s="7">
        <v>0</v>
      </c>
      <c r="AE103" s="7">
        <v>0</v>
      </c>
      <c r="AF103" s="7">
        <v>0</v>
      </c>
      <c r="AG103" s="7">
        <v>0</v>
      </c>
      <c r="AH103" s="7">
        <v>0</v>
      </c>
      <c r="AI103" s="7">
        <v>0</v>
      </c>
      <c r="AJ103" s="7">
        <v>0</v>
      </c>
      <c r="AK103" s="7">
        <v>0</v>
      </c>
      <c r="AL103" s="7">
        <v>0</v>
      </c>
      <c r="AM103" s="268">
        <f>f!D19</f>
        <v>74.701108144460321</v>
      </c>
    </row>
    <row r="104" spans="1:56">
      <c r="B104">
        <v>3</v>
      </c>
      <c r="C104" s="398">
        <f>'e (sf)'!W11</f>
        <v>0.35455328883972964</v>
      </c>
      <c r="D104" s="7">
        <v>9999</v>
      </c>
      <c r="E104" s="7">
        <v>9999</v>
      </c>
      <c r="F104" s="7">
        <v>9999</v>
      </c>
      <c r="G104" s="7">
        <v>9999</v>
      </c>
      <c r="H104" s="29">
        <v>0</v>
      </c>
      <c r="I104" s="29">
        <f>(1-H104)*f!C30</f>
        <v>0.35</v>
      </c>
      <c r="J104" s="29">
        <f t="shared" si="0"/>
        <v>0.65</v>
      </c>
      <c r="K104" s="7">
        <v>9999</v>
      </c>
      <c r="L104" s="7">
        <v>9999</v>
      </c>
      <c r="M104" s="7">
        <v>9999</v>
      </c>
      <c r="N104" s="7">
        <v>9999</v>
      </c>
      <c r="O104" s="29">
        <v>0</v>
      </c>
      <c r="P104" s="29">
        <f>(1-O104)*f!B30</f>
        <v>0.65</v>
      </c>
      <c r="Q104" s="29">
        <f t="shared" si="1"/>
        <v>0.35</v>
      </c>
      <c r="R104" s="7">
        <v>9999</v>
      </c>
      <c r="S104" s="7">
        <v>9999</v>
      </c>
      <c r="T104" s="7">
        <v>9999</v>
      </c>
      <c r="U104" s="7">
        <v>9999</v>
      </c>
      <c r="V104" s="7">
        <v>1</v>
      </c>
      <c r="W104" s="7">
        <v>0</v>
      </c>
      <c r="X104" s="7">
        <v>0</v>
      </c>
      <c r="Y104" s="7">
        <v>0</v>
      </c>
      <c r="Z104" s="7">
        <v>0</v>
      </c>
      <c r="AA104" s="7">
        <v>0</v>
      </c>
      <c r="AB104" s="7">
        <v>0</v>
      </c>
      <c r="AC104" s="7">
        <v>0</v>
      </c>
      <c r="AD104" s="7">
        <v>0</v>
      </c>
      <c r="AE104" s="7">
        <v>0</v>
      </c>
      <c r="AF104" s="7">
        <v>0</v>
      </c>
      <c r="AG104" s="7">
        <v>0</v>
      </c>
      <c r="AH104" s="7">
        <v>0</v>
      </c>
      <c r="AI104" s="7">
        <v>0</v>
      </c>
      <c r="AJ104" s="7">
        <v>0</v>
      </c>
      <c r="AK104" s="7">
        <v>0</v>
      </c>
      <c r="AL104" s="7">
        <v>0</v>
      </c>
      <c r="AM104" s="268">
        <f>f!D20</f>
        <v>123.40228269788216</v>
      </c>
      <c r="BD104" s="15"/>
    </row>
    <row r="105" spans="1:56">
      <c r="B105">
        <v>4</v>
      </c>
      <c r="C105" s="398">
        <f>'e (sf)'!W11</f>
        <v>0.35455328883972964</v>
      </c>
      <c r="D105" s="7">
        <v>9999</v>
      </c>
      <c r="E105" s="7">
        <v>9999</v>
      </c>
      <c r="F105" s="7">
        <v>9999</v>
      </c>
      <c r="G105" s="7">
        <v>9999</v>
      </c>
      <c r="H105" s="29">
        <v>0</v>
      </c>
      <c r="I105" s="29">
        <f>(1-H105)*f!C31</f>
        <v>0.6</v>
      </c>
      <c r="J105" s="29">
        <f t="shared" si="0"/>
        <v>0.4</v>
      </c>
      <c r="K105" s="7">
        <v>9999</v>
      </c>
      <c r="L105" s="7">
        <v>9999</v>
      </c>
      <c r="M105" s="7">
        <v>9999</v>
      </c>
      <c r="N105" s="7">
        <v>9999</v>
      </c>
      <c r="O105" s="29">
        <v>0</v>
      </c>
      <c r="P105" s="29">
        <f>(1-O105)*f!B31</f>
        <v>0.8</v>
      </c>
      <c r="Q105" s="29">
        <f t="shared" si="1"/>
        <v>0.19999999999999996</v>
      </c>
      <c r="R105" s="7">
        <v>9999</v>
      </c>
      <c r="S105" s="7">
        <v>9999</v>
      </c>
      <c r="T105" s="7">
        <v>9999</v>
      </c>
      <c r="U105" s="7">
        <v>9999</v>
      </c>
      <c r="V105" s="7">
        <v>1</v>
      </c>
      <c r="W105" s="7">
        <v>0</v>
      </c>
      <c r="X105" s="7">
        <v>0</v>
      </c>
      <c r="Y105" s="7">
        <v>0</v>
      </c>
      <c r="Z105" s="7">
        <v>0</v>
      </c>
      <c r="AA105" s="7">
        <v>0</v>
      </c>
      <c r="AB105" s="7">
        <v>0</v>
      </c>
      <c r="AC105" s="7">
        <v>0</v>
      </c>
      <c r="AD105" s="7">
        <v>0</v>
      </c>
      <c r="AE105" s="7">
        <v>0</v>
      </c>
      <c r="AF105" s="7">
        <v>0</v>
      </c>
      <c r="AG105" s="7">
        <v>0</v>
      </c>
      <c r="AH105" s="7">
        <v>0</v>
      </c>
      <c r="AI105" s="7">
        <v>0</v>
      </c>
      <c r="AJ105" s="7">
        <v>0</v>
      </c>
      <c r="AK105" s="7">
        <v>0</v>
      </c>
      <c r="AL105" s="7">
        <v>0</v>
      </c>
      <c r="AM105" s="268">
        <f>f!D21</f>
        <v>202.03699174910949</v>
      </c>
    </row>
    <row r="106" spans="1:56">
      <c r="B106">
        <v>5</v>
      </c>
      <c r="C106" s="398">
        <f>'e (sf)'!W11</f>
        <v>0.35455328883972964</v>
      </c>
      <c r="D106" s="7">
        <v>9999</v>
      </c>
      <c r="E106" s="7">
        <v>9999</v>
      </c>
      <c r="F106" s="7">
        <v>9999</v>
      </c>
      <c r="G106" s="7">
        <v>9999</v>
      </c>
      <c r="H106" s="29">
        <v>0</v>
      </c>
      <c r="I106" s="29">
        <f>(1-H106)*f!C32</f>
        <v>0.8</v>
      </c>
      <c r="J106" s="29">
        <f t="shared" si="0"/>
        <v>0.19999999999999996</v>
      </c>
      <c r="K106" s="7">
        <v>9999</v>
      </c>
      <c r="L106" s="7">
        <v>9999</v>
      </c>
      <c r="M106" s="7">
        <v>9999</v>
      </c>
      <c r="N106" s="7">
        <v>9999</v>
      </c>
      <c r="O106" s="29">
        <v>0</v>
      </c>
      <c r="P106" s="29">
        <f>(1-O106)*f!B32</f>
        <v>1</v>
      </c>
      <c r="Q106" s="29">
        <f t="shared" si="1"/>
        <v>0</v>
      </c>
      <c r="R106" s="7">
        <v>9999</v>
      </c>
      <c r="S106" s="7">
        <v>9999</v>
      </c>
      <c r="T106" s="7">
        <v>9999</v>
      </c>
      <c r="U106" s="7">
        <v>9999</v>
      </c>
      <c r="V106" s="7">
        <v>1</v>
      </c>
      <c r="W106" s="7">
        <v>0</v>
      </c>
      <c r="X106" s="7">
        <v>0</v>
      </c>
      <c r="Y106" s="7">
        <v>0</v>
      </c>
      <c r="Z106" s="7">
        <v>0</v>
      </c>
      <c r="AA106" s="7">
        <v>0</v>
      </c>
      <c r="AB106" s="7">
        <v>0</v>
      </c>
      <c r="AC106" s="7">
        <v>0</v>
      </c>
      <c r="AD106" s="7">
        <v>0</v>
      </c>
      <c r="AE106" s="7">
        <v>0</v>
      </c>
      <c r="AF106" s="7">
        <v>0</v>
      </c>
      <c r="AG106" s="7">
        <v>0</v>
      </c>
      <c r="AH106" s="7">
        <v>0</v>
      </c>
      <c r="AI106" s="7">
        <v>0</v>
      </c>
      <c r="AJ106" s="7">
        <v>0</v>
      </c>
      <c r="AK106" s="7">
        <v>0</v>
      </c>
      <c r="AL106" s="7">
        <v>0</v>
      </c>
      <c r="AM106" s="268">
        <f>f!D22</f>
        <v>247.57548242307968</v>
      </c>
    </row>
    <row r="107" spans="1:56">
      <c r="B107">
        <v>6</v>
      </c>
      <c r="C107" s="398">
        <f>'e (sf)'!W11</f>
        <v>0.35455328883972964</v>
      </c>
      <c r="D107" s="7">
        <v>9999</v>
      </c>
      <c r="E107" s="7">
        <v>9999</v>
      </c>
      <c r="F107" s="7">
        <v>9999</v>
      </c>
      <c r="G107" s="7">
        <v>9999</v>
      </c>
      <c r="H107" s="29">
        <v>0</v>
      </c>
      <c r="I107" s="29">
        <f>(1-H107)*f!C33</f>
        <v>1</v>
      </c>
      <c r="J107" s="29">
        <f t="shared" si="0"/>
        <v>0</v>
      </c>
      <c r="K107" s="7">
        <v>9999</v>
      </c>
      <c r="L107" s="7">
        <v>9999</v>
      </c>
      <c r="M107" s="7">
        <v>9999</v>
      </c>
      <c r="N107" s="7">
        <v>9999</v>
      </c>
      <c r="O107" s="29">
        <v>0</v>
      </c>
      <c r="P107" s="29">
        <f>(1-O107)*f!B33</f>
        <v>1</v>
      </c>
      <c r="Q107" s="29">
        <f t="shared" si="1"/>
        <v>0</v>
      </c>
      <c r="R107" s="7">
        <v>9999</v>
      </c>
      <c r="S107" s="7">
        <v>9999</v>
      </c>
      <c r="T107" s="7">
        <v>9999</v>
      </c>
      <c r="U107" s="7">
        <v>9999</v>
      </c>
      <c r="V107" s="7">
        <v>1</v>
      </c>
      <c r="W107" s="7">
        <v>0</v>
      </c>
      <c r="X107" s="7">
        <v>0</v>
      </c>
      <c r="Y107" s="7">
        <v>0</v>
      </c>
      <c r="Z107" s="7">
        <v>0</v>
      </c>
      <c r="AA107" s="7">
        <v>0</v>
      </c>
      <c r="AB107" s="7">
        <v>0</v>
      </c>
      <c r="AC107" s="7">
        <v>0</v>
      </c>
      <c r="AD107" s="7">
        <v>0</v>
      </c>
      <c r="AE107" s="7">
        <v>0</v>
      </c>
      <c r="AF107" s="7">
        <v>0</v>
      </c>
      <c r="AG107" s="7">
        <v>0</v>
      </c>
      <c r="AH107" s="7">
        <v>0</v>
      </c>
      <c r="AI107" s="7">
        <v>0</v>
      </c>
      <c r="AJ107" s="7">
        <v>0</v>
      </c>
      <c r="AK107" s="7">
        <v>0</v>
      </c>
      <c r="AL107" s="7">
        <v>0</v>
      </c>
      <c r="AM107" s="268">
        <f>f!D23</f>
        <v>315.08610858755986</v>
      </c>
    </row>
    <row r="108" spans="1:56">
      <c r="B108">
        <v>7</v>
      </c>
      <c r="C108" s="12">
        <v>0</v>
      </c>
      <c r="D108" s="7">
        <v>9999</v>
      </c>
      <c r="E108" s="7">
        <v>9999</v>
      </c>
      <c r="F108" s="7">
        <v>9999</v>
      </c>
      <c r="G108" s="7">
        <v>9999</v>
      </c>
      <c r="H108" s="12">
        <v>0</v>
      </c>
      <c r="I108" s="12">
        <v>0</v>
      </c>
      <c r="J108" s="12">
        <v>0</v>
      </c>
      <c r="K108" s="7">
        <v>9999</v>
      </c>
      <c r="L108" s="7">
        <v>9999</v>
      </c>
      <c r="M108" s="7">
        <v>9999</v>
      </c>
      <c r="N108" s="7">
        <v>9999</v>
      </c>
      <c r="O108" s="12">
        <v>0</v>
      </c>
      <c r="P108" s="12">
        <v>0</v>
      </c>
      <c r="Q108" s="12">
        <v>0</v>
      </c>
      <c r="R108" s="7">
        <v>9999</v>
      </c>
      <c r="S108" s="7">
        <v>9999</v>
      </c>
      <c r="T108" s="7">
        <v>9999</v>
      </c>
      <c r="U108" s="7">
        <v>9999</v>
      </c>
      <c r="V108" s="7">
        <v>1</v>
      </c>
      <c r="W108" s="7">
        <v>0</v>
      </c>
      <c r="X108" s="7">
        <v>0</v>
      </c>
      <c r="Y108" s="7">
        <v>0</v>
      </c>
      <c r="Z108" s="7">
        <v>0</v>
      </c>
      <c r="AA108" s="7">
        <v>0</v>
      </c>
      <c r="AB108" s="7">
        <v>0</v>
      </c>
      <c r="AC108" s="7">
        <v>0</v>
      </c>
      <c r="AD108" s="7">
        <v>0</v>
      </c>
      <c r="AE108" s="7">
        <v>0</v>
      </c>
      <c r="AF108" s="7">
        <v>0</v>
      </c>
      <c r="AG108" s="7">
        <v>0</v>
      </c>
      <c r="AH108" s="7">
        <v>0</v>
      </c>
      <c r="AI108" s="7">
        <v>0</v>
      </c>
      <c r="AJ108" s="7">
        <v>0</v>
      </c>
      <c r="AK108" s="7">
        <v>0</v>
      </c>
      <c r="AL108" s="7">
        <v>0</v>
      </c>
      <c r="AM108" s="268">
        <f>AM107</f>
        <v>315.08610858755986</v>
      </c>
    </row>
    <row r="109" spans="1:56">
      <c r="B109">
        <v>8</v>
      </c>
      <c r="C109" s="12">
        <v>0</v>
      </c>
      <c r="D109" s="7">
        <v>9999</v>
      </c>
      <c r="E109" s="7">
        <v>9999</v>
      </c>
      <c r="F109" s="7">
        <v>9999</v>
      </c>
      <c r="G109" s="7">
        <v>9999</v>
      </c>
      <c r="H109" s="12">
        <v>0</v>
      </c>
      <c r="I109" s="12">
        <v>0</v>
      </c>
      <c r="J109" s="12">
        <v>0</v>
      </c>
      <c r="K109" s="7">
        <v>9999</v>
      </c>
      <c r="L109" s="7">
        <v>9999</v>
      </c>
      <c r="M109" s="7">
        <v>9999</v>
      </c>
      <c r="N109" s="7">
        <v>9999</v>
      </c>
      <c r="O109" s="12">
        <v>0</v>
      </c>
      <c r="P109" s="12">
        <v>0</v>
      </c>
      <c r="Q109" s="12">
        <v>0</v>
      </c>
      <c r="R109" s="7">
        <v>9999</v>
      </c>
      <c r="S109" s="7">
        <v>9999</v>
      </c>
      <c r="T109" s="7">
        <v>9999</v>
      </c>
      <c r="U109" s="7">
        <v>9999</v>
      </c>
      <c r="V109" s="7">
        <v>1</v>
      </c>
      <c r="W109" s="7">
        <v>0</v>
      </c>
      <c r="X109" s="7">
        <v>0</v>
      </c>
      <c r="Y109" s="7">
        <v>0</v>
      </c>
      <c r="Z109" s="7">
        <v>0</v>
      </c>
      <c r="AA109" s="7">
        <v>0</v>
      </c>
      <c r="AB109" s="7">
        <v>0</v>
      </c>
      <c r="AC109" s="7">
        <v>0</v>
      </c>
      <c r="AD109" s="7">
        <v>0</v>
      </c>
      <c r="AE109" s="7">
        <v>0</v>
      </c>
      <c r="AF109" s="7">
        <v>0</v>
      </c>
      <c r="AG109" s="7">
        <v>0</v>
      </c>
      <c r="AH109" s="7">
        <v>0</v>
      </c>
      <c r="AI109" s="7">
        <v>0</v>
      </c>
      <c r="AJ109" s="7">
        <v>0</v>
      </c>
      <c r="AK109" s="7">
        <v>0</v>
      </c>
      <c r="AL109" s="7">
        <v>0</v>
      </c>
      <c r="AM109" s="268">
        <f>AM108</f>
        <v>315.08610858755986</v>
      </c>
    </row>
    <row r="110" spans="1:56">
      <c r="B110">
        <v>9</v>
      </c>
      <c r="C110" s="12">
        <v>0</v>
      </c>
      <c r="D110" s="7">
        <v>9999</v>
      </c>
      <c r="E110" s="7">
        <v>9999</v>
      </c>
      <c r="F110" s="7">
        <v>9999</v>
      </c>
      <c r="G110" s="7">
        <v>9999</v>
      </c>
      <c r="H110" s="12">
        <v>0</v>
      </c>
      <c r="I110" s="12">
        <v>0</v>
      </c>
      <c r="J110" s="12">
        <v>0</v>
      </c>
      <c r="K110" s="7">
        <v>9999</v>
      </c>
      <c r="L110" s="7">
        <v>9999</v>
      </c>
      <c r="M110" s="7">
        <v>9999</v>
      </c>
      <c r="N110" s="7">
        <v>9999</v>
      </c>
      <c r="O110" s="12">
        <v>0</v>
      </c>
      <c r="P110" s="12">
        <v>0</v>
      </c>
      <c r="Q110" s="12">
        <v>0</v>
      </c>
      <c r="R110" s="7">
        <v>9999</v>
      </c>
      <c r="S110" s="7">
        <v>9999</v>
      </c>
      <c r="T110" s="7">
        <v>9999</v>
      </c>
      <c r="U110" s="7">
        <v>9999</v>
      </c>
      <c r="V110" s="7">
        <v>1</v>
      </c>
      <c r="W110" s="7">
        <v>0</v>
      </c>
      <c r="X110" s="7">
        <v>0</v>
      </c>
      <c r="Y110" s="7">
        <v>0</v>
      </c>
      <c r="Z110" s="7">
        <v>0</v>
      </c>
      <c r="AA110" s="7">
        <v>0</v>
      </c>
      <c r="AB110" s="7">
        <v>0</v>
      </c>
      <c r="AC110" s="7">
        <v>0</v>
      </c>
      <c r="AD110" s="7">
        <v>0</v>
      </c>
      <c r="AE110" s="7">
        <v>0</v>
      </c>
      <c r="AF110" s="7">
        <v>0</v>
      </c>
      <c r="AG110" s="7">
        <v>0</v>
      </c>
      <c r="AH110" s="7">
        <v>0</v>
      </c>
      <c r="AI110" s="7">
        <v>0</v>
      </c>
      <c r="AJ110" s="7">
        <v>0</v>
      </c>
      <c r="AK110" s="7">
        <v>0</v>
      </c>
      <c r="AL110" s="7">
        <v>0</v>
      </c>
      <c r="AM110" s="268">
        <f>AM109</f>
        <v>315.08610858755986</v>
      </c>
    </row>
    <row r="113" spans="1:63">
      <c r="A113" s="1" t="s">
        <v>160</v>
      </c>
      <c r="S113" t="s">
        <v>161</v>
      </c>
    </row>
    <row r="114" spans="1:63">
      <c r="E114" t="s">
        <v>162</v>
      </c>
      <c r="N114" t="s">
        <v>163</v>
      </c>
      <c r="S114" s="4" t="s">
        <v>164</v>
      </c>
      <c r="T114" s="4"/>
      <c r="U114" s="4"/>
      <c r="V114" s="4"/>
      <c r="W114" s="4" t="s">
        <v>165</v>
      </c>
      <c r="X114" s="4"/>
    </row>
    <row r="115" spans="1:63">
      <c r="B115" s="6" t="s">
        <v>75</v>
      </c>
      <c r="C115" s="6" t="s">
        <v>166</v>
      </c>
      <c r="D115" s="401" t="s">
        <v>167</v>
      </c>
      <c r="E115" s="6" t="s">
        <v>168</v>
      </c>
      <c r="F115" s="6" t="s">
        <v>169</v>
      </c>
      <c r="G115" s="6" t="s">
        <v>170</v>
      </c>
      <c r="H115" s="6" t="s">
        <v>135</v>
      </c>
      <c r="I115" s="401" t="s">
        <v>171</v>
      </c>
      <c r="J115" s="6" t="s">
        <v>172</v>
      </c>
      <c r="K115" s="6" t="s">
        <v>173</v>
      </c>
      <c r="L115" s="6" t="s">
        <v>174</v>
      </c>
      <c r="M115" s="6" t="s">
        <v>142</v>
      </c>
      <c r="N115" s="6" t="s">
        <v>175</v>
      </c>
      <c r="O115" s="6" t="s">
        <v>176</v>
      </c>
      <c r="P115" s="6" t="s">
        <v>177</v>
      </c>
      <c r="Q115" s="6" t="s">
        <v>178</v>
      </c>
      <c r="R115" s="6" t="s">
        <v>12</v>
      </c>
      <c r="S115" s="9" t="s">
        <v>179</v>
      </c>
      <c r="T115" s="9" t="s">
        <v>180</v>
      </c>
      <c r="U115" s="9" t="s">
        <v>179</v>
      </c>
      <c r="V115" s="9" t="s">
        <v>180</v>
      </c>
      <c r="W115" s="9" t="s">
        <v>181</v>
      </c>
      <c r="X115" s="9" t="s">
        <v>33</v>
      </c>
    </row>
    <row r="116" spans="1:63">
      <c r="A116" s="416" t="s">
        <v>467</v>
      </c>
      <c r="B116" t="s">
        <v>96</v>
      </c>
      <c r="C116">
        <v>1</v>
      </c>
      <c r="D116" s="266">
        <f>m!D111</f>
        <v>0.45939999999999998</v>
      </c>
      <c r="E116" s="7">
        <v>99999</v>
      </c>
      <c r="F116" s="7">
        <v>99999</v>
      </c>
      <c r="G116" s="7">
        <v>99999</v>
      </c>
      <c r="H116" s="7">
        <v>999999</v>
      </c>
      <c r="I116" s="266">
        <f>D116</f>
        <v>0.45939999999999998</v>
      </c>
      <c r="J116" s="7">
        <v>99999</v>
      </c>
      <c r="K116" s="7">
        <v>99999</v>
      </c>
      <c r="L116" s="7">
        <v>99999</v>
      </c>
      <c r="M116" s="7">
        <v>999999</v>
      </c>
      <c r="N116" s="40">
        <v>1.0000000000000001E+50</v>
      </c>
      <c r="O116" s="7">
        <v>0</v>
      </c>
      <c r="P116" s="7">
        <v>0</v>
      </c>
      <c r="Q116" s="7">
        <v>0</v>
      </c>
      <c r="R116" s="7">
        <v>0</v>
      </c>
      <c r="S116" s="7">
        <v>0</v>
      </c>
      <c r="T116" s="7">
        <v>0</v>
      </c>
      <c r="U116" s="7">
        <v>0</v>
      </c>
      <c r="V116" s="7">
        <v>0</v>
      </c>
      <c r="W116" s="7">
        <v>0</v>
      </c>
      <c r="X116" s="7">
        <v>0</v>
      </c>
    </row>
    <row r="117" spans="1:63">
      <c r="A117" s="416" t="s">
        <v>468</v>
      </c>
      <c r="B117" t="s">
        <v>98</v>
      </c>
      <c r="C117">
        <v>2</v>
      </c>
      <c r="D117" s="266">
        <f>m!D115</f>
        <v>0.98619999999999997</v>
      </c>
      <c r="E117" s="7">
        <v>99999</v>
      </c>
      <c r="F117" s="7">
        <v>99999</v>
      </c>
      <c r="G117" s="7">
        <v>99999</v>
      </c>
      <c r="H117" s="7">
        <v>999999</v>
      </c>
      <c r="I117" s="266">
        <f>D117</f>
        <v>0.98619999999999997</v>
      </c>
      <c r="J117" s="7">
        <v>99999</v>
      </c>
      <c r="K117" s="7">
        <v>99999</v>
      </c>
      <c r="L117" s="7">
        <v>99999</v>
      </c>
      <c r="M117" s="7">
        <v>999999</v>
      </c>
      <c r="N117" s="40">
        <v>1.0000000000000001E+50</v>
      </c>
      <c r="O117" s="7">
        <v>0</v>
      </c>
      <c r="P117" s="7">
        <v>0</v>
      </c>
      <c r="Q117" s="7">
        <v>0</v>
      </c>
      <c r="R117" s="7">
        <v>0</v>
      </c>
      <c r="S117" s="7">
        <v>0</v>
      </c>
      <c r="T117" s="7">
        <v>0</v>
      </c>
      <c r="U117" s="7">
        <v>0</v>
      </c>
      <c r="V117" s="7">
        <v>0</v>
      </c>
      <c r="W117" s="7">
        <v>0</v>
      </c>
      <c r="X117" s="7">
        <v>0</v>
      </c>
    </row>
    <row r="118" spans="1:63">
      <c r="A118" s="416" t="s">
        <v>469</v>
      </c>
      <c r="B118" t="s">
        <v>100</v>
      </c>
      <c r="C118">
        <v>3</v>
      </c>
      <c r="D118" s="266">
        <v>1</v>
      </c>
      <c r="E118" s="7">
        <v>99999</v>
      </c>
      <c r="F118" s="7">
        <v>99999</v>
      </c>
      <c r="G118" s="7">
        <v>99999</v>
      </c>
      <c r="H118" s="7">
        <v>999999</v>
      </c>
      <c r="I118" s="266">
        <f>D118</f>
        <v>1</v>
      </c>
      <c r="J118" s="7">
        <v>99999</v>
      </c>
      <c r="K118" s="7">
        <v>99999</v>
      </c>
      <c r="L118" s="7">
        <v>99999</v>
      </c>
      <c r="M118" s="7">
        <v>999999</v>
      </c>
      <c r="N118" s="40">
        <v>1.0000000000000001E+50</v>
      </c>
      <c r="O118" s="7">
        <v>0</v>
      </c>
      <c r="P118" s="7">
        <v>0</v>
      </c>
      <c r="Q118" s="7">
        <v>0</v>
      </c>
      <c r="R118" s="7">
        <v>0</v>
      </c>
      <c r="S118" s="7">
        <v>0</v>
      </c>
      <c r="T118" s="7">
        <v>0</v>
      </c>
      <c r="U118" s="7">
        <v>0</v>
      </c>
      <c r="V118" s="7">
        <v>0</v>
      </c>
      <c r="W118" s="7">
        <v>0</v>
      </c>
      <c r="X118" s="7">
        <v>0</v>
      </c>
    </row>
    <row r="119" spans="1:63">
      <c r="B119" t="s">
        <v>102</v>
      </c>
      <c r="C119">
        <v>4</v>
      </c>
      <c r="D119" s="266">
        <v>1</v>
      </c>
      <c r="E119" s="7">
        <v>9999</v>
      </c>
      <c r="F119" s="7">
        <v>9999</v>
      </c>
      <c r="G119" s="7">
        <v>9999</v>
      </c>
      <c r="H119" s="7">
        <v>9999</v>
      </c>
      <c r="I119" s="266">
        <v>1</v>
      </c>
      <c r="J119" s="7">
        <v>9999</v>
      </c>
      <c r="K119" s="7">
        <v>9999</v>
      </c>
      <c r="L119" s="7">
        <v>9999</v>
      </c>
      <c r="M119" s="7">
        <v>9999</v>
      </c>
      <c r="N119" s="40">
        <v>1.0000000000000001E+50</v>
      </c>
      <c r="O119" s="7">
        <v>0</v>
      </c>
      <c r="P119" s="7">
        <v>0</v>
      </c>
      <c r="Q119" s="7">
        <v>0</v>
      </c>
      <c r="R119" s="7">
        <v>0</v>
      </c>
      <c r="S119" s="7">
        <v>0</v>
      </c>
      <c r="T119" s="7">
        <v>0</v>
      </c>
      <c r="U119" s="7">
        <v>0</v>
      </c>
      <c r="V119" s="7">
        <v>0</v>
      </c>
      <c r="W119" s="7">
        <v>0</v>
      </c>
      <c r="X119" s="7">
        <v>0</v>
      </c>
      <c r="BK119" t="s">
        <v>182</v>
      </c>
    </row>
    <row r="120" spans="1:63">
      <c r="B120" t="s">
        <v>104</v>
      </c>
      <c r="C120">
        <v>5</v>
      </c>
      <c r="D120" s="266">
        <v>1</v>
      </c>
      <c r="E120" s="7">
        <v>9999</v>
      </c>
      <c r="F120" s="7">
        <v>9999</v>
      </c>
      <c r="G120" s="7">
        <v>9999</v>
      </c>
      <c r="H120" s="7">
        <v>9999</v>
      </c>
      <c r="I120" s="266">
        <v>1</v>
      </c>
      <c r="J120" s="7">
        <v>9999</v>
      </c>
      <c r="K120" s="7">
        <v>9999</v>
      </c>
      <c r="L120" s="7">
        <v>9999</v>
      </c>
      <c r="M120" s="7">
        <v>9999</v>
      </c>
      <c r="N120" s="40">
        <v>1.0000000000000001E+50</v>
      </c>
      <c r="O120" s="7">
        <v>0</v>
      </c>
      <c r="P120" s="7">
        <v>0</v>
      </c>
      <c r="Q120" s="7">
        <v>0</v>
      </c>
      <c r="R120" s="7">
        <v>0</v>
      </c>
      <c r="S120" s="7">
        <v>0</v>
      </c>
      <c r="T120" s="7">
        <v>0</v>
      </c>
      <c r="U120" s="7">
        <v>0</v>
      </c>
      <c r="V120" s="7">
        <v>0</v>
      </c>
      <c r="W120" s="7">
        <v>0</v>
      </c>
      <c r="X120" s="7">
        <v>0</v>
      </c>
    </row>
    <row r="121" spans="1:63">
      <c r="B121" t="s">
        <v>106</v>
      </c>
      <c r="C121">
        <v>6</v>
      </c>
      <c r="D121" s="266">
        <v>1</v>
      </c>
      <c r="E121" s="7">
        <v>9999</v>
      </c>
      <c r="F121" s="7">
        <v>9999</v>
      </c>
      <c r="G121" s="7">
        <v>9999</v>
      </c>
      <c r="H121" s="7">
        <v>9999</v>
      </c>
      <c r="I121" s="266">
        <v>1</v>
      </c>
      <c r="J121" s="7">
        <v>9999</v>
      </c>
      <c r="K121" s="7">
        <v>9999</v>
      </c>
      <c r="L121" s="7">
        <v>9999</v>
      </c>
      <c r="M121" s="7">
        <v>9999</v>
      </c>
      <c r="N121" s="40">
        <v>1.0000000000000001E+50</v>
      </c>
      <c r="O121" s="7">
        <v>0</v>
      </c>
      <c r="P121" s="7">
        <v>0</v>
      </c>
      <c r="Q121" s="7">
        <v>0</v>
      </c>
      <c r="R121" s="7">
        <v>0</v>
      </c>
      <c r="S121" s="7">
        <v>0</v>
      </c>
      <c r="T121" s="7">
        <v>0</v>
      </c>
      <c r="U121" s="7">
        <v>0</v>
      </c>
      <c r="V121" s="7">
        <v>0</v>
      </c>
      <c r="W121" s="7">
        <v>0</v>
      </c>
      <c r="X121" s="7">
        <v>0</v>
      </c>
    </row>
    <row r="122" spans="1:63">
      <c r="B122" t="s">
        <v>108</v>
      </c>
      <c r="C122">
        <v>7</v>
      </c>
      <c r="D122" s="266">
        <v>1</v>
      </c>
      <c r="E122" s="7">
        <v>9999</v>
      </c>
      <c r="F122" s="7">
        <v>9999</v>
      </c>
      <c r="G122" s="7">
        <v>9999</v>
      </c>
      <c r="H122" s="7">
        <v>9999</v>
      </c>
      <c r="I122" s="266">
        <v>1</v>
      </c>
      <c r="J122" s="7">
        <v>9999</v>
      </c>
      <c r="K122" s="7">
        <v>9999</v>
      </c>
      <c r="L122" s="7">
        <v>9999</v>
      </c>
      <c r="M122" s="7">
        <v>9999</v>
      </c>
      <c r="N122" s="40">
        <v>1.0000000000000001E+50</v>
      </c>
      <c r="O122" s="7">
        <v>0</v>
      </c>
      <c r="P122" s="7">
        <v>0</v>
      </c>
      <c r="Q122" s="7">
        <v>0</v>
      </c>
      <c r="R122" s="7">
        <v>0</v>
      </c>
      <c r="S122" s="7">
        <v>0</v>
      </c>
      <c r="T122" s="7">
        <v>0</v>
      </c>
      <c r="U122" s="7">
        <v>0</v>
      </c>
      <c r="V122" s="7">
        <v>0</v>
      </c>
      <c r="W122" s="7">
        <v>0</v>
      </c>
      <c r="X122" s="7">
        <v>0</v>
      </c>
    </row>
    <row r="123" spans="1:63">
      <c r="B123" t="s">
        <v>110</v>
      </c>
      <c r="C123">
        <v>8</v>
      </c>
      <c r="D123" s="266">
        <v>1</v>
      </c>
      <c r="E123" s="7">
        <v>9999</v>
      </c>
      <c r="F123" s="7">
        <v>9999</v>
      </c>
      <c r="G123" s="7">
        <v>9999</v>
      </c>
      <c r="H123" s="7">
        <v>9999</v>
      </c>
      <c r="I123" s="266">
        <v>1</v>
      </c>
      <c r="J123" s="7">
        <v>9999</v>
      </c>
      <c r="K123" s="7">
        <v>9999</v>
      </c>
      <c r="L123" s="7">
        <v>9999</v>
      </c>
      <c r="M123" s="7">
        <v>9999</v>
      </c>
      <c r="N123" s="40">
        <v>1.0000000000000001E+50</v>
      </c>
      <c r="O123" s="7">
        <v>0</v>
      </c>
      <c r="P123" s="7">
        <v>0</v>
      </c>
      <c r="Q123" s="7">
        <v>0</v>
      </c>
      <c r="R123" s="7">
        <v>0</v>
      </c>
      <c r="S123" s="7">
        <v>0</v>
      </c>
      <c r="T123" s="7">
        <v>0</v>
      </c>
      <c r="U123" s="7">
        <v>0</v>
      </c>
      <c r="V123" s="7">
        <v>0</v>
      </c>
      <c r="W123" s="7">
        <v>0</v>
      </c>
      <c r="X123" s="7">
        <v>0</v>
      </c>
    </row>
    <row r="124" spans="1:63">
      <c r="B124" t="s">
        <v>112</v>
      </c>
      <c r="C124">
        <v>9</v>
      </c>
      <c r="D124" s="266">
        <v>1</v>
      </c>
      <c r="E124" s="7">
        <v>9999</v>
      </c>
      <c r="F124" s="7">
        <v>9999</v>
      </c>
      <c r="G124" s="7">
        <v>9999</v>
      </c>
      <c r="H124" s="7">
        <v>9999</v>
      </c>
      <c r="I124" s="266">
        <v>1</v>
      </c>
      <c r="J124" s="7">
        <v>9999</v>
      </c>
      <c r="K124" s="7">
        <v>9999</v>
      </c>
      <c r="L124" s="7">
        <v>9999</v>
      </c>
      <c r="M124" s="7">
        <v>9999</v>
      </c>
      <c r="N124" s="40">
        <v>1.0000000000000001E+50</v>
      </c>
      <c r="O124" s="7">
        <v>0</v>
      </c>
      <c r="P124" s="7">
        <v>0</v>
      </c>
      <c r="Q124" s="7">
        <v>0</v>
      </c>
      <c r="R124" s="7">
        <v>0</v>
      </c>
      <c r="S124" s="7">
        <v>0</v>
      </c>
      <c r="T124" s="7">
        <v>0</v>
      </c>
      <c r="U124" s="7">
        <v>0</v>
      </c>
      <c r="V124" s="7">
        <v>0</v>
      </c>
      <c r="W124" s="7">
        <v>0</v>
      </c>
      <c r="X124" s="7">
        <v>0</v>
      </c>
    </row>
    <row r="125" spans="1:63">
      <c r="B125" t="s">
        <v>114</v>
      </c>
      <c r="C125">
        <v>10</v>
      </c>
      <c r="D125" s="266">
        <v>1</v>
      </c>
      <c r="E125" s="7">
        <v>9999</v>
      </c>
      <c r="F125" s="7">
        <v>9999</v>
      </c>
      <c r="G125" s="7">
        <v>9999</v>
      </c>
      <c r="H125" s="7">
        <v>9999</v>
      </c>
      <c r="I125" s="266">
        <v>1</v>
      </c>
      <c r="J125" s="7">
        <v>9999</v>
      </c>
      <c r="K125" s="7">
        <v>9999</v>
      </c>
      <c r="L125" s="7">
        <v>9999</v>
      </c>
      <c r="M125" s="7">
        <v>9999</v>
      </c>
      <c r="N125" s="40">
        <v>1.0000000000000001E+50</v>
      </c>
      <c r="O125" s="7">
        <v>0</v>
      </c>
      <c r="P125" s="7">
        <v>0</v>
      </c>
      <c r="Q125" s="7">
        <v>0</v>
      </c>
      <c r="R125" s="7">
        <v>0</v>
      </c>
      <c r="S125" s="7">
        <v>0</v>
      </c>
      <c r="T125" s="7">
        <v>0</v>
      </c>
      <c r="U125" s="7">
        <v>0</v>
      </c>
      <c r="V125" s="7">
        <v>0</v>
      </c>
      <c r="W125" s="7">
        <v>0</v>
      </c>
      <c r="X125" s="7">
        <v>0</v>
      </c>
    </row>
    <row r="128" spans="1:63">
      <c r="A128" s="1" t="s">
        <v>183</v>
      </c>
    </row>
    <row r="129" spans="1:87">
      <c r="P129" t="s">
        <v>176</v>
      </c>
      <c r="Q129" t="s">
        <v>176</v>
      </c>
      <c r="R129" t="s">
        <v>176</v>
      </c>
      <c r="S129" t="s">
        <v>176</v>
      </c>
      <c r="T129" t="s">
        <v>176</v>
      </c>
      <c r="U129" t="s">
        <v>176</v>
      </c>
      <c r="V129" t="s">
        <v>176</v>
      </c>
      <c r="W129" t="s">
        <v>176</v>
      </c>
      <c r="X129" t="s">
        <v>176</v>
      </c>
      <c r="Y129" t="s">
        <v>176</v>
      </c>
      <c r="Z129" t="s">
        <v>176</v>
      </c>
      <c r="AA129" t="s">
        <v>176</v>
      </c>
      <c r="AB129" t="s">
        <v>184</v>
      </c>
      <c r="AC129" t="s">
        <v>184</v>
      </c>
      <c r="AD129" t="s">
        <v>184</v>
      </c>
      <c r="AE129" t="s">
        <v>184</v>
      </c>
      <c r="AF129" t="s">
        <v>184</v>
      </c>
      <c r="AG129" t="s">
        <v>184</v>
      </c>
      <c r="AH129" t="s">
        <v>184</v>
      </c>
      <c r="AI129" t="s">
        <v>184</v>
      </c>
      <c r="AJ129" t="s">
        <v>184</v>
      </c>
      <c r="AK129" t="s">
        <v>184</v>
      </c>
      <c r="AL129" t="s">
        <v>184</v>
      </c>
      <c r="AM129" t="s">
        <v>184</v>
      </c>
      <c r="AN129" t="s">
        <v>178</v>
      </c>
      <c r="AO129" t="s">
        <v>178</v>
      </c>
      <c r="AP129" t="s">
        <v>178</v>
      </c>
      <c r="AQ129" t="s">
        <v>178</v>
      </c>
      <c r="AR129" t="s">
        <v>178</v>
      </c>
      <c r="AS129" t="s">
        <v>178</v>
      </c>
      <c r="AT129" t="s">
        <v>178</v>
      </c>
      <c r="AU129" t="s">
        <v>178</v>
      </c>
      <c r="AV129" t="s">
        <v>178</v>
      </c>
      <c r="AW129" t="s">
        <v>178</v>
      </c>
      <c r="AX129" t="s">
        <v>178</v>
      </c>
      <c r="AY129" t="s">
        <v>178</v>
      </c>
      <c r="AZ129" t="s">
        <v>12</v>
      </c>
      <c r="BA129" t="s">
        <v>12</v>
      </c>
      <c r="BB129" t="s">
        <v>12</v>
      </c>
      <c r="BC129" t="s">
        <v>12</v>
      </c>
      <c r="BD129" t="s">
        <v>12</v>
      </c>
      <c r="BE129" t="s">
        <v>12</v>
      </c>
      <c r="BF129" t="s">
        <v>12</v>
      </c>
      <c r="BG129" t="s">
        <v>12</v>
      </c>
      <c r="BH129" t="s">
        <v>12</v>
      </c>
      <c r="BI129" t="s">
        <v>12</v>
      </c>
      <c r="BJ129" t="s">
        <v>12</v>
      </c>
      <c r="BK129" t="s">
        <v>12</v>
      </c>
      <c r="BL129" t="s">
        <v>32</v>
      </c>
      <c r="BM129" t="s">
        <v>32</v>
      </c>
      <c r="BN129" t="s">
        <v>32</v>
      </c>
      <c r="BO129" t="s">
        <v>32</v>
      </c>
      <c r="BP129" t="s">
        <v>32</v>
      </c>
      <c r="BQ129" t="s">
        <v>32</v>
      </c>
      <c r="BR129" t="s">
        <v>32</v>
      </c>
      <c r="BS129" t="s">
        <v>32</v>
      </c>
      <c r="BT129" t="s">
        <v>32</v>
      </c>
      <c r="BU129" t="s">
        <v>32</v>
      </c>
      <c r="BV129" t="s">
        <v>32</v>
      </c>
      <c r="BW129" t="s">
        <v>32</v>
      </c>
      <c r="BX129" t="s">
        <v>185</v>
      </c>
      <c r="BY129" t="s">
        <v>185</v>
      </c>
      <c r="BZ129" t="s">
        <v>185</v>
      </c>
      <c r="CA129" t="s">
        <v>185</v>
      </c>
      <c r="CB129" t="s">
        <v>185</v>
      </c>
      <c r="CC129" t="s">
        <v>185</v>
      </c>
      <c r="CD129" t="s">
        <v>185</v>
      </c>
      <c r="CE129" t="s">
        <v>185</v>
      </c>
      <c r="CF129" t="s">
        <v>185</v>
      </c>
      <c r="CG129" t="s">
        <v>185</v>
      </c>
      <c r="CH129" t="s">
        <v>185</v>
      </c>
      <c r="CI129" t="s">
        <v>185</v>
      </c>
    </row>
    <row r="130" spans="1:87">
      <c r="B130" s="6" t="s">
        <v>186</v>
      </c>
      <c r="C130" s="6" t="s">
        <v>75</v>
      </c>
      <c r="D130" s="6" t="s">
        <v>34</v>
      </c>
      <c r="E130" s="6" t="s">
        <v>35</v>
      </c>
      <c r="F130" s="6" t="s">
        <v>36</v>
      </c>
      <c r="G130" s="6" t="s">
        <v>37</v>
      </c>
      <c r="H130" s="6" t="s">
        <v>38</v>
      </c>
      <c r="I130" s="6" t="s">
        <v>39</v>
      </c>
      <c r="J130" s="6" t="s">
        <v>40</v>
      </c>
      <c r="K130" s="6" t="s">
        <v>41</v>
      </c>
      <c r="L130" s="6" t="s">
        <v>42</v>
      </c>
      <c r="M130" s="6" t="s">
        <v>43</v>
      </c>
      <c r="N130" s="6" t="s">
        <v>44</v>
      </c>
      <c r="O130" s="6" t="s">
        <v>45</v>
      </c>
      <c r="P130" s="6" t="s">
        <v>34</v>
      </c>
      <c r="Q130" s="6" t="s">
        <v>35</v>
      </c>
      <c r="R130" s="6" t="s">
        <v>36</v>
      </c>
      <c r="S130" s="6" t="s">
        <v>37</v>
      </c>
      <c r="T130" s="6" t="s">
        <v>38</v>
      </c>
      <c r="U130" s="6" t="s">
        <v>39</v>
      </c>
      <c r="V130" s="6" t="s">
        <v>40</v>
      </c>
      <c r="W130" s="6" t="s">
        <v>41</v>
      </c>
      <c r="X130" s="6" t="s">
        <v>42</v>
      </c>
      <c r="Y130" s="6" t="s">
        <v>43</v>
      </c>
      <c r="Z130" s="6" t="s">
        <v>44</v>
      </c>
      <c r="AA130" s="6" t="s">
        <v>45</v>
      </c>
      <c r="AB130" s="6" t="s">
        <v>34</v>
      </c>
      <c r="AC130" s="6" t="s">
        <v>35</v>
      </c>
      <c r="AD130" s="6" t="s">
        <v>36</v>
      </c>
      <c r="AE130" s="6" t="s">
        <v>37</v>
      </c>
      <c r="AF130" s="6" t="s">
        <v>38</v>
      </c>
      <c r="AG130" s="6" t="s">
        <v>39</v>
      </c>
      <c r="AH130" s="6" t="s">
        <v>40</v>
      </c>
      <c r="AI130" s="6" t="s">
        <v>41</v>
      </c>
      <c r="AJ130" s="6" t="s">
        <v>42</v>
      </c>
      <c r="AK130" s="6" t="s">
        <v>43</v>
      </c>
      <c r="AL130" s="6" t="s">
        <v>44</v>
      </c>
      <c r="AM130" s="6" t="s">
        <v>45</v>
      </c>
      <c r="AN130" s="6" t="s">
        <v>34</v>
      </c>
      <c r="AO130" s="6" t="s">
        <v>35</v>
      </c>
      <c r="AP130" s="6" t="s">
        <v>36</v>
      </c>
      <c r="AQ130" s="6" t="s">
        <v>37</v>
      </c>
      <c r="AR130" s="6" t="s">
        <v>38</v>
      </c>
      <c r="AS130" s="6" t="s">
        <v>39</v>
      </c>
      <c r="AT130" s="6" t="s">
        <v>40</v>
      </c>
      <c r="AU130" s="6" t="s">
        <v>41</v>
      </c>
      <c r="AV130" s="6" t="s">
        <v>42</v>
      </c>
      <c r="AW130" s="6" t="s">
        <v>43</v>
      </c>
      <c r="AX130" s="6" t="s">
        <v>44</v>
      </c>
      <c r="AY130" s="6" t="s">
        <v>45</v>
      </c>
      <c r="AZ130" s="6" t="s">
        <v>34</v>
      </c>
      <c r="BA130" s="6" t="s">
        <v>35</v>
      </c>
      <c r="BB130" s="6" t="s">
        <v>36</v>
      </c>
      <c r="BC130" s="6" t="s">
        <v>37</v>
      </c>
      <c r="BD130" s="6" t="s">
        <v>38</v>
      </c>
      <c r="BE130" s="6" t="s">
        <v>39</v>
      </c>
      <c r="BF130" s="6" t="s">
        <v>40</v>
      </c>
      <c r="BG130" s="6" t="s">
        <v>41</v>
      </c>
      <c r="BH130" s="6" t="s">
        <v>42</v>
      </c>
      <c r="BI130" s="6" t="s">
        <v>43</v>
      </c>
      <c r="BJ130" s="6" t="s">
        <v>44</v>
      </c>
      <c r="BK130" s="6" t="s">
        <v>45</v>
      </c>
      <c r="BL130" s="6" t="s">
        <v>34</v>
      </c>
      <c r="BM130" s="6" t="s">
        <v>35</v>
      </c>
      <c r="BN130" s="6" t="s">
        <v>36</v>
      </c>
      <c r="BO130" s="6" t="s">
        <v>37</v>
      </c>
      <c r="BP130" s="6" t="s">
        <v>38</v>
      </c>
      <c r="BQ130" s="6" t="s">
        <v>39</v>
      </c>
      <c r="BR130" s="6" t="s">
        <v>40</v>
      </c>
      <c r="BS130" s="6" t="s">
        <v>41</v>
      </c>
      <c r="BT130" s="6" t="s">
        <v>42</v>
      </c>
      <c r="BU130" s="6" t="s">
        <v>43</v>
      </c>
      <c r="BV130" s="6" t="s">
        <v>44</v>
      </c>
      <c r="BW130" s="6" t="s">
        <v>45</v>
      </c>
      <c r="BX130" s="6" t="s">
        <v>34</v>
      </c>
      <c r="BY130" s="6" t="s">
        <v>35</v>
      </c>
      <c r="BZ130" s="6" t="s">
        <v>36</v>
      </c>
      <c r="CA130" s="6" t="s">
        <v>37</v>
      </c>
      <c r="CB130" s="6" t="s">
        <v>38</v>
      </c>
      <c r="CC130" s="6" t="s">
        <v>39</v>
      </c>
      <c r="CD130" s="6" t="s">
        <v>40</v>
      </c>
      <c r="CE130" s="6" t="s">
        <v>41</v>
      </c>
      <c r="CF130" s="6" t="s">
        <v>42</v>
      </c>
      <c r="CG130" s="6" t="s">
        <v>43</v>
      </c>
      <c r="CH130" s="6" t="s">
        <v>44</v>
      </c>
      <c r="CI130" s="6" t="s">
        <v>45</v>
      </c>
    </row>
    <row r="131" spans="1:87">
      <c r="B131" t="s">
        <v>187</v>
      </c>
      <c r="C131" t="s">
        <v>188</v>
      </c>
      <c r="D131" s="7">
        <v>1</v>
      </c>
      <c r="E131" s="7">
        <v>1</v>
      </c>
      <c r="F131" s="7">
        <v>1</v>
      </c>
      <c r="G131" s="7">
        <v>1</v>
      </c>
      <c r="H131" s="7">
        <v>1</v>
      </c>
      <c r="I131" s="7">
        <v>1</v>
      </c>
      <c r="J131" s="7">
        <v>1</v>
      </c>
      <c r="K131" s="7">
        <v>1</v>
      </c>
      <c r="L131" s="7">
        <v>1</v>
      </c>
      <c r="M131" s="7">
        <v>1</v>
      </c>
      <c r="N131" s="7">
        <v>1</v>
      </c>
      <c r="O131" s="7">
        <v>1</v>
      </c>
      <c r="P131" s="7">
        <v>0</v>
      </c>
      <c r="Q131" s="7">
        <v>0</v>
      </c>
      <c r="R131" s="7">
        <v>0</v>
      </c>
      <c r="S131" s="7">
        <v>0</v>
      </c>
      <c r="T131" s="7">
        <v>0</v>
      </c>
      <c r="U131" s="7">
        <v>0</v>
      </c>
      <c r="V131" s="7">
        <v>0</v>
      </c>
      <c r="W131" s="7">
        <v>0</v>
      </c>
      <c r="X131" s="7">
        <v>0</v>
      </c>
      <c r="Y131" s="7">
        <v>0</v>
      </c>
      <c r="Z131" s="7">
        <v>0</v>
      </c>
      <c r="AA131" s="7">
        <v>0</v>
      </c>
      <c r="AB131" s="7">
        <v>0</v>
      </c>
      <c r="AC131" s="7">
        <v>0</v>
      </c>
      <c r="AD131" s="7">
        <v>0</v>
      </c>
      <c r="AE131" s="7">
        <v>0</v>
      </c>
      <c r="AF131" s="7">
        <v>0</v>
      </c>
      <c r="AG131" s="7">
        <v>0</v>
      </c>
      <c r="AH131" s="7">
        <v>0</v>
      </c>
      <c r="AI131" s="7">
        <v>0</v>
      </c>
      <c r="AJ131" s="7">
        <v>0</v>
      </c>
      <c r="AK131" s="7">
        <v>0</v>
      </c>
      <c r="AL131" s="7">
        <v>0</v>
      </c>
      <c r="AM131" s="7">
        <v>0</v>
      </c>
      <c r="AN131" s="7">
        <v>0</v>
      </c>
      <c r="AO131" s="7">
        <v>0</v>
      </c>
      <c r="AP131" s="7">
        <v>0</v>
      </c>
      <c r="AQ131" s="7">
        <v>0</v>
      </c>
      <c r="AR131" s="7">
        <v>0</v>
      </c>
      <c r="AS131" s="7">
        <v>0</v>
      </c>
      <c r="AT131" s="7">
        <v>0</v>
      </c>
      <c r="AU131" s="7">
        <v>0</v>
      </c>
      <c r="AV131" s="7">
        <v>0</v>
      </c>
      <c r="AW131" s="7">
        <v>0</v>
      </c>
      <c r="AX131" s="7">
        <v>0</v>
      </c>
      <c r="AY131" s="7">
        <v>0</v>
      </c>
      <c r="AZ131" s="7">
        <v>0</v>
      </c>
      <c r="BA131" s="7">
        <v>0</v>
      </c>
      <c r="BB131" s="7">
        <v>0</v>
      </c>
      <c r="BC131" s="7">
        <v>0</v>
      </c>
      <c r="BD131" s="7">
        <v>0</v>
      </c>
      <c r="BE131" s="7">
        <v>0</v>
      </c>
      <c r="BF131" s="7">
        <v>0</v>
      </c>
      <c r="BG131" s="7">
        <v>0</v>
      </c>
      <c r="BH131" s="7">
        <v>0</v>
      </c>
      <c r="BI131" s="7">
        <v>0</v>
      </c>
      <c r="BJ131" s="7">
        <v>0</v>
      </c>
      <c r="BK131" s="7">
        <v>0</v>
      </c>
      <c r="BL131" s="7">
        <v>0</v>
      </c>
      <c r="BM131" s="7">
        <v>0</v>
      </c>
      <c r="BN131" s="7">
        <v>0</v>
      </c>
      <c r="BO131" s="7">
        <v>0</v>
      </c>
      <c r="BP131" s="7">
        <v>0</v>
      </c>
      <c r="BQ131" s="7">
        <v>0</v>
      </c>
      <c r="BR131" s="7">
        <v>0</v>
      </c>
      <c r="BS131" s="7">
        <v>0</v>
      </c>
      <c r="BT131" s="7">
        <v>0</v>
      </c>
      <c r="BU131" s="7">
        <v>0</v>
      </c>
      <c r="BV131" s="7">
        <v>0</v>
      </c>
      <c r="BW131" s="7">
        <v>0</v>
      </c>
      <c r="BX131" s="7">
        <v>0</v>
      </c>
      <c r="BY131" s="7">
        <v>0</v>
      </c>
      <c r="BZ131" s="7">
        <v>0</v>
      </c>
      <c r="CA131" s="7">
        <v>0</v>
      </c>
      <c r="CB131" s="7">
        <v>0</v>
      </c>
      <c r="CC131" s="7">
        <v>0</v>
      </c>
      <c r="CD131" s="7">
        <v>0</v>
      </c>
      <c r="CE131" s="7">
        <v>0</v>
      </c>
      <c r="CF131" s="7">
        <v>0</v>
      </c>
      <c r="CG131" s="7">
        <v>0</v>
      </c>
      <c r="CH131" s="7">
        <v>0</v>
      </c>
      <c r="CI131" s="7">
        <v>0</v>
      </c>
    </row>
    <row r="132" spans="1:87">
      <c r="B132" t="s">
        <v>82</v>
      </c>
      <c r="C132" t="s">
        <v>67</v>
      </c>
      <c r="D132" s="7">
        <v>1</v>
      </c>
      <c r="E132" s="7">
        <v>1</v>
      </c>
      <c r="F132" s="7">
        <v>1</v>
      </c>
      <c r="G132" s="7">
        <v>1</v>
      </c>
      <c r="H132" s="7">
        <v>1</v>
      </c>
      <c r="I132" s="7">
        <v>1</v>
      </c>
      <c r="J132" s="7">
        <v>1</v>
      </c>
      <c r="K132" s="7">
        <v>1</v>
      </c>
      <c r="L132" s="7">
        <v>1</v>
      </c>
      <c r="M132" s="7">
        <v>1</v>
      </c>
      <c r="N132" s="7">
        <v>1</v>
      </c>
      <c r="O132" s="7">
        <v>1</v>
      </c>
      <c r="P132" s="7">
        <v>0</v>
      </c>
      <c r="Q132" s="7">
        <v>0</v>
      </c>
      <c r="R132" s="7">
        <v>0</v>
      </c>
      <c r="S132" s="7">
        <v>0</v>
      </c>
      <c r="T132" s="7">
        <v>0</v>
      </c>
      <c r="U132" s="7">
        <v>0</v>
      </c>
      <c r="V132" s="7">
        <v>0</v>
      </c>
      <c r="W132" s="7">
        <v>0</v>
      </c>
      <c r="X132" s="7">
        <v>0</v>
      </c>
      <c r="Y132" s="7">
        <v>0</v>
      </c>
      <c r="Z132" s="7">
        <v>0</v>
      </c>
      <c r="AA132" s="7">
        <v>0</v>
      </c>
      <c r="AB132" s="7">
        <v>0</v>
      </c>
      <c r="AC132" s="7">
        <v>0</v>
      </c>
      <c r="AD132" s="7">
        <v>0</v>
      </c>
      <c r="AE132" s="7">
        <v>0</v>
      </c>
      <c r="AF132" s="7">
        <v>0</v>
      </c>
      <c r="AG132" s="7">
        <v>0</v>
      </c>
      <c r="AH132" s="7">
        <v>0</v>
      </c>
      <c r="AI132" s="7">
        <v>0</v>
      </c>
      <c r="AJ132" s="7">
        <v>0</v>
      </c>
      <c r="AK132" s="7">
        <v>0</v>
      </c>
      <c r="AL132" s="7">
        <v>0</v>
      </c>
      <c r="AM132" s="7">
        <v>0</v>
      </c>
      <c r="AN132" s="7">
        <v>0</v>
      </c>
      <c r="AO132" s="7">
        <v>0</v>
      </c>
      <c r="AP132" s="7">
        <v>0</v>
      </c>
      <c r="AQ132" s="7">
        <v>0</v>
      </c>
      <c r="AR132" s="7">
        <v>0</v>
      </c>
      <c r="AS132" s="7">
        <v>0</v>
      </c>
      <c r="AT132" s="7">
        <v>0</v>
      </c>
      <c r="AU132" s="7">
        <v>0</v>
      </c>
      <c r="AV132" s="7">
        <v>0</v>
      </c>
      <c r="AW132" s="7">
        <v>0</v>
      </c>
      <c r="AX132" s="7">
        <v>0</v>
      </c>
      <c r="AY132" s="7">
        <v>0</v>
      </c>
      <c r="AZ132" s="7">
        <v>0</v>
      </c>
      <c r="BA132" s="7">
        <v>0</v>
      </c>
      <c r="BB132" s="7">
        <v>0</v>
      </c>
      <c r="BC132" s="7">
        <v>0</v>
      </c>
      <c r="BD132" s="7">
        <v>0</v>
      </c>
      <c r="BE132" s="7">
        <v>0</v>
      </c>
      <c r="BF132" s="7">
        <v>0</v>
      </c>
      <c r="BG132" s="7">
        <v>0</v>
      </c>
      <c r="BH132" s="7">
        <v>0</v>
      </c>
      <c r="BI132" s="7">
        <v>0</v>
      </c>
      <c r="BJ132" s="7">
        <v>0</v>
      </c>
      <c r="BK132" s="7">
        <v>0</v>
      </c>
      <c r="BL132" s="7">
        <v>0</v>
      </c>
      <c r="BM132" s="7">
        <v>0</v>
      </c>
      <c r="BN132" s="7">
        <v>0</v>
      </c>
      <c r="BO132" s="7">
        <v>0</v>
      </c>
      <c r="BP132" s="7">
        <v>0</v>
      </c>
      <c r="BQ132" s="7">
        <v>0</v>
      </c>
      <c r="BR132" s="7">
        <v>0</v>
      </c>
      <c r="BS132" s="7">
        <v>0</v>
      </c>
      <c r="BT132" s="7">
        <v>0</v>
      </c>
      <c r="BU132" s="7">
        <v>0</v>
      </c>
      <c r="BV132" s="7">
        <v>0</v>
      </c>
      <c r="BW132" s="7">
        <v>0</v>
      </c>
      <c r="BX132" s="7">
        <v>0</v>
      </c>
      <c r="BY132" s="7">
        <v>0</v>
      </c>
      <c r="BZ132" s="7">
        <v>0</v>
      </c>
      <c r="CA132" s="7">
        <v>0</v>
      </c>
      <c r="CB132" s="7">
        <v>0</v>
      </c>
      <c r="CC132" s="7">
        <v>0</v>
      </c>
      <c r="CD132" s="7">
        <v>0</v>
      </c>
      <c r="CE132" s="7">
        <v>0</v>
      </c>
      <c r="CF132" s="7">
        <v>0</v>
      </c>
      <c r="CG132" s="7">
        <v>0</v>
      </c>
      <c r="CH132" s="7">
        <v>0</v>
      </c>
      <c r="CI132" s="7">
        <v>0</v>
      </c>
    </row>
    <row r="133" spans="1:87">
      <c r="B133" t="s">
        <v>84</v>
      </c>
      <c r="C133" t="s">
        <v>63</v>
      </c>
      <c r="D133" s="7">
        <v>1</v>
      </c>
      <c r="E133" s="7">
        <v>1</v>
      </c>
      <c r="F133" s="7">
        <v>1</v>
      </c>
      <c r="G133" s="7">
        <v>1</v>
      </c>
      <c r="H133" s="7">
        <v>1</v>
      </c>
      <c r="I133" s="7">
        <v>1</v>
      </c>
      <c r="J133" s="7">
        <v>1</v>
      </c>
      <c r="K133" s="7">
        <v>1</v>
      </c>
      <c r="L133" s="7">
        <v>1</v>
      </c>
      <c r="M133" s="7">
        <v>1</v>
      </c>
      <c r="N133" s="7">
        <v>1</v>
      </c>
      <c r="O133" s="7">
        <v>1</v>
      </c>
      <c r="P133" s="7">
        <v>0</v>
      </c>
      <c r="Q133" s="7">
        <v>0</v>
      </c>
      <c r="R133" s="7">
        <v>0</v>
      </c>
      <c r="S133" s="7">
        <v>0</v>
      </c>
      <c r="T133" s="7">
        <v>0</v>
      </c>
      <c r="U133" s="7">
        <v>0</v>
      </c>
      <c r="V133" s="7">
        <v>0</v>
      </c>
      <c r="W133" s="7">
        <v>0</v>
      </c>
      <c r="X133" s="7">
        <v>0</v>
      </c>
      <c r="Y133" s="7">
        <v>0</v>
      </c>
      <c r="Z133" s="7">
        <v>0</v>
      </c>
      <c r="AA133" s="7">
        <v>0</v>
      </c>
      <c r="AB133" s="7">
        <v>0</v>
      </c>
      <c r="AC133" s="7">
        <v>0</v>
      </c>
      <c r="AD133" s="7">
        <v>0</v>
      </c>
      <c r="AE133" s="7">
        <v>0</v>
      </c>
      <c r="AF133" s="7">
        <v>0</v>
      </c>
      <c r="AG133" s="7">
        <v>0</v>
      </c>
      <c r="AH133" s="7">
        <v>0</v>
      </c>
      <c r="AI133" s="7">
        <v>0</v>
      </c>
      <c r="AJ133" s="7">
        <v>0</v>
      </c>
      <c r="AK133" s="7">
        <v>0</v>
      </c>
      <c r="AL133" s="7">
        <v>0</v>
      </c>
      <c r="AM133" s="7">
        <v>0</v>
      </c>
      <c r="AN133" s="7">
        <v>0</v>
      </c>
      <c r="AO133" s="7">
        <v>0</v>
      </c>
      <c r="AP133" s="7">
        <v>0</v>
      </c>
      <c r="AQ133" s="7">
        <v>0</v>
      </c>
      <c r="AR133" s="7">
        <v>0</v>
      </c>
      <c r="AS133" s="7">
        <v>0</v>
      </c>
      <c r="AT133" s="7">
        <v>0</v>
      </c>
      <c r="AU133" s="7">
        <v>0</v>
      </c>
      <c r="AV133" s="7">
        <v>0</v>
      </c>
      <c r="AW133" s="7">
        <v>0</v>
      </c>
      <c r="AX133" s="7">
        <v>0</v>
      </c>
      <c r="AY133" s="7">
        <v>0</v>
      </c>
      <c r="AZ133" s="7">
        <v>0</v>
      </c>
      <c r="BA133" s="7">
        <v>0</v>
      </c>
      <c r="BB133" s="7">
        <v>0</v>
      </c>
      <c r="BC133" s="7">
        <v>0</v>
      </c>
      <c r="BD133" s="7">
        <v>0</v>
      </c>
      <c r="BE133" s="7">
        <v>0</v>
      </c>
      <c r="BF133" s="7">
        <v>0</v>
      </c>
      <c r="BG133" s="7">
        <v>0</v>
      </c>
      <c r="BH133" s="7">
        <v>0</v>
      </c>
      <c r="BI133" s="7">
        <v>0</v>
      </c>
      <c r="BJ133" s="7">
        <v>0</v>
      </c>
      <c r="BK133" s="7">
        <v>0</v>
      </c>
      <c r="BL133" s="7">
        <v>0</v>
      </c>
      <c r="BM133" s="7">
        <v>0</v>
      </c>
      <c r="BN133" s="7">
        <v>0</v>
      </c>
      <c r="BO133" s="7">
        <v>0</v>
      </c>
      <c r="BP133" s="7">
        <v>0</v>
      </c>
      <c r="BQ133" s="7">
        <v>0</v>
      </c>
      <c r="BR133" s="7">
        <v>0</v>
      </c>
      <c r="BS133" s="7">
        <v>0</v>
      </c>
      <c r="BT133" s="7">
        <v>0</v>
      </c>
      <c r="BU133" s="7">
        <v>0</v>
      </c>
      <c r="BV133" s="7">
        <v>0</v>
      </c>
      <c r="BW133" s="7">
        <v>0</v>
      </c>
      <c r="BX133" s="7">
        <v>0</v>
      </c>
      <c r="BY133" s="7">
        <v>0</v>
      </c>
      <c r="BZ133" s="7">
        <v>0</v>
      </c>
      <c r="CA133" s="7">
        <v>0</v>
      </c>
      <c r="CB133" s="7">
        <v>0</v>
      </c>
      <c r="CC133" s="7">
        <v>0</v>
      </c>
      <c r="CD133" s="7">
        <v>0</v>
      </c>
      <c r="CE133" s="7">
        <v>0</v>
      </c>
      <c r="CF133" s="7">
        <v>0</v>
      </c>
      <c r="CG133" s="7">
        <v>0</v>
      </c>
      <c r="CH133" s="7">
        <v>0</v>
      </c>
      <c r="CI133" s="7">
        <v>0</v>
      </c>
    </row>
    <row r="134" spans="1:87">
      <c r="B134" t="s">
        <v>86</v>
      </c>
      <c r="C134" t="s">
        <v>64</v>
      </c>
      <c r="D134" s="7">
        <v>1</v>
      </c>
      <c r="E134" s="7">
        <v>1</v>
      </c>
      <c r="F134" s="7">
        <v>1</v>
      </c>
      <c r="G134" s="7">
        <v>1</v>
      </c>
      <c r="H134" s="7">
        <v>1</v>
      </c>
      <c r="I134" s="7">
        <v>1</v>
      </c>
      <c r="J134" s="7">
        <v>1</v>
      </c>
      <c r="K134" s="7">
        <v>1</v>
      </c>
      <c r="L134" s="7">
        <v>1</v>
      </c>
      <c r="M134" s="7">
        <v>1</v>
      </c>
      <c r="N134" s="7">
        <v>1</v>
      </c>
      <c r="O134" s="7">
        <v>1</v>
      </c>
      <c r="P134" s="7">
        <v>0</v>
      </c>
      <c r="Q134" s="7">
        <v>0</v>
      </c>
      <c r="R134" s="7">
        <v>0</v>
      </c>
      <c r="S134" s="7">
        <v>0</v>
      </c>
      <c r="T134" s="7">
        <v>0</v>
      </c>
      <c r="U134" s="7">
        <v>0</v>
      </c>
      <c r="V134" s="7">
        <v>0</v>
      </c>
      <c r="W134" s="7">
        <v>0</v>
      </c>
      <c r="X134" s="7">
        <v>0</v>
      </c>
      <c r="Y134" s="7">
        <v>0</v>
      </c>
      <c r="Z134" s="7">
        <v>0</v>
      </c>
      <c r="AA134" s="7">
        <v>0</v>
      </c>
      <c r="AB134" s="7">
        <v>0</v>
      </c>
      <c r="AC134" s="7">
        <v>0</v>
      </c>
      <c r="AD134" s="7">
        <v>0</v>
      </c>
      <c r="AE134" s="7">
        <v>0</v>
      </c>
      <c r="AF134" s="7">
        <v>0</v>
      </c>
      <c r="AG134" s="7">
        <v>0</v>
      </c>
      <c r="AH134" s="7">
        <v>0</v>
      </c>
      <c r="AI134" s="7">
        <v>0</v>
      </c>
      <c r="AJ134" s="7">
        <v>0</v>
      </c>
      <c r="AK134" s="7">
        <v>0</v>
      </c>
      <c r="AL134" s="7">
        <v>0</v>
      </c>
      <c r="AM134" s="7">
        <v>0</v>
      </c>
      <c r="AN134" s="7">
        <v>0</v>
      </c>
      <c r="AO134" s="7">
        <v>0</v>
      </c>
      <c r="AP134" s="7">
        <v>0</v>
      </c>
      <c r="AQ134" s="7">
        <v>0</v>
      </c>
      <c r="AR134" s="7">
        <v>0</v>
      </c>
      <c r="AS134" s="7">
        <v>0</v>
      </c>
      <c r="AT134" s="7">
        <v>0</v>
      </c>
      <c r="AU134" s="7">
        <v>0</v>
      </c>
      <c r="AV134" s="7">
        <v>0</v>
      </c>
      <c r="AW134" s="7">
        <v>0</v>
      </c>
      <c r="AX134" s="7">
        <v>0</v>
      </c>
      <c r="AY134" s="7">
        <v>0</v>
      </c>
      <c r="AZ134" s="7">
        <v>0</v>
      </c>
      <c r="BA134" s="7">
        <v>0</v>
      </c>
      <c r="BB134" s="7">
        <v>0</v>
      </c>
      <c r="BC134" s="7">
        <v>0</v>
      </c>
      <c r="BD134" s="7">
        <v>0</v>
      </c>
      <c r="BE134" s="7">
        <v>0</v>
      </c>
      <c r="BF134" s="7">
        <v>0</v>
      </c>
      <c r="BG134" s="7">
        <v>0</v>
      </c>
      <c r="BH134" s="7">
        <v>0</v>
      </c>
      <c r="BI134" s="7">
        <v>0</v>
      </c>
      <c r="BJ134" s="7">
        <v>0</v>
      </c>
      <c r="BK134" s="7">
        <v>0</v>
      </c>
      <c r="BL134" s="7">
        <v>0</v>
      </c>
      <c r="BM134" s="7">
        <v>0</v>
      </c>
      <c r="BN134" s="7">
        <v>0</v>
      </c>
      <c r="BO134" s="7">
        <v>0</v>
      </c>
      <c r="BP134" s="7">
        <v>0</v>
      </c>
      <c r="BQ134" s="7">
        <v>0</v>
      </c>
      <c r="BR134" s="7">
        <v>0</v>
      </c>
      <c r="BS134" s="7">
        <v>0</v>
      </c>
      <c r="BT134" s="7">
        <v>0</v>
      </c>
      <c r="BU134" s="7">
        <v>0</v>
      </c>
      <c r="BV134" s="7">
        <v>0</v>
      </c>
      <c r="BW134" s="7">
        <v>0</v>
      </c>
      <c r="BX134" s="7">
        <v>0</v>
      </c>
      <c r="BY134" s="7">
        <v>0</v>
      </c>
      <c r="BZ134" s="7">
        <v>0</v>
      </c>
      <c r="CA134" s="7">
        <v>0</v>
      </c>
      <c r="CB134" s="7">
        <v>0</v>
      </c>
      <c r="CC134" s="7">
        <v>0</v>
      </c>
      <c r="CD134" s="7">
        <v>0</v>
      </c>
      <c r="CE134" s="7">
        <v>0</v>
      </c>
      <c r="CF134" s="7">
        <v>0</v>
      </c>
      <c r="CG134" s="7">
        <v>0</v>
      </c>
      <c r="CH134" s="7">
        <v>0</v>
      </c>
      <c r="CI134" s="7">
        <v>0</v>
      </c>
    </row>
    <row r="135" spans="1:87">
      <c r="B135" t="s">
        <v>88</v>
      </c>
      <c r="C135" t="s">
        <v>65</v>
      </c>
      <c r="D135" s="7">
        <v>1</v>
      </c>
      <c r="E135" s="7">
        <v>1</v>
      </c>
      <c r="F135" s="7">
        <v>1</v>
      </c>
      <c r="G135" s="7">
        <v>1</v>
      </c>
      <c r="H135" s="7">
        <v>1</v>
      </c>
      <c r="I135" s="7">
        <v>1</v>
      </c>
      <c r="J135" s="7">
        <v>1</v>
      </c>
      <c r="K135" s="7">
        <v>1</v>
      </c>
      <c r="L135" s="7">
        <v>1</v>
      </c>
      <c r="M135" s="7">
        <v>1</v>
      </c>
      <c r="N135" s="7">
        <v>1</v>
      </c>
      <c r="O135" s="7">
        <v>1</v>
      </c>
      <c r="P135" s="7">
        <v>0</v>
      </c>
      <c r="Q135" s="7">
        <v>0</v>
      </c>
      <c r="R135" s="7">
        <v>0</v>
      </c>
      <c r="S135" s="7">
        <v>0</v>
      </c>
      <c r="T135" s="7">
        <v>0</v>
      </c>
      <c r="U135" s="7">
        <v>0</v>
      </c>
      <c r="V135" s="7">
        <v>0</v>
      </c>
      <c r="W135" s="7">
        <v>0</v>
      </c>
      <c r="X135" s="7">
        <v>0</v>
      </c>
      <c r="Y135" s="7">
        <v>0</v>
      </c>
      <c r="Z135" s="7">
        <v>0</v>
      </c>
      <c r="AA135" s="7">
        <v>0</v>
      </c>
      <c r="AB135" s="7">
        <v>0</v>
      </c>
      <c r="AC135" s="7">
        <v>0</v>
      </c>
      <c r="AD135" s="7">
        <v>0</v>
      </c>
      <c r="AE135" s="7">
        <v>0</v>
      </c>
      <c r="AF135" s="7">
        <v>0</v>
      </c>
      <c r="AG135" s="7">
        <v>0</v>
      </c>
      <c r="AH135" s="7">
        <v>0</v>
      </c>
      <c r="AI135" s="7">
        <v>0</v>
      </c>
      <c r="AJ135" s="7">
        <v>0</v>
      </c>
      <c r="AK135" s="7">
        <v>0</v>
      </c>
      <c r="AL135" s="7">
        <v>0</v>
      </c>
      <c r="AM135" s="7">
        <v>0</v>
      </c>
      <c r="AN135" s="7">
        <v>0</v>
      </c>
      <c r="AO135" s="7">
        <v>0</v>
      </c>
      <c r="AP135" s="7">
        <v>0</v>
      </c>
      <c r="AQ135" s="7">
        <v>0</v>
      </c>
      <c r="AR135" s="7">
        <v>0</v>
      </c>
      <c r="AS135" s="7">
        <v>0</v>
      </c>
      <c r="AT135" s="7">
        <v>0</v>
      </c>
      <c r="AU135" s="7">
        <v>0</v>
      </c>
      <c r="AV135" s="7">
        <v>0</v>
      </c>
      <c r="AW135" s="7">
        <v>0</v>
      </c>
      <c r="AX135" s="7">
        <v>0</v>
      </c>
      <c r="AY135" s="7">
        <v>0</v>
      </c>
      <c r="AZ135" s="7">
        <v>0</v>
      </c>
      <c r="BA135" s="7">
        <v>0</v>
      </c>
      <c r="BB135" s="7">
        <v>0</v>
      </c>
      <c r="BC135" s="7">
        <v>0</v>
      </c>
      <c r="BD135" s="7">
        <v>0</v>
      </c>
      <c r="BE135" s="7">
        <v>0</v>
      </c>
      <c r="BF135" s="7">
        <v>0</v>
      </c>
      <c r="BG135" s="7">
        <v>0</v>
      </c>
      <c r="BH135" s="7">
        <v>0</v>
      </c>
      <c r="BI135" s="7">
        <v>0</v>
      </c>
      <c r="BJ135" s="7">
        <v>0</v>
      </c>
      <c r="BK135" s="7">
        <v>0</v>
      </c>
      <c r="BL135" s="7">
        <v>0</v>
      </c>
      <c r="BM135" s="7">
        <v>0</v>
      </c>
      <c r="BN135" s="7">
        <v>0</v>
      </c>
      <c r="BO135" s="7">
        <v>0</v>
      </c>
      <c r="BP135" s="7">
        <v>0</v>
      </c>
      <c r="BQ135" s="7">
        <v>0</v>
      </c>
      <c r="BR135" s="7">
        <v>0</v>
      </c>
      <c r="BS135" s="7">
        <v>0</v>
      </c>
      <c r="BT135" s="7">
        <v>0</v>
      </c>
      <c r="BU135" s="7">
        <v>0</v>
      </c>
      <c r="BV135" s="7">
        <v>0</v>
      </c>
      <c r="BW135" s="7">
        <v>0</v>
      </c>
      <c r="BX135" s="7">
        <v>0</v>
      </c>
      <c r="BY135" s="7">
        <v>0</v>
      </c>
      <c r="BZ135" s="7">
        <v>0</v>
      </c>
      <c r="CA135" s="7">
        <v>0</v>
      </c>
      <c r="CB135" s="7">
        <v>0</v>
      </c>
      <c r="CC135" s="7">
        <v>0</v>
      </c>
      <c r="CD135" s="7">
        <v>0</v>
      </c>
      <c r="CE135" s="7">
        <v>0</v>
      </c>
      <c r="CF135" s="7">
        <v>0</v>
      </c>
      <c r="CG135" s="7">
        <v>0</v>
      </c>
      <c r="CH135" s="7">
        <v>0</v>
      </c>
      <c r="CI135" s="7">
        <v>0</v>
      </c>
    </row>
    <row r="138" spans="1:87">
      <c r="A138" s="1" t="s">
        <v>189</v>
      </c>
    </row>
    <row r="139" spans="1:87">
      <c r="B139" s="6"/>
      <c r="C139" s="6" t="s">
        <v>190</v>
      </c>
      <c r="D139" s="6" t="s">
        <v>176</v>
      </c>
      <c r="E139" s="6" t="s">
        <v>177</v>
      </c>
      <c r="F139" s="6" t="s">
        <v>178</v>
      </c>
      <c r="G139" s="6" t="s">
        <v>12</v>
      </c>
      <c r="H139" s="6" t="s">
        <v>191</v>
      </c>
      <c r="I139" s="6" t="s">
        <v>192</v>
      </c>
    </row>
    <row r="140" spans="1:87">
      <c r="A140" s="416" t="s">
        <v>868</v>
      </c>
      <c r="B140" t="s">
        <v>193</v>
      </c>
      <c r="C140" s="426">
        <f>1-S.AdRvr!H5</f>
        <v>0.42407160938437849</v>
      </c>
      <c r="D140" s="7">
        <v>0</v>
      </c>
      <c r="E140" s="7">
        <v>0</v>
      </c>
      <c r="F140" s="7">
        <v>0</v>
      </c>
      <c r="G140" s="7">
        <v>0</v>
      </c>
      <c r="H140" s="7">
        <v>0</v>
      </c>
      <c r="I140" s="7">
        <v>0</v>
      </c>
    </row>
    <row r="141" spans="1:87">
      <c r="B141" t="s">
        <v>194</v>
      </c>
      <c r="C141" s="7">
        <v>0</v>
      </c>
      <c r="D141" s="7">
        <v>0</v>
      </c>
      <c r="E141" s="7">
        <v>0</v>
      </c>
      <c r="F141" s="7">
        <v>0</v>
      </c>
      <c r="G141" s="7">
        <v>0</v>
      </c>
      <c r="H141" s="7">
        <v>0</v>
      </c>
      <c r="I141" s="7">
        <v>0</v>
      </c>
    </row>
    <row r="145" spans="1:12">
      <c r="A145" s="1" t="s">
        <v>195</v>
      </c>
      <c r="B145" s="1"/>
      <c r="C145" s="1"/>
    </row>
    <row r="146" spans="1:12">
      <c r="B146" s="6" t="s">
        <v>196</v>
      </c>
      <c r="C146" s="6"/>
      <c r="D146" s="6"/>
      <c r="E146" s="6"/>
      <c r="F146" s="6"/>
    </row>
    <row r="147" spans="1:12">
      <c r="B147" t="s">
        <v>63</v>
      </c>
      <c r="C147" t="s">
        <v>64</v>
      </c>
      <c r="D147" t="s">
        <v>197</v>
      </c>
      <c r="E147" t="s">
        <v>66</v>
      </c>
    </row>
    <row r="148" spans="1:12">
      <c r="B148" s="7">
        <v>0</v>
      </c>
      <c r="C148" s="7">
        <v>0</v>
      </c>
      <c r="D148" s="7">
        <v>0</v>
      </c>
      <c r="E148" s="7">
        <v>0</v>
      </c>
    </row>
    <row r="151" spans="1:12">
      <c r="A151" s="1" t="s">
        <v>198</v>
      </c>
    </row>
    <row r="152" spans="1:12">
      <c r="B152" s="6" t="s">
        <v>199</v>
      </c>
      <c r="C152" s="6" t="s">
        <v>200</v>
      </c>
      <c r="D152" s="6" t="s">
        <v>188</v>
      </c>
      <c r="E152" s="6" t="s">
        <v>67</v>
      </c>
      <c r="F152" s="6" t="s">
        <v>63</v>
      </c>
      <c r="G152" s="6" t="s">
        <v>197</v>
      </c>
      <c r="H152" s="6" t="s">
        <v>66</v>
      </c>
      <c r="I152" s="6" t="s">
        <v>201</v>
      </c>
    </row>
    <row r="153" spans="1:12">
      <c r="B153" t="s">
        <v>202</v>
      </c>
      <c r="C153" t="s">
        <v>203</v>
      </c>
      <c r="D153" s="7">
        <v>1</v>
      </c>
      <c r="E153" s="7">
        <v>1</v>
      </c>
      <c r="F153" s="7">
        <v>1</v>
      </c>
      <c r="G153" s="7">
        <v>1</v>
      </c>
      <c r="H153" s="7">
        <v>1</v>
      </c>
      <c r="I153" s="7">
        <v>1</v>
      </c>
      <c r="J153" s="5" t="s">
        <v>204</v>
      </c>
      <c r="K153" s="5"/>
      <c r="L153" s="5"/>
    </row>
    <row r="154" spans="1:12">
      <c r="B154" t="s">
        <v>205</v>
      </c>
      <c r="C154" t="s">
        <v>206</v>
      </c>
      <c r="D154" s="7">
        <v>1</v>
      </c>
      <c r="E154" s="7">
        <v>1</v>
      </c>
      <c r="F154" s="7">
        <v>1</v>
      </c>
      <c r="G154" s="7">
        <v>1</v>
      </c>
      <c r="H154" s="7">
        <v>1</v>
      </c>
      <c r="I154" s="7">
        <v>1</v>
      </c>
      <c r="J154" s="5" t="s">
        <v>207</v>
      </c>
      <c r="K154" s="5"/>
      <c r="L154" s="5"/>
    </row>
    <row r="155" spans="1:12">
      <c r="B155" t="s">
        <v>208</v>
      </c>
      <c r="C155" t="s">
        <v>209</v>
      </c>
      <c r="D155" s="7">
        <v>1</v>
      </c>
      <c r="E155" s="7">
        <v>1</v>
      </c>
      <c r="F155" s="7">
        <v>1</v>
      </c>
      <c r="G155" s="7">
        <v>1</v>
      </c>
      <c r="H155" s="7">
        <v>1</v>
      </c>
      <c r="I155" s="7">
        <v>1</v>
      </c>
      <c r="J155" s="5" t="s">
        <v>210</v>
      </c>
      <c r="K155" s="5"/>
      <c r="L155" s="5"/>
    </row>
    <row r="156" spans="1:12">
      <c r="B156" t="s">
        <v>211</v>
      </c>
      <c r="C156" t="s">
        <v>212</v>
      </c>
      <c r="D156" s="7">
        <v>1</v>
      </c>
      <c r="E156" s="7">
        <v>1</v>
      </c>
      <c r="F156" s="7">
        <v>1</v>
      </c>
      <c r="G156" s="7">
        <v>1</v>
      </c>
      <c r="H156" s="7">
        <v>1</v>
      </c>
      <c r="I156" s="7">
        <v>1</v>
      </c>
    </row>
    <row r="157" spans="1:12">
      <c r="B157" t="s">
        <v>213</v>
      </c>
      <c r="C157" t="s">
        <v>214</v>
      </c>
      <c r="D157" s="7">
        <v>1</v>
      </c>
      <c r="E157" s="7">
        <v>1</v>
      </c>
      <c r="F157" s="7">
        <v>1</v>
      </c>
      <c r="G157" s="7">
        <v>1</v>
      </c>
      <c r="H157" s="7">
        <v>1</v>
      </c>
      <c r="I157" s="7">
        <v>1</v>
      </c>
    </row>
    <row r="158" spans="1:12">
      <c r="B158" t="s">
        <v>215</v>
      </c>
      <c r="C158" t="s">
        <v>216</v>
      </c>
      <c r="D158" s="7">
        <v>1</v>
      </c>
      <c r="E158" s="7">
        <v>1</v>
      </c>
      <c r="F158" s="7">
        <v>1</v>
      </c>
      <c r="G158" s="7">
        <v>1</v>
      </c>
      <c r="H158" s="7">
        <v>1</v>
      </c>
      <c r="I158" s="7">
        <v>1</v>
      </c>
    </row>
    <row r="159" spans="1:12">
      <c r="B159" t="s">
        <v>217</v>
      </c>
      <c r="C159" t="s">
        <v>218</v>
      </c>
      <c r="D159" s="7">
        <v>1</v>
      </c>
      <c r="E159" s="7">
        <v>1</v>
      </c>
      <c r="F159" s="7">
        <v>1</v>
      </c>
      <c r="G159" s="7">
        <v>1</v>
      </c>
      <c r="H159" s="7">
        <v>1</v>
      </c>
      <c r="I159" s="7">
        <v>1</v>
      </c>
    </row>
    <row r="160" spans="1:12">
      <c r="B160" t="s">
        <v>219</v>
      </c>
      <c r="C160" t="s">
        <v>220</v>
      </c>
      <c r="D160" s="7">
        <v>1</v>
      </c>
      <c r="E160" s="7">
        <v>1</v>
      </c>
      <c r="F160" s="7">
        <v>1</v>
      </c>
      <c r="G160" s="7">
        <v>1</v>
      </c>
      <c r="H160" s="7">
        <v>1</v>
      </c>
      <c r="I160" s="7">
        <v>1</v>
      </c>
    </row>
    <row r="161" spans="1:13">
      <c r="B161" t="s">
        <v>221</v>
      </c>
      <c r="C161" t="s">
        <v>222</v>
      </c>
      <c r="D161" s="7">
        <v>1</v>
      </c>
      <c r="E161" s="7">
        <v>1</v>
      </c>
      <c r="F161" s="7">
        <v>1</v>
      </c>
      <c r="G161" s="7">
        <v>1</v>
      </c>
      <c r="H161" s="7">
        <v>1</v>
      </c>
      <c r="I161" s="7">
        <v>1</v>
      </c>
    </row>
    <row r="162" spans="1:13">
      <c r="B162" t="s">
        <v>223</v>
      </c>
      <c r="C162" t="s">
        <v>224</v>
      </c>
      <c r="D162" s="7">
        <v>1</v>
      </c>
      <c r="E162" s="7">
        <v>1</v>
      </c>
      <c r="F162" s="7">
        <v>1</v>
      </c>
      <c r="G162" s="7">
        <v>1</v>
      </c>
      <c r="H162" s="7">
        <v>1</v>
      </c>
      <c r="I162" s="7">
        <v>1</v>
      </c>
    </row>
    <row r="163" spans="1:13">
      <c r="B163" t="s">
        <v>225</v>
      </c>
      <c r="C163" t="s">
        <v>226</v>
      </c>
      <c r="D163" s="7">
        <v>1</v>
      </c>
      <c r="E163" s="7">
        <v>1</v>
      </c>
      <c r="F163" s="7">
        <v>1</v>
      </c>
      <c r="G163" s="7">
        <v>1</v>
      </c>
      <c r="H163" s="7">
        <v>1</v>
      </c>
      <c r="I163" s="7">
        <v>1</v>
      </c>
    </row>
    <row r="166" spans="1:13">
      <c r="A166" s="1" t="s">
        <v>227</v>
      </c>
      <c r="B166" s="1"/>
      <c r="C166" s="1"/>
      <c r="D166" s="1"/>
      <c r="E166" s="1"/>
    </row>
    <row r="167" spans="1:13">
      <c r="B167" s="13"/>
      <c r="C167" s="13"/>
      <c r="D167" s="13" t="s">
        <v>228</v>
      </c>
      <c r="E167" s="13"/>
      <c r="F167" s="13"/>
      <c r="G167" s="13"/>
      <c r="H167" s="13"/>
      <c r="I167" s="13"/>
      <c r="J167" s="13"/>
      <c r="K167" s="13"/>
      <c r="L167" s="13"/>
      <c r="M167" s="13"/>
    </row>
    <row r="168" spans="1:13">
      <c r="B168" s="6" t="s">
        <v>199</v>
      </c>
      <c r="C168" s="6" t="s">
        <v>200</v>
      </c>
      <c r="D168" s="6">
        <v>1</v>
      </c>
      <c r="E168" s="6">
        <v>2</v>
      </c>
      <c r="F168" s="6">
        <v>3</v>
      </c>
      <c r="G168" s="6">
        <v>4</v>
      </c>
      <c r="H168" s="6">
        <v>5</v>
      </c>
      <c r="I168" s="6">
        <v>6</v>
      </c>
      <c r="J168" s="6">
        <v>7</v>
      </c>
      <c r="K168" s="6">
        <v>8</v>
      </c>
      <c r="L168" s="6">
        <v>9</v>
      </c>
      <c r="M168" s="6">
        <v>10</v>
      </c>
    </row>
    <row r="169" spans="1:13">
      <c r="A169" s="416" t="s">
        <v>870</v>
      </c>
      <c r="B169" t="s">
        <v>202</v>
      </c>
      <c r="C169" t="s">
        <v>203</v>
      </c>
      <c r="D169" s="267">
        <f>f!C11</f>
        <v>4090.9228635271579</v>
      </c>
      <c r="E169" s="267">
        <f>f!C12</f>
        <v>7021.3100064774535</v>
      </c>
      <c r="F169" s="267">
        <f>f!C13</f>
        <v>10170.074024482548</v>
      </c>
      <c r="G169" s="267">
        <f>f!C13</f>
        <v>10170.074024482548</v>
      </c>
      <c r="H169" s="267">
        <f>f!C13</f>
        <v>10170.074024482548</v>
      </c>
      <c r="I169" s="267">
        <f>f!C13</f>
        <v>10170.074024482548</v>
      </c>
      <c r="J169" s="267">
        <f>f!C13</f>
        <v>10170.074024482548</v>
      </c>
      <c r="K169" s="267">
        <f>f!C13</f>
        <v>10170.074024482548</v>
      </c>
      <c r="L169" s="267">
        <f>f!C13</f>
        <v>10170.074024482548</v>
      </c>
      <c r="M169" s="267">
        <f>f!C13</f>
        <v>10170.074024482548</v>
      </c>
    </row>
    <row r="170" spans="1:13">
      <c r="B170" t="s">
        <v>205</v>
      </c>
      <c r="C170" t="s">
        <v>206</v>
      </c>
      <c r="D170" s="7">
        <v>4000</v>
      </c>
      <c r="E170" s="7">
        <v>7000</v>
      </c>
      <c r="F170" s="7">
        <v>10000</v>
      </c>
      <c r="G170" s="7">
        <v>10000</v>
      </c>
      <c r="H170" s="7">
        <v>10000</v>
      </c>
      <c r="I170" s="7">
        <v>10000</v>
      </c>
      <c r="J170" s="7">
        <v>10000</v>
      </c>
      <c r="K170" s="7">
        <v>10000</v>
      </c>
      <c r="L170" s="7">
        <v>10000</v>
      </c>
      <c r="M170" s="7">
        <v>10000</v>
      </c>
    </row>
    <row r="171" spans="1:13">
      <c r="B171" t="s">
        <v>208</v>
      </c>
      <c r="C171" t="s">
        <v>209</v>
      </c>
      <c r="D171" s="7">
        <v>4000</v>
      </c>
      <c r="E171" s="7">
        <v>7000</v>
      </c>
      <c r="F171" s="7">
        <v>10000</v>
      </c>
      <c r="G171" s="7">
        <v>10000</v>
      </c>
      <c r="H171" s="7">
        <v>10000</v>
      </c>
      <c r="I171" s="7">
        <v>10000</v>
      </c>
      <c r="J171" s="7">
        <v>10000</v>
      </c>
      <c r="K171" s="7">
        <v>10000</v>
      </c>
      <c r="L171" s="7">
        <v>10000</v>
      </c>
      <c r="M171" s="7">
        <v>10000</v>
      </c>
    </row>
    <row r="172" spans="1:13">
      <c r="B172" t="s">
        <v>211</v>
      </c>
      <c r="C172" t="s">
        <v>212</v>
      </c>
      <c r="D172" s="7">
        <v>4000</v>
      </c>
      <c r="E172" s="7">
        <v>7000</v>
      </c>
      <c r="F172" s="7">
        <v>10000</v>
      </c>
      <c r="G172" s="7">
        <v>10000</v>
      </c>
      <c r="H172" s="7">
        <v>10000</v>
      </c>
      <c r="I172" s="7">
        <v>10000</v>
      </c>
      <c r="J172" s="7">
        <v>10000</v>
      </c>
      <c r="K172" s="7">
        <v>10000</v>
      </c>
      <c r="L172" s="7">
        <v>10000</v>
      </c>
      <c r="M172" s="7">
        <v>10000</v>
      </c>
    </row>
    <row r="173" spans="1:13">
      <c r="B173" t="s">
        <v>213</v>
      </c>
      <c r="C173" t="s">
        <v>214</v>
      </c>
      <c r="D173" s="7">
        <v>4000</v>
      </c>
      <c r="E173" s="7">
        <v>7000</v>
      </c>
      <c r="F173" s="7">
        <v>10000</v>
      </c>
      <c r="G173" s="7">
        <v>10000</v>
      </c>
      <c r="H173" s="7">
        <v>10000</v>
      </c>
      <c r="I173" s="7">
        <v>10000</v>
      </c>
      <c r="J173" s="7">
        <v>10000</v>
      </c>
      <c r="K173" s="7">
        <v>10000</v>
      </c>
      <c r="L173" s="7">
        <v>10000</v>
      </c>
      <c r="M173" s="7">
        <v>10000</v>
      </c>
    </row>
    <row r="174" spans="1:13">
      <c r="B174" t="s">
        <v>215</v>
      </c>
      <c r="C174" t="s">
        <v>216</v>
      </c>
      <c r="D174" s="7">
        <v>4000</v>
      </c>
      <c r="E174" s="7">
        <v>7000</v>
      </c>
      <c r="F174" s="7">
        <v>10000</v>
      </c>
      <c r="G174" s="7">
        <v>10000</v>
      </c>
      <c r="H174" s="7">
        <v>10000</v>
      </c>
      <c r="I174" s="7">
        <v>10000</v>
      </c>
      <c r="J174" s="7">
        <v>10000</v>
      </c>
      <c r="K174" s="7">
        <v>10000</v>
      </c>
      <c r="L174" s="7">
        <v>10000</v>
      </c>
      <c r="M174" s="7">
        <v>10000</v>
      </c>
    </row>
    <row r="175" spans="1:13">
      <c r="B175" t="s">
        <v>217</v>
      </c>
      <c r="C175" t="s">
        <v>218</v>
      </c>
      <c r="D175" s="7">
        <v>4000</v>
      </c>
      <c r="E175" s="7">
        <v>7000</v>
      </c>
      <c r="F175" s="7">
        <v>10000</v>
      </c>
      <c r="G175" s="7">
        <v>10000</v>
      </c>
      <c r="H175" s="7">
        <v>10000</v>
      </c>
      <c r="I175" s="7">
        <v>10000</v>
      </c>
      <c r="J175" s="7">
        <v>10000</v>
      </c>
      <c r="K175" s="7">
        <v>10000</v>
      </c>
      <c r="L175" s="7">
        <v>10000</v>
      </c>
      <c r="M175" s="7">
        <v>10000</v>
      </c>
    </row>
    <row r="176" spans="1:13">
      <c r="B176" t="s">
        <v>219</v>
      </c>
      <c r="C176" t="s">
        <v>220</v>
      </c>
      <c r="D176" s="7">
        <v>4000</v>
      </c>
      <c r="E176" s="7">
        <v>7000</v>
      </c>
      <c r="F176" s="7">
        <v>10000</v>
      </c>
      <c r="G176" s="7">
        <v>10000</v>
      </c>
      <c r="H176" s="7">
        <v>10000</v>
      </c>
      <c r="I176" s="7">
        <v>10000</v>
      </c>
      <c r="J176" s="7">
        <v>10000</v>
      </c>
      <c r="K176" s="7">
        <v>10000</v>
      </c>
      <c r="L176" s="7">
        <v>10000</v>
      </c>
      <c r="M176" s="7">
        <v>10000</v>
      </c>
    </row>
    <row r="177" spans="1:23">
      <c r="B177" t="s">
        <v>221</v>
      </c>
      <c r="C177" t="s">
        <v>222</v>
      </c>
      <c r="D177" s="7">
        <v>4000</v>
      </c>
      <c r="E177" s="7">
        <v>7000</v>
      </c>
      <c r="F177" s="7">
        <v>10000</v>
      </c>
      <c r="G177" s="7">
        <v>10000</v>
      </c>
      <c r="H177" s="7">
        <v>10000</v>
      </c>
      <c r="I177" s="7">
        <v>10000</v>
      </c>
      <c r="J177" s="7">
        <v>10000</v>
      </c>
      <c r="K177" s="7">
        <v>10000</v>
      </c>
      <c r="L177" s="7">
        <v>10000</v>
      </c>
      <c r="M177" s="7">
        <v>10000</v>
      </c>
    </row>
    <row r="178" spans="1:23">
      <c r="B178" t="s">
        <v>223</v>
      </c>
      <c r="C178" t="s">
        <v>224</v>
      </c>
      <c r="D178" s="7">
        <v>4000</v>
      </c>
      <c r="E178" s="7">
        <v>7000</v>
      </c>
      <c r="F178" s="7">
        <v>10000</v>
      </c>
      <c r="G178" s="7">
        <v>10000</v>
      </c>
      <c r="H178" s="7">
        <v>10000</v>
      </c>
      <c r="I178" s="7">
        <v>10000</v>
      </c>
      <c r="J178" s="7">
        <v>10000</v>
      </c>
      <c r="K178" s="7">
        <v>10000</v>
      </c>
      <c r="L178" s="7">
        <v>10000</v>
      </c>
      <c r="M178" s="7">
        <v>10000</v>
      </c>
    </row>
    <row r="179" spans="1:23">
      <c r="B179" t="s">
        <v>225</v>
      </c>
      <c r="C179" t="s">
        <v>226</v>
      </c>
      <c r="D179" s="7">
        <v>4000</v>
      </c>
      <c r="E179" s="7">
        <v>7000</v>
      </c>
      <c r="F179" s="7">
        <v>10000</v>
      </c>
      <c r="G179" s="7">
        <v>10000</v>
      </c>
      <c r="H179" s="7">
        <v>10000</v>
      </c>
      <c r="I179" s="7">
        <v>10000</v>
      </c>
      <c r="J179" s="7">
        <v>10000</v>
      </c>
      <c r="K179" s="7">
        <v>10000</v>
      </c>
      <c r="L179" s="7">
        <v>10000</v>
      </c>
      <c r="M179" s="7">
        <v>10000</v>
      </c>
    </row>
    <row r="182" spans="1:23">
      <c r="A182" s="1" t="s">
        <v>229</v>
      </c>
      <c r="D182" t="s">
        <v>230</v>
      </c>
      <c r="E182" t="s">
        <v>230</v>
      </c>
      <c r="F182" t="s">
        <v>230</v>
      </c>
      <c r="G182" t="s">
        <v>230</v>
      </c>
      <c r="H182" t="s">
        <v>230</v>
      </c>
      <c r="I182" t="s">
        <v>230</v>
      </c>
      <c r="J182" t="s">
        <v>230</v>
      </c>
      <c r="K182" t="s">
        <v>230</v>
      </c>
      <c r="L182" t="s">
        <v>230</v>
      </c>
      <c r="M182" t="s">
        <v>230</v>
      </c>
      <c r="N182" t="s">
        <v>231</v>
      </c>
      <c r="O182" t="s">
        <v>231</v>
      </c>
      <c r="P182" t="s">
        <v>231</v>
      </c>
      <c r="Q182" t="s">
        <v>231</v>
      </c>
      <c r="R182" t="s">
        <v>231</v>
      </c>
      <c r="S182" t="s">
        <v>231</v>
      </c>
      <c r="T182" t="s">
        <v>231</v>
      </c>
      <c r="U182" t="s">
        <v>231</v>
      </c>
      <c r="V182" t="s">
        <v>231</v>
      </c>
      <c r="W182" t="s">
        <v>231</v>
      </c>
    </row>
    <row r="183" spans="1:23">
      <c r="A183" s="14" t="s">
        <v>232</v>
      </c>
      <c r="D183" t="s">
        <v>233</v>
      </c>
      <c r="N183" t="s">
        <v>233</v>
      </c>
    </row>
    <row r="184" spans="1:23">
      <c r="B184" s="6" t="s">
        <v>199</v>
      </c>
      <c r="C184" s="6" t="s">
        <v>200</v>
      </c>
      <c r="D184" s="6">
        <v>1</v>
      </c>
      <c r="E184" s="6">
        <v>2</v>
      </c>
      <c r="F184" s="6">
        <v>3</v>
      </c>
      <c r="G184" s="6">
        <v>4</v>
      </c>
      <c r="H184" s="6">
        <v>5</v>
      </c>
      <c r="I184" s="6">
        <v>6</v>
      </c>
      <c r="J184" s="6">
        <v>7</v>
      </c>
      <c r="K184" s="6">
        <v>8</v>
      </c>
      <c r="L184" s="6">
        <v>9</v>
      </c>
      <c r="M184" s="6">
        <v>10</v>
      </c>
      <c r="N184" s="6">
        <v>1</v>
      </c>
      <c r="O184" s="6">
        <v>2</v>
      </c>
      <c r="P184" s="6">
        <v>3</v>
      </c>
      <c r="Q184" s="6">
        <v>4</v>
      </c>
      <c r="R184" s="6">
        <v>5</v>
      </c>
      <c r="S184" s="6">
        <v>6</v>
      </c>
      <c r="T184" s="6">
        <v>7</v>
      </c>
      <c r="U184" s="6">
        <v>8</v>
      </c>
      <c r="V184" s="6">
        <v>9</v>
      </c>
      <c r="W184" s="6">
        <v>10</v>
      </c>
    </row>
    <row r="185" spans="1:23">
      <c r="A185" s="416" t="s">
        <v>869</v>
      </c>
      <c r="B185" t="s">
        <v>202</v>
      </c>
      <c r="C185" t="s">
        <v>203</v>
      </c>
      <c r="D185" s="264">
        <f>S.kelt!A27</f>
        <v>5.4227206260661485E-2</v>
      </c>
      <c r="E185" s="264">
        <f>S.kelt!B27</f>
        <v>5.3478870814264355E-2</v>
      </c>
      <c r="F185" s="264">
        <f>S.kelt!C27</f>
        <v>5.3478870814264355E-2</v>
      </c>
      <c r="G185" s="269">
        <v>0</v>
      </c>
      <c r="H185" s="269">
        <v>0</v>
      </c>
      <c r="I185" s="269">
        <v>0</v>
      </c>
      <c r="J185" s="7">
        <v>0</v>
      </c>
      <c r="K185" s="7">
        <v>0</v>
      </c>
      <c r="L185" s="7">
        <v>0</v>
      </c>
      <c r="M185" s="7">
        <v>0</v>
      </c>
      <c r="N185" s="264">
        <f>S.kelt!A27</f>
        <v>5.4227206260661485E-2</v>
      </c>
      <c r="O185" s="264">
        <f>S.kelt!B27</f>
        <v>5.3478870814264355E-2</v>
      </c>
      <c r="P185" s="264">
        <f>S.kelt!C27</f>
        <v>5.3478870814264355E-2</v>
      </c>
      <c r="Q185" s="269">
        <v>0</v>
      </c>
      <c r="R185" s="269">
        <v>0</v>
      </c>
      <c r="S185" s="269">
        <v>0</v>
      </c>
      <c r="T185" s="7">
        <v>0</v>
      </c>
      <c r="U185" s="7">
        <v>0</v>
      </c>
      <c r="V185" s="7">
        <v>0</v>
      </c>
      <c r="W185" s="7">
        <v>0</v>
      </c>
    </row>
    <row r="186" spans="1:23">
      <c r="B186" t="s">
        <v>205</v>
      </c>
      <c r="C186" t="s">
        <v>206</v>
      </c>
      <c r="D186" s="7">
        <v>0</v>
      </c>
      <c r="E186" s="7">
        <v>0</v>
      </c>
      <c r="F186" s="7">
        <v>0</v>
      </c>
      <c r="G186" s="7">
        <v>0</v>
      </c>
      <c r="H186" s="7">
        <v>0</v>
      </c>
      <c r="I186" s="7">
        <v>0</v>
      </c>
      <c r="J186" s="7">
        <v>0</v>
      </c>
      <c r="K186" s="7">
        <v>0</v>
      </c>
      <c r="L186" s="7">
        <v>0</v>
      </c>
      <c r="M186" s="7">
        <v>0</v>
      </c>
      <c r="N186" s="7">
        <v>0</v>
      </c>
      <c r="O186" s="7">
        <v>0</v>
      </c>
      <c r="P186" s="7">
        <v>0</v>
      </c>
      <c r="Q186" s="7">
        <v>0</v>
      </c>
      <c r="R186" s="7">
        <v>0</v>
      </c>
      <c r="S186" s="7">
        <v>0</v>
      </c>
      <c r="T186" s="7">
        <v>0</v>
      </c>
      <c r="U186" s="7">
        <v>0</v>
      </c>
      <c r="V186" s="7">
        <v>0</v>
      </c>
      <c r="W186" s="7">
        <v>0</v>
      </c>
    </row>
    <row r="187" spans="1:23">
      <c r="B187" t="s">
        <v>208</v>
      </c>
      <c r="C187" t="s">
        <v>209</v>
      </c>
      <c r="D187" s="7">
        <v>0</v>
      </c>
      <c r="E187" s="7">
        <v>0</v>
      </c>
      <c r="F187" s="7">
        <v>0</v>
      </c>
      <c r="G187" s="7">
        <v>0</v>
      </c>
      <c r="H187" s="7">
        <v>0</v>
      </c>
      <c r="I187" s="7">
        <v>0</v>
      </c>
      <c r="J187" s="7">
        <v>0</v>
      </c>
      <c r="K187" s="7">
        <v>0</v>
      </c>
      <c r="L187" s="7">
        <v>0</v>
      </c>
      <c r="M187" s="7">
        <v>0</v>
      </c>
      <c r="N187" s="7">
        <v>0</v>
      </c>
      <c r="O187" s="7">
        <v>0</v>
      </c>
      <c r="P187" s="7">
        <v>0</v>
      </c>
      <c r="Q187" s="7">
        <v>0</v>
      </c>
      <c r="R187" s="7">
        <v>0</v>
      </c>
      <c r="S187" s="7">
        <v>0</v>
      </c>
      <c r="T187" s="7">
        <v>0</v>
      </c>
      <c r="U187" s="7">
        <v>0</v>
      </c>
      <c r="V187" s="7">
        <v>0</v>
      </c>
      <c r="W187" s="7">
        <v>0</v>
      </c>
    </row>
    <row r="188" spans="1:23">
      <c r="B188" t="s">
        <v>211</v>
      </c>
      <c r="C188" t="s">
        <v>212</v>
      </c>
      <c r="D188" s="7">
        <v>0</v>
      </c>
      <c r="E188" s="7">
        <v>0</v>
      </c>
      <c r="F188" s="7">
        <v>0</v>
      </c>
      <c r="G188" s="7">
        <v>0</v>
      </c>
      <c r="H188" s="7">
        <v>0</v>
      </c>
      <c r="I188" s="7">
        <v>0</v>
      </c>
      <c r="J188" s="7">
        <v>0</v>
      </c>
      <c r="K188" s="7">
        <v>0</v>
      </c>
      <c r="L188" s="7">
        <v>0</v>
      </c>
      <c r="M188" s="7">
        <v>0</v>
      </c>
      <c r="N188" s="7">
        <v>0</v>
      </c>
      <c r="O188" s="7">
        <v>0</v>
      </c>
      <c r="P188" s="7">
        <v>0</v>
      </c>
      <c r="Q188" s="7">
        <v>0</v>
      </c>
      <c r="R188" s="7">
        <v>0</v>
      </c>
      <c r="S188" s="7">
        <v>0</v>
      </c>
      <c r="T188" s="7">
        <v>0</v>
      </c>
      <c r="U188" s="7">
        <v>0</v>
      </c>
      <c r="V188" s="7">
        <v>0</v>
      </c>
      <c r="W188" s="7">
        <v>0</v>
      </c>
    </row>
    <row r="189" spans="1:23">
      <c r="B189" t="s">
        <v>213</v>
      </c>
      <c r="C189" t="s">
        <v>214</v>
      </c>
      <c r="D189" s="7">
        <v>0</v>
      </c>
      <c r="E189" s="7">
        <v>0</v>
      </c>
      <c r="F189" s="7">
        <v>0</v>
      </c>
      <c r="G189" s="7">
        <v>0</v>
      </c>
      <c r="H189" s="7">
        <v>0</v>
      </c>
      <c r="I189" s="7">
        <v>0</v>
      </c>
      <c r="J189" s="7">
        <v>0</v>
      </c>
      <c r="K189" s="7">
        <v>0</v>
      </c>
      <c r="L189" s="7">
        <v>0</v>
      </c>
      <c r="M189" s="7">
        <v>0</v>
      </c>
      <c r="N189" s="7">
        <v>0</v>
      </c>
      <c r="O189" s="7">
        <v>0</v>
      </c>
      <c r="P189" s="7">
        <v>0</v>
      </c>
      <c r="Q189" s="7">
        <v>0</v>
      </c>
      <c r="R189" s="7">
        <v>0</v>
      </c>
      <c r="S189" s="7">
        <v>0</v>
      </c>
      <c r="T189" s="7">
        <v>0</v>
      </c>
      <c r="U189" s="7">
        <v>0</v>
      </c>
      <c r="V189" s="7">
        <v>0</v>
      </c>
      <c r="W189" s="7">
        <v>0</v>
      </c>
    </row>
    <row r="190" spans="1:23">
      <c r="B190" t="s">
        <v>215</v>
      </c>
      <c r="C190" t="s">
        <v>216</v>
      </c>
      <c r="D190" s="7">
        <v>0</v>
      </c>
      <c r="E190" s="7">
        <v>0</v>
      </c>
      <c r="F190" s="7">
        <v>0</v>
      </c>
      <c r="G190" s="7">
        <v>0</v>
      </c>
      <c r="H190" s="7">
        <v>0</v>
      </c>
      <c r="I190" s="7">
        <v>0</v>
      </c>
      <c r="J190" s="7">
        <v>0</v>
      </c>
      <c r="K190" s="7">
        <v>0</v>
      </c>
      <c r="L190" s="7">
        <v>0</v>
      </c>
      <c r="M190" s="7">
        <v>0</v>
      </c>
      <c r="N190" s="7">
        <v>0</v>
      </c>
      <c r="O190" s="7">
        <v>0</v>
      </c>
      <c r="P190" s="7">
        <v>0</v>
      </c>
      <c r="Q190" s="7">
        <v>0</v>
      </c>
      <c r="R190" s="7">
        <v>0</v>
      </c>
      <c r="S190" s="7">
        <v>0</v>
      </c>
      <c r="T190" s="7">
        <v>0</v>
      </c>
      <c r="U190" s="7">
        <v>0</v>
      </c>
      <c r="V190" s="7">
        <v>0</v>
      </c>
      <c r="W190" s="7">
        <v>0</v>
      </c>
    </row>
    <row r="191" spans="1:23">
      <c r="B191" t="s">
        <v>217</v>
      </c>
      <c r="C191" t="s">
        <v>218</v>
      </c>
      <c r="D191" s="7">
        <v>0</v>
      </c>
      <c r="E191" s="7">
        <v>0</v>
      </c>
      <c r="F191" s="7">
        <v>0</v>
      </c>
      <c r="G191" s="7">
        <v>0</v>
      </c>
      <c r="H191" s="7">
        <v>0</v>
      </c>
      <c r="I191" s="7">
        <v>0</v>
      </c>
      <c r="J191" s="7">
        <v>0</v>
      </c>
      <c r="K191" s="7">
        <v>0</v>
      </c>
      <c r="L191" s="7">
        <v>0</v>
      </c>
      <c r="M191" s="7">
        <v>0</v>
      </c>
      <c r="N191" s="7">
        <v>0</v>
      </c>
      <c r="O191" s="7">
        <v>0</v>
      </c>
      <c r="P191" s="7">
        <v>0</v>
      </c>
      <c r="Q191" s="7">
        <v>0</v>
      </c>
      <c r="R191" s="7">
        <v>0</v>
      </c>
      <c r="S191" s="7">
        <v>0</v>
      </c>
      <c r="T191" s="7">
        <v>0</v>
      </c>
      <c r="U191" s="7">
        <v>0</v>
      </c>
      <c r="V191" s="7">
        <v>0</v>
      </c>
      <c r="W191" s="7">
        <v>0</v>
      </c>
    </row>
    <row r="192" spans="1:23">
      <c r="B192" t="s">
        <v>219</v>
      </c>
      <c r="C192" t="s">
        <v>220</v>
      </c>
      <c r="D192" s="7">
        <v>0</v>
      </c>
      <c r="E192" s="7">
        <v>0</v>
      </c>
      <c r="F192" s="7">
        <v>0</v>
      </c>
      <c r="G192" s="7">
        <v>0</v>
      </c>
      <c r="H192" s="7">
        <v>0</v>
      </c>
      <c r="I192" s="7">
        <v>0</v>
      </c>
      <c r="J192" s="7">
        <v>0</v>
      </c>
      <c r="K192" s="7">
        <v>0</v>
      </c>
      <c r="L192" s="7">
        <v>0</v>
      </c>
      <c r="M192" s="7">
        <v>0</v>
      </c>
      <c r="N192" s="7">
        <v>0</v>
      </c>
      <c r="O192" s="7">
        <v>0</v>
      </c>
      <c r="P192" s="7">
        <v>0</v>
      </c>
      <c r="Q192" s="7">
        <v>0</v>
      </c>
      <c r="R192" s="7">
        <v>0</v>
      </c>
      <c r="S192" s="7">
        <v>0</v>
      </c>
      <c r="T192" s="7">
        <v>0</v>
      </c>
      <c r="U192" s="7">
        <v>0</v>
      </c>
      <c r="V192" s="7">
        <v>0</v>
      </c>
      <c r="W192" s="7">
        <v>0</v>
      </c>
    </row>
    <row r="193" spans="1:23">
      <c r="B193" t="s">
        <v>221</v>
      </c>
      <c r="C193" t="s">
        <v>222</v>
      </c>
      <c r="D193" s="7">
        <v>0</v>
      </c>
      <c r="E193" s="7">
        <v>0</v>
      </c>
      <c r="F193" s="7">
        <v>0</v>
      </c>
      <c r="G193" s="7">
        <v>0</v>
      </c>
      <c r="H193" s="7">
        <v>0</v>
      </c>
      <c r="I193" s="7">
        <v>0</v>
      </c>
      <c r="J193" s="7">
        <v>0</v>
      </c>
      <c r="K193" s="7">
        <v>0</v>
      </c>
      <c r="L193" s="7">
        <v>0</v>
      </c>
      <c r="M193" s="7">
        <v>0</v>
      </c>
      <c r="N193" s="7">
        <v>0</v>
      </c>
      <c r="O193" s="7">
        <v>0</v>
      </c>
      <c r="P193" s="7">
        <v>0</v>
      </c>
      <c r="Q193" s="7">
        <v>0</v>
      </c>
      <c r="R193" s="7">
        <v>0</v>
      </c>
      <c r="S193" s="7">
        <v>0</v>
      </c>
      <c r="T193" s="7">
        <v>0</v>
      </c>
      <c r="U193" s="7">
        <v>0</v>
      </c>
      <c r="V193" s="7">
        <v>0</v>
      </c>
      <c r="W193" s="7">
        <v>0</v>
      </c>
    </row>
    <row r="194" spans="1:23">
      <c r="B194" t="s">
        <v>223</v>
      </c>
      <c r="C194" t="s">
        <v>224</v>
      </c>
      <c r="D194" s="7">
        <v>0</v>
      </c>
      <c r="E194" s="7">
        <v>0</v>
      </c>
      <c r="F194" s="7">
        <v>0</v>
      </c>
      <c r="G194" s="7">
        <v>0</v>
      </c>
      <c r="H194" s="7">
        <v>0</v>
      </c>
      <c r="I194" s="7">
        <v>0</v>
      </c>
      <c r="J194" s="7">
        <v>0</v>
      </c>
      <c r="K194" s="7">
        <v>0</v>
      </c>
      <c r="L194" s="7">
        <v>0</v>
      </c>
      <c r="M194" s="7">
        <v>0</v>
      </c>
      <c r="N194" s="7">
        <v>0</v>
      </c>
      <c r="O194" s="7">
        <v>0</v>
      </c>
      <c r="P194" s="7">
        <v>0</v>
      </c>
      <c r="Q194" s="7">
        <v>0</v>
      </c>
      <c r="R194" s="7">
        <v>0</v>
      </c>
      <c r="S194" s="7">
        <v>0</v>
      </c>
      <c r="T194" s="7">
        <v>0</v>
      </c>
      <c r="U194" s="7">
        <v>0</v>
      </c>
      <c r="V194" s="7">
        <v>0</v>
      </c>
      <c r="W194" s="7">
        <v>0</v>
      </c>
    </row>
    <row r="195" spans="1:23">
      <c r="B195" t="s">
        <v>225</v>
      </c>
      <c r="C195" t="s">
        <v>226</v>
      </c>
      <c r="D195" s="7">
        <v>0</v>
      </c>
      <c r="E195" s="7">
        <v>0</v>
      </c>
      <c r="F195" s="7">
        <v>0</v>
      </c>
      <c r="G195" s="7">
        <v>0</v>
      </c>
      <c r="H195" s="7">
        <v>0</v>
      </c>
      <c r="I195" s="7">
        <v>0</v>
      </c>
      <c r="J195" s="7">
        <v>0</v>
      </c>
      <c r="K195" s="7">
        <v>0</v>
      </c>
      <c r="L195" s="7">
        <v>0</v>
      </c>
      <c r="M195" s="7">
        <v>0</v>
      </c>
      <c r="N195" s="7">
        <v>0</v>
      </c>
      <c r="O195" s="7">
        <v>0</v>
      </c>
      <c r="P195" s="7">
        <v>0</v>
      </c>
      <c r="Q195" s="7">
        <v>0</v>
      </c>
      <c r="R195" s="7">
        <v>0</v>
      </c>
      <c r="S195" s="7">
        <v>0</v>
      </c>
      <c r="T195" s="7">
        <v>0</v>
      </c>
      <c r="U195" s="7">
        <v>0</v>
      </c>
      <c r="V195" s="7">
        <v>0</v>
      </c>
      <c r="W195" s="7">
        <v>0</v>
      </c>
    </row>
    <row r="197" spans="1:23">
      <c r="A197" s="1" t="s">
        <v>234</v>
      </c>
      <c r="D197" t="s">
        <v>230</v>
      </c>
      <c r="E197" t="s">
        <v>230</v>
      </c>
      <c r="F197" t="s">
        <v>230</v>
      </c>
      <c r="G197" t="s">
        <v>230</v>
      </c>
      <c r="H197" t="s">
        <v>230</v>
      </c>
      <c r="I197" t="s">
        <v>230</v>
      </c>
      <c r="J197" t="s">
        <v>230</v>
      </c>
      <c r="K197" t="s">
        <v>230</v>
      </c>
      <c r="L197" t="s">
        <v>230</v>
      </c>
      <c r="M197" t="s">
        <v>230</v>
      </c>
      <c r="N197" t="s">
        <v>231</v>
      </c>
      <c r="O197" t="s">
        <v>231</v>
      </c>
      <c r="P197" t="s">
        <v>231</v>
      </c>
      <c r="Q197" t="s">
        <v>231</v>
      </c>
      <c r="R197" t="s">
        <v>231</v>
      </c>
      <c r="S197" t="s">
        <v>231</v>
      </c>
      <c r="T197" t="s">
        <v>231</v>
      </c>
      <c r="U197" t="s">
        <v>231</v>
      </c>
      <c r="V197" t="s">
        <v>231</v>
      </c>
      <c r="W197" t="s">
        <v>231</v>
      </c>
    </row>
    <row r="198" spans="1:23">
      <c r="A198" s="14" t="s">
        <v>235</v>
      </c>
      <c r="D198" t="s">
        <v>236</v>
      </c>
      <c r="N198" t="s">
        <v>236</v>
      </c>
    </row>
    <row r="199" spans="1:23">
      <c r="B199" s="6" t="s">
        <v>199</v>
      </c>
      <c r="C199" s="6" t="s">
        <v>200</v>
      </c>
      <c r="D199" s="6">
        <v>1</v>
      </c>
      <c r="E199" s="6">
        <v>2</v>
      </c>
      <c r="F199" s="6">
        <v>3</v>
      </c>
      <c r="G199" s="6">
        <v>4</v>
      </c>
      <c r="H199" s="6">
        <v>5</v>
      </c>
      <c r="I199" s="6">
        <v>6</v>
      </c>
      <c r="J199" s="6">
        <v>7</v>
      </c>
      <c r="K199" s="6">
        <v>8</v>
      </c>
      <c r="L199" s="6">
        <v>9</v>
      </c>
      <c r="M199" s="6">
        <v>10</v>
      </c>
      <c r="N199" s="6">
        <v>1</v>
      </c>
      <c r="O199" s="6">
        <v>2</v>
      </c>
      <c r="P199" s="6">
        <v>3</v>
      </c>
      <c r="Q199" s="6">
        <v>4</v>
      </c>
      <c r="R199" s="6">
        <v>5</v>
      </c>
      <c r="S199" s="6">
        <v>6</v>
      </c>
      <c r="T199" s="6">
        <v>7</v>
      </c>
      <c r="U199" s="6">
        <v>8</v>
      </c>
      <c r="V199" s="6">
        <v>9</v>
      </c>
      <c r="W199" s="6">
        <v>10</v>
      </c>
    </row>
    <row r="200" spans="1:23">
      <c r="B200" t="s">
        <v>202</v>
      </c>
      <c r="C200" t="s">
        <v>203</v>
      </c>
      <c r="D200" s="264">
        <f>S.kelt!A39*C104</f>
        <v>0.31909795995575668</v>
      </c>
      <c r="E200" s="264">
        <f>S.kelt!A39*C104</f>
        <v>0.31909795995575668</v>
      </c>
      <c r="F200" s="264">
        <f>S.kelt!A39*C104</f>
        <v>0.31909795995575668</v>
      </c>
      <c r="G200" s="264">
        <f>S.kelt!A39*C104</f>
        <v>0.31909795995575668</v>
      </c>
      <c r="H200" s="264">
        <f>S.kelt!A39*C104</f>
        <v>0.31909795995575668</v>
      </c>
      <c r="I200" s="264">
        <f>S.kelt!A39*C104</f>
        <v>0.31909795995575668</v>
      </c>
      <c r="J200" s="7">
        <v>0</v>
      </c>
      <c r="K200" s="7">
        <v>0</v>
      </c>
      <c r="L200" s="7">
        <v>0</v>
      </c>
      <c r="M200" s="7">
        <v>0</v>
      </c>
      <c r="N200" s="264">
        <f>S.kelt!A39*C104</f>
        <v>0.31909795995575668</v>
      </c>
      <c r="O200" s="264">
        <f>S.kelt!A39*C104</f>
        <v>0.31909795995575668</v>
      </c>
      <c r="P200" s="264">
        <f>S.kelt!A39*C104</f>
        <v>0.31909795995575668</v>
      </c>
      <c r="Q200" s="264">
        <f>S.kelt!A39*C104</f>
        <v>0.31909795995575668</v>
      </c>
      <c r="R200" s="264">
        <f>S.kelt!A39*C104</f>
        <v>0.31909795995575668</v>
      </c>
      <c r="S200" s="264">
        <f>S.kelt!A39*C104</f>
        <v>0.31909795995575668</v>
      </c>
      <c r="T200" s="7">
        <v>0</v>
      </c>
      <c r="U200" s="7">
        <v>0</v>
      </c>
      <c r="V200" s="7">
        <v>0</v>
      </c>
      <c r="W200" s="7">
        <v>0</v>
      </c>
    </row>
    <row r="201" spans="1:23">
      <c r="B201" t="s">
        <v>205</v>
      </c>
      <c r="C201" t="s">
        <v>206</v>
      </c>
      <c r="D201" s="7">
        <v>0</v>
      </c>
      <c r="E201" s="7">
        <v>0</v>
      </c>
      <c r="F201" s="7">
        <v>0</v>
      </c>
      <c r="G201" s="7">
        <v>0</v>
      </c>
      <c r="H201" s="7">
        <v>0</v>
      </c>
      <c r="I201" s="7">
        <v>0</v>
      </c>
      <c r="J201" s="7">
        <v>0</v>
      </c>
      <c r="K201" s="7">
        <v>0</v>
      </c>
      <c r="L201" s="7">
        <v>0</v>
      </c>
      <c r="M201" s="7">
        <v>0</v>
      </c>
      <c r="N201" s="7">
        <v>0</v>
      </c>
      <c r="O201" s="7">
        <v>0</v>
      </c>
      <c r="P201" s="7">
        <v>0</v>
      </c>
      <c r="Q201" s="7">
        <v>0</v>
      </c>
      <c r="R201" s="7">
        <v>0</v>
      </c>
      <c r="S201" s="7">
        <v>0</v>
      </c>
      <c r="T201" s="7">
        <v>0</v>
      </c>
      <c r="U201" s="7">
        <v>0</v>
      </c>
      <c r="V201" s="7">
        <v>0</v>
      </c>
      <c r="W201" s="7">
        <v>0</v>
      </c>
    </row>
    <row r="202" spans="1:23">
      <c r="B202" t="s">
        <v>208</v>
      </c>
      <c r="C202" t="s">
        <v>209</v>
      </c>
      <c r="D202" s="7">
        <v>0</v>
      </c>
      <c r="E202" s="7">
        <v>0</v>
      </c>
      <c r="F202" s="7">
        <v>0</v>
      </c>
      <c r="G202" s="7">
        <v>0</v>
      </c>
      <c r="H202" s="7">
        <v>0</v>
      </c>
      <c r="I202" s="7">
        <v>0</v>
      </c>
      <c r="J202" s="7">
        <v>0</v>
      </c>
      <c r="K202" s="7">
        <v>0</v>
      </c>
      <c r="L202" s="7">
        <v>0</v>
      </c>
      <c r="M202" s="7">
        <v>0</v>
      </c>
      <c r="N202" s="7">
        <v>0</v>
      </c>
      <c r="O202" s="7">
        <v>0</v>
      </c>
      <c r="P202" s="7">
        <v>0</v>
      </c>
      <c r="Q202" s="7">
        <v>0</v>
      </c>
      <c r="R202" s="7">
        <v>0</v>
      </c>
      <c r="S202" s="7">
        <v>0</v>
      </c>
      <c r="T202" s="7">
        <v>0</v>
      </c>
      <c r="U202" s="7">
        <v>0</v>
      </c>
      <c r="V202" s="7">
        <v>0</v>
      </c>
      <c r="W202" s="7">
        <v>0</v>
      </c>
    </row>
    <row r="203" spans="1:23">
      <c r="B203" t="s">
        <v>211</v>
      </c>
      <c r="C203" t="s">
        <v>212</v>
      </c>
      <c r="D203" s="7">
        <v>0</v>
      </c>
      <c r="E203" s="7">
        <v>0</v>
      </c>
      <c r="F203" s="7">
        <v>0</v>
      </c>
      <c r="G203" s="7">
        <v>0</v>
      </c>
      <c r="H203" s="7">
        <v>0</v>
      </c>
      <c r="I203" s="7">
        <v>0</v>
      </c>
      <c r="J203" s="7">
        <v>0</v>
      </c>
      <c r="K203" s="7">
        <v>0</v>
      </c>
      <c r="L203" s="7">
        <v>0</v>
      </c>
      <c r="M203" s="7">
        <v>0</v>
      </c>
      <c r="N203" s="7">
        <v>0</v>
      </c>
      <c r="O203" s="7">
        <v>0</v>
      </c>
      <c r="P203" s="7">
        <v>0</v>
      </c>
      <c r="Q203" s="7">
        <v>0</v>
      </c>
      <c r="R203" s="7">
        <v>0</v>
      </c>
      <c r="S203" s="7">
        <v>0</v>
      </c>
      <c r="T203" s="7">
        <v>0</v>
      </c>
      <c r="U203" s="7">
        <v>0</v>
      </c>
      <c r="V203" s="7">
        <v>0</v>
      </c>
      <c r="W203" s="7">
        <v>0</v>
      </c>
    </row>
    <row r="204" spans="1:23">
      <c r="B204" t="s">
        <v>213</v>
      </c>
      <c r="C204" t="s">
        <v>214</v>
      </c>
      <c r="D204" s="7">
        <v>0</v>
      </c>
      <c r="E204" s="7">
        <v>0</v>
      </c>
      <c r="F204" s="7">
        <v>0</v>
      </c>
      <c r="G204" s="7">
        <v>0</v>
      </c>
      <c r="H204" s="7">
        <v>0</v>
      </c>
      <c r="I204" s="7">
        <v>0</v>
      </c>
      <c r="J204" s="7">
        <v>0</v>
      </c>
      <c r="K204" s="7">
        <v>0</v>
      </c>
      <c r="L204" s="7">
        <v>0</v>
      </c>
      <c r="M204" s="7">
        <v>0</v>
      </c>
      <c r="N204" s="7">
        <v>0</v>
      </c>
      <c r="O204" s="7">
        <v>0</v>
      </c>
      <c r="P204" s="7">
        <v>0</v>
      </c>
      <c r="Q204" s="7">
        <v>0</v>
      </c>
      <c r="R204" s="7">
        <v>0</v>
      </c>
      <c r="S204" s="7">
        <v>0</v>
      </c>
      <c r="T204" s="7">
        <v>0</v>
      </c>
      <c r="U204" s="7">
        <v>0</v>
      </c>
      <c r="V204" s="7">
        <v>0</v>
      </c>
      <c r="W204" s="7">
        <v>0</v>
      </c>
    </row>
    <row r="205" spans="1:23">
      <c r="B205" t="s">
        <v>215</v>
      </c>
      <c r="C205" t="s">
        <v>216</v>
      </c>
      <c r="D205" s="7">
        <v>0</v>
      </c>
      <c r="E205" s="7">
        <v>0</v>
      </c>
      <c r="F205" s="7">
        <v>0</v>
      </c>
      <c r="G205" s="7">
        <v>0</v>
      </c>
      <c r="H205" s="7">
        <v>0</v>
      </c>
      <c r="I205" s="7">
        <v>0</v>
      </c>
      <c r="J205" s="7">
        <v>0</v>
      </c>
      <c r="K205" s="7">
        <v>0</v>
      </c>
      <c r="L205" s="7">
        <v>0</v>
      </c>
      <c r="M205" s="7">
        <v>0</v>
      </c>
      <c r="N205" s="7">
        <v>0</v>
      </c>
      <c r="O205" s="7">
        <v>0</v>
      </c>
      <c r="P205" s="7">
        <v>0</v>
      </c>
      <c r="Q205" s="7">
        <v>0</v>
      </c>
      <c r="R205" s="7">
        <v>0</v>
      </c>
      <c r="S205" s="7">
        <v>0</v>
      </c>
      <c r="T205" s="7">
        <v>0</v>
      </c>
      <c r="U205" s="7">
        <v>0</v>
      </c>
      <c r="V205" s="7">
        <v>0</v>
      </c>
      <c r="W205" s="7">
        <v>0</v>
      </c>
    </row>
    <row r="206" spans="1:23">
      <c r="B206" t="s">
        <v>217</v>
      </c>
      <c r="C206" t="s">
        <v>218</v>
      </c>
      <c r="D206" s="7">
        <v>0</v>
      </c>
      <c r="E206" s="7">
        <v>0</v>
      </c>
      <c r="F206" s="7">
        <v>0</v>
      </c>
      <c r="G206" s="7">
        <v>0</v>
      </c>
      <c r="H206" s="7">
        <v>0</v>
      </c>
      <c r="I206" s="7">
        <v>0</v>
      </c>
      <c r="J206" s="7">
        <v>0</v>
      </c>
      <c r="K206" s="7">
        <v>0</v>
      </c>
      <c r="L206" s="7">
        <v>0</v>
      </c>
      <c r="M206" s="7">
        <v>0</v>
      </c>
      <c r="N206" s="7">
        <v>0</v>
      </c>
      <c r="O206" s="7">
        <v>0</v>
      </c>
      <c r="P206" s="7">
        <v>0</v>
      </c>
      <c r="Q206" s="7">
        <v>0</v>
      </c>
      <c r="R206" s="7">
        <v>0</v>
      </c>
      <c r="S206" s="7">
        <v>0</v>
      </c>
      <c r="T206" s="7">
        <v>0</v>
      </c>
      <c r="U206" s="7">
        <v>0</v>
      </c>
      <c r="V206" s="7">
        <v>0</v>
      </c>
      <c r="W206" s="7">
        <v>0</v>
      </c>
    </row>
    <row r="207" spans="1:23">
      <c r="B207" t="s">
        <v>219</v>
      </c>
      <c r="C207" t="s">
        <v>220</v>
      </c>
      <c r="D207" s="7">
        <v>0</v>
      </c>
      <c r="E207" s="7">
        <v>0</v>
      </c>
      <c r="F207" s="7">
        <v>0</v>
      </c>
      <c r="G207" s="7">
        <v>0</v>
      </c>
      <c r="H207" s="7">
        <v>0</v>
      </c>
      <c r="I207" s="7">
        <v>0</v>
      </c>
      <c r="J207" s="7">
        <v>0</v>
      </c>
      <c r="K207" s="7">
        <v>0</v>
      </c>
      <c r="L207" s="7">
        <v>0</v>
      </c>
      <c r="M207" s="7">
        <v>0</v>
      </c>
      <c r="N207" s="7">
        <v>0</v>
      </c>
      <c r="O207" s="7">
        <v>0</v>
      </c>
      <c r="P207" s="7">
        <v>0</v>
      </c>
      <c r="Q207" s="7">
        <v>0</v>
      </c>
      <c r="R207" s="7">
        <v>0</v>
      </c>
      <c r="S207" s="7">
        <v>0</v>
      </c>
      <c r="T207" s="7">
        <v>0</v>
      </c>
      <c r="U207" s="7">
        <v>0</v>
      </c>
      <c r="V207" s="7">
        <v>0</v>
      </c>
      <c r="W207" s="7">
        <v>0</v>
      </c>
    </row>
    <row r="208" spans="1:23">
      <c r="B208" t="s">
        <v>221</v>
      </c>
      <c r="C208" t="s">
        <v>222</v>
      </c>
      <c r="D208" s="7">
        <v>0</v>
      </c>
      <c r="E208" s="7">
        <v>0</v>
      </c>
      <c r="F208" s="7">
        <v>0</v>
      </c>
      <c r="G208" s="7">
        <v>0</v>
      </c>
      <c r="H208" s="7">
        <v>0</v>
      </c>
      <c r="I208" s="7">
        <v>0</v>
      </c>
      <c r="J208" s="7">
        <v>0</v>
      </c>
      <c r="K208" s="7">
        <v>0</v>
      </c>
      <c r="L208" s="7">
        <v>0</v>
      </c>
      <c r="M208" s="7">
        <v>0</v>
      </c>
      <c r="N208" s="7">
        <v>0</v>
      </c>
      <c r="O208" s="7">
        <v>0</v>
      </c>
      <c r="P208" s="7">
        <v>0</v>
      </c>
      <c r="Q208" s="7">
        <v>0</v>
      </c>
      <c r="R208" s="7">
        <v>0</v>
      </c>
      <c r="S208" s="7">
        <v>0</v>
      </c>
      <c r="T208" s="7">
        <v>0</v>
      </c>
      <c r="U208" s="7">
        <v>0</v>
      </c>
      <c r="V208" s="7">
        <v>0</v>
      </c>
      <c r="W208" s="7">
        <v>0</v>
      </c>
    </row>
    <row r="209" spans="2:23">
      <c r="B209" t="s">
        <v>223</v>
      </c>
      <c r="C209" t="s">
        <v>224</v>
      </c>
      <c r="D209" s="7">
        <v>0</v>
      </c>
      <c r="E209" s="7">
        <v>0</v>
      </c>
      <c r="F209" s="7">
        <v>0</v>
      </c>
      <c r="G209" s="7">
        <v>0</v>
      </c>
      <c r="H209" s="7">
        <v>0</v>
      </c>
      <c r="I209" s="7">
        <v>0</v>
      </c>
      <c r="J209" s="7">
        <v>0</v>
      </c>
      <c r="K209" s="7">
        <v>0</v>
      </c>
      <c r="L209" s="7">
        <v>0</v>
      </c>
      <c r="M209" s="7">
        <v>0</v>
      </c>
      <c r="N209" s="7">
        <v>0</v>
      </c>
      <c r="O209" s="7">
        <v>0</v>
      </c>
      <c r="P209" s="7">
        <v>0</v>
      </c>
      <c r="Q209" s="7">
        <v>0</v>
      </c>
      <c r="R209" s="7">
        <v>0</v>
      </c>
      <c r="S209" s="7">
        <v>0</v>
      </c>
      <c r="T209" s="7">
        <v>0</v>
      </c>
      <c r="U209" s="7">
        <v>0</v>
      </c>
      <c r="V209" s="7">
        <v>0</v>
      </c>
      <c r="W209" s="7">
        <v>0</v>
      </c>
    </row>
    <row r="210" spans="2:23">
      <c r="B210" t="s">
        <v>225</v>
      </c>
      <c r="C210" t="s">
        <v>226</v>
      </c>
      <c r="D210" s="7">
        <v>0</v>
      </c>
      <c r="E210" s="7">
        <v>0</v>
      </c>
      <c r="F210" s="7">
        <v>0</v>
      </c>
      <c r="G210" s="7">
        <v>0</v>
      </c>
      <c r="H210" s="7">
        <v>0</v>
      </c>
      <c r="I210" s="7">
        <v>0</v>
      </c>
      <c r="J210" s="7">
        <v>0</v>
      </c>
      <c r="K210" s="7">
        <v>0</v>
      </c>
      <c r="L210" s="7">
        <v>0</v>
      </c>
      <c r="M210" s="7">
        <v>0</v>
      </c>
      <c r="N210" s="7">
        <v>0</v>
      </c>
      <c r="O210" s="7">
        <v>0</v>
      </c>
      <c r="P210" s="7">
        <v>0</v>
      </c>
      <c r="Q210" s="7">
        <v>0</v>
      </c>
      <c r="R210" s="7">
        <v>0</v>
      </c>
      <c r="S210" s="7">
        <v>0</v>
      </c>
      <c r="T210" s="7">
        <v>0</v>
      </c>
      <c r="U210" s="7">
        <v>0</v>
      </c>
      <c r="V210" s="7">
        <v>0</v>
      </c>
      <c r="W210" s="7">
        <v>0</v>
      </c>
    </row>
  </sheetData>
  <pageMargins left="0.7" right="0.7" top="0.75" bottom="0.75" header="0.3" footer="0.3"/>
  <pageSetup orientation="portrait" horizontalDpi="360" verticalDpi="36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sheetPr>
  <dimension ref="A1:CI210"/>
  <sheetViews>
    <sheetView zoomScale="115" zoomScaleNormal="115" workbookViewId="0">
      <pane ySplit="3" topLeftCell="A82" activePane="bottomLeft" state="frozen"/>
      <selection pane="bottomLeft" activeCell="P85" sqref="P85"/>
    </sheetView>
  </sheetViews>
  <sheetFormatPr defaultColWidth="9.109375" defaultRowHeight="14.4"/>
  <cols>
    <col min="1" max="1" width="13.6640625" style="499" customWidth="1"/>
    <col min="2" max="2" width="9.109375" style="499"/>
    <col min="3" max="3" width="11.109375" style="499" bestFit="1" customWidth="1"/>
    <col min="4" max="4" width="10.6640625" style="499" customWidth="1"/>
    <col min="5" max="6" width="9.109375" style="499"/>
    <col min="7" max="7" width="10" style="499" bestFit="1" customWidth="1"/>
    <col min="8" max="8" width="9.109375" style="499"/>
    <col min="9" max="9" width="10" style="499" bestFit="1" customWidth="1"/>
    <col min="10" max="16384" width="9.109375" style="499"/>
  </cols>
  <sheetData>
    <row r="1" spans="1:20">
      <c r="A1" s="1" t="s">
        <v>0</v>
      </c>
    </row>
    <row r="2" spans="1:20" ht="15.6">
      <c r="B2" s="499" t="s">
        <v>1</v>
      </c>
      <c r="C2" s="2" t="s">
        <v>2</v>
      </c>
      <c r="D2" s="3"/>
      <c r="E2" s="3"/>
      <c r="T2" s="499">
        <f>S2*(1-'InputFile (stoch)'!H101)*8</f>
        <v>0</v>
      </c>
    </row>
    <row r="3" spans="1:20">
      <c r="B3" s="416" t="s">
        <v>3</v>
      </c>
      <c r="C3" s="448" t="s">
        <v>844</v>
      </c>
      <c r="D3" s="416"/>
      <c r="E3" s="416"/>
      <c r="F3" s="416"/>
      <c r="G3" s="416"/>
      <c r="H3" s="416"/>
      <c r="I3" s="416"/>
      <c r="J3" s="416"/>
      <c r="K3" s="416"/>
      <c r="L3" s="416"/>
    </row>
    <row r="4" spans="1:20">
      <c r="B4" s="14" t="s">
        <v>4</v>
      </c>
    </row>
    <row r="7" spans="1:20">
      <c r="A7" s="1" t="s">
        <v>5</v>
      </c>
    </row>
    <row r="8" spans="1:20">
      <c r="A8" s="1" t="s">
        <v>6</v>
      </c>
    </row>
    <row r="9" spans="1:20">
      <c r="B9" s="6" t="s">
        <v>7</v>
      </c>
      <c r="C9" s="6" t="s">
        <v>8</v>
      </c>
      <c r="D9" s="6" t="s">
        <v>9</v>
      </c>
      <c r="E9" s="6" t="s">
        <v>10</v>
      </c>
      <c r="F9" s="6" t="s">
        <v>11</v>
      </c>
      <c r="G9" s="6" t="s">
        <v>12</v>
      </c>
      <c r="H9" s="6" t="s">
        <v>13</v>
      </c>
      <c r="I9" s="6" t="s">
        <v>14</v>
      </c>
    </row>
    <row r="10" spans="1:20">
      <c r="B10" s="7" t="s">
        <v>15</v>
      </c>
      <c r="C10" s="8">
        <v>1</v>
      </c>
      <c r="D10" s="7">
        <v>0</v>
      </c>
      <c r="E10" s="7">
        <v>0</v>
      </c>
      <c r="F10" s="7">
        <v>0</v>
      </c>
      <c r="G10" s="7">
        <v>0</v>
      </c>
      <c r="H10" s="7">
        <v>0</v>
      </c>
      <c r="I10" s="7">
        <v>0</v>
      </c>
      <c r="J10" s="499" t="s">
        <v>16</v>
      </c>
    </row>
    <row r="11" spans="1:20">
      <c r="A11" s="499" t="s">
        <v>17</v>
      </c>
      <c r="B11" s="7" t="s">
        <v>18</v>
      </c>
      <c r="C11" s="7">
        <v>0</v>
      </c>
      <c r="D11" s="7">
        <v>0</v>
      </c>
      <c r="E11" s="7">
        <v>0</v>
      </c>
      <c r="F11" s="7">
        <v>0</v>
      </c>
      <c r="G11" s="7">
        <v>0</v>
      </c>
      <c r="H11" s="7">
        <v>0</v>
      </c>
      <c r="I11" s="7">
        <v>0</v>
      </c>
    </row>
    <row r="12" spans="1:20">
      <c r="B12" s="7" t="s">
        <v>19</v>
      </c>
      <c r="C12" s="7">
        <v>0</v>
      </c>
      <c r="D12" s="7">
        <v>0</v>
      </c>
      <c r="E12" s="7">
        <v>0</v>
      </c>
      <c r="F12" s="7">
        <v>0</v>
      </c>
      <c r="G12" s="7">
        <v>0</v>
      </c>
      <c r="H12" s="7">
        <v>0</v>
      </c>
      <c r="I12" s="7">
        <v>0</v>
      </c>
    </row>
    <row r="13" spans="1:20">
      <c r="B13" s="7" t="s">
        <v>20</v>
      </c>
      <c r="C13" s="7">
        <v>0</v>
      </c>
      <c r="D13" s="7">
        <v>0</v>
      </c>
      <c r="E13" s="7">
        <v>0</v>
      </c>
      <c r="F13" s="7">
        <v>0</v>
      </c>
      <c r="G13" s="7">
        <v>0</v>
      </c>
      <c r="H13" s="7">
        <v>0</v>
      </c>
      <c r="I13" s="7">
        <v>0</v>
      </c>
    </row>
    <row r="14" spans="1:20">
      <c r="B14" s="7" t="s">
        <v>21</v>
      </c>
      <c r="C14" s="7">
        <v>0</v>
      </c>
      <c r="D14" s="7">
        <v>0</v>
      </c>
      <c r="E14" s="7">
        <v>0</v>
      </c>
      <c r="F14" s="7">
        <v>0</v>
      </c>
      <c r="G14" s="7">
        <v>0</v>
      </c>
      <c r="H14" s="7">
        <v>0</v>
      </c>
      <c r="I14" s="7">
        <v>0</v>
      </c>
    </row>
    <row r="15" spans="1:20">
      <c r="B15" s="7" t="s">
        <v>22</v>
      </c>
      <c r="C15" s="7">
        <v>0</v>
      </c>
      <c r="D15" s="7">
        <v>0</v>
      </c>
      <c r="E15" s="7">
        <v>0</v>
      </c>
      <c r="F15" s="7">
        <v>0</v>
      </c>
      <c r="G15" s="7">
        <v>0</v>
      </c>
      <c r="H15" s="7">
        <v>0</v>
      </c>
      <c r="I15" s="7">
        <v>0</v>
      </c>
    </row>
    <row r="16" spans="1:20">
      <c r="B16" s="7" t="s">
        <v>23</v>
      </c>
      <c r="C16" s="7">
        <v>0</v>
      </c>
      <c r="D16" s="7">
        <v>0</v>
      </c>
      <c r="E16" s="7">
        <v>0</v>
      </c>
      <c r="F16" s="7">
        <v>0</v>
      </c>
      <c r="G16" s="7">
        <v>0</v>
      </c>
      <c r="H16" s="7">
        <v>0</v>
      </c>
      <c r="I16" s="7">
        <v>0</v>
      </c>
    </row>
    <row r="17" spans="1:31">
      <c r="B17" s="7" t="s">
        <v>24</v>
      </c>
      <c r="C17" s="7">
        <v>0</v>
      </c>
      <c r="D17" s="7">
        <v>0</v>
      </c>
      <c r="E17" s="7">
        <v>0</v>
      </c>
      <c r="F17" s="7">
        <v>0</v>
      </c>
      <c r="G17" s="7">
        <v>0</v>
      </c>
      <c r="H17" s="7">
        <v>0</v>
      </c>
      <c r="I17" s="7">
        <v>0</v>
      </c>
    </row>
    <row r="18" spans="1:31">
      <c r="B18" s="7" t="s">
        <v>25</v>
      </c>
      <c r="C18" s="7">
        <v>0</v>
      </c>
      <c r="D18" s="7">
        <v>0</v>
      </c>
      <c r="E18" s="7">
        <v>0</v>
      </c>
      <c r="F18" s="7">
        <v>0</v>
      </c>
      <c r="G18" s="7">
        <v>0</v>
      </c>
      <c r="H18" s="7">
        <v>0</v>
      </c>
      <c r="I18" s="7">
        <v>0</v>
      </c>
    </row>
    <row r="19" spans="1:31">
      <c r="B19" s="7" t="s">
        <v>26</v>
      </c>
      <c r="C19" s="7">
        <v>0</v>
      </c>
      <c r="D19" s="7">
        <v>0</v>
      </c>
      <c r="E19" s="7">
        <v>0</v>
      </c>
      <c r="F19" s="7">
        <v>0</v>
      </c>
      <c r="G19" s="7">
        <v>0</v>
      </c>
      <c r="H19" s="7">
        <v>0</v>
      </c>
      <c r="I19" s="7">
        <v>0</v>
      </c>
    </row>
    <row r="20" spans="1:31">
      <c r="B20" s="7" t="s">
        <v>27</v>
      </c>
      <c r="C20" s="7">
        <v>0</v>
      </c>
      <c r="D20" s="7">
        <v>0</v>
      </c>
      <c r="E20" s="7">
        <v>0</v>
      </c>
      <c r="F20" s="7">
        <v>0</v>
      </c>
      <c r="G20" s="7">
        <v>0</v>
      </c>
      <c r="H20" s="7">
        <v>0</v>
      </c>
      <c r="I20" s="7">
        <v>0</v>
      </c>
    </row>
    <row r="21" spans="1:31">
      <c r="B21" s="7" t="s">
        <v>28</v>
      </c>
      <c r="C21" s="7">
        <v>0</v>
      </c>
      <c r="D21" s="7">
        <v>0</v>
      </c>
      <c r="E21" s="7">
        <v>0</v>
      </c>
      <c r="F21" s="7">
        <v>0</v>
      </c>
      <c r="G21" s="7">
        <v>0</v>
      </c>
      <c r="H21" s="7">
        <v>0</v>
      </c>
      <c r="I21" s="7">
        <v>0</v>
      </c>
    </row>
    <row r="25" spans="1:31">
      <c r="A25" s="1" t="s">
        <v>29</v>
      </c>
      <c r="B25" s="1"/>
    </row>
    <row r="26" spans="1:31">
      <c r="A26" s="1"/>
      <c r="B26" s="1" t="s">
        <v>30</v>
      </c>
      <c r="O26" s="499" t="s">
        <v>31</v>
      </c>
      <c r="S26" s="499" t="s">
        <v>32</v>
      </c>
      <c r="AE26" s="499" t="s">
        <v>33</v>
      </c>
    </row>
    <row r="27" spans="1:31">
      <c r="B27" s="6" t="s">
        <v>7</v>
      </c>
      <c r="C27" s="6" t="s">
        <v>34</v>
      </c>
      <c r="D27" s="6" t="s">
        <v>35</v>
      </c>
      <c r="E27" s="6" t="s">
        <v>36</v>
      </c>
      <c r="F27" s="6" t="s">
        <v>37</v>
      </c>
      <c r="G27" s="6" t="s">
        <v>38</v>
      </c>
      <c r="H27" s="6" t="s">
        <v>39</v>
      </c>
      <c r="I27" s="6" t="s">
        <v>40</v>
      </c>
      <c r="J27" s="6" t="s">
        <v>41</v>
      </c>
      <c r="K27" s="6" t="s">
        <v>42</v>
      </c>
      <c r="L27" s="6" t="s">
        <v>43</v>
      </c>
      <c r="M27" s="6" t="s">
        <v>44</v>
      </c>
      <c r="N27" s="6" t="s">
        <v>45</v>
      </c>
      <c r="O27" s="6" t="s">
        <v>46</v>
      </c>
      <c r="P27" s="6" t="s">
        <v>47</v>
      </c>
      <c r="Q27" s="6" t="s">
        <v>48</v>
      </c>
      <c r="R27" s="6" t="s">
        <v>49</v>
      </c>
      <c r="S27" s="6" t="s">
        <v>34</v>
      </c>
      <c r="T27" s="6" t="s">
        <v>35</v>
      </c>
      <c r="U27" s="6" t="s">
        <v>36</v>
      </c>
      <c r="V27" s="6" t="s">
        <v>37</v>
      </c>
      <c r="W27" s="6" t="s">
        <v>38</v>
      </c>
      <c r="X27" s="6" t="s">
        <v>39</v>
      </c>
      <c r="Y27" s="6" t="s">
        <v>40</v>
      </c>
      <c r="Z27" s="6" t="s">
        <v>41</v>
      </c>
      <c r="AA27" s="6" t="s">
        <v>42</v>
      </c>
      <c r="AB27" s="6" t="s">
        <v>43</v>
      </c>
      <c r="AC27" s="6" t="s">
        <v>44</v>
      </c>
      <c r="AD27" s="6" t="s">
        <v>45</v>
      </c>
      <c r="AE27" s="6" t="s">
        <v>50</v>
      </c>
    </row>
    <row r="28" spans="1:31">
      <c r="B28" s="7" t="s">
        <v>15</v>
      </c>
      <c r="C28" s="8">
        <v>1</v>
      </c>
      <c r="D28" s="7">
        <v>0</v>
      </c>
      <c r="E28" s="7">
        <v>0</v>
      </c>
      <c r="F28" s="7">
        <v>0</v>
      </c>
      <c r="G28" s="7">
        <v>0</v>
      </c>
      <c r="H28" s="7">
        <v>0</v>
      </c>
      <c r="I28" s="7">
        <v>0</v>
      </c>
      <c r="J28" s="7">
        <v>0</v>
      </c>
      <c r="K28" s="7">
        <v>0</v>
      </c>
      <c r="L28" s="7">
        <v>0</v>
      </c>
      <c r="M28" s="7">
        <v>0</v>
      </c>
      <c r="N28" s="7">
        <v>0</v>
      </c>
      <c r="O28" s="7">
        <v>0</v>
      </c>
      <c r="P28" s="7">
        <v>0</v>
      </c>
      <c r="Q28" s="7">
        <v>0</v>
      </c>
      <c r="R28" s="7">
        <v>0</v>
      </c>
      <c r="S28" s="7">
        <v>0</v>
      </c>
      <c r="T28" s="7">
        <v>0</v>
      </c>
      <c r="U28" s="7">
        <v>0</v>
      </c>
      <c r="V28" s="7">
        <v>0</v>
      </c>
      <c r="W28" s="7">
        <v>0</v>
      </c>
      <c r="X28" s="7">
        <v>0</v>
      </c>
      <c r="Y28" s="7">
        <v>0</v>
      </c>
      <c r="Z28" s="7">
        <v>0</v>
      </c>
      <c r="AA28" s="7">
        <v>0</v>
      </c>
      <c r="AB28" s="7">
        <v>0</v>
      </c>
      <c r="AC28" s="7">
        <v>0</v>
      </c>
      <c r="AD28" s="7">
        <v>0</v>
      </c>
      <c r="AE28" s="7">
        <v>0</v>
      </c>
    </row>
    <row r="29" spans="1:31">
      <c r="B29" s="7" t="s">
        <v>18</v>
      </c>
      <c r="C29" s="7">
        <v>0</v>
      </c>
      <c r="D29" s="7">
        <v>0</v>
      </c>
      <c r="E29" s="7">
        <v>0</v>
      </c>
      <c r="F29" s="7">
        <v>0</v>
      </c>
      <c r="G29" s="7">
        <v>0</v>
      </c>
      <c r="H29" s="7">
        <v>0</v>
      </c>
      <c r="I29" s="7">
        <v>0</v>
      </c>
      <c r="J29" s="7">
        <v>0</v>
      </c>
      <c r="K29" s="7">
        <v>0</v>
      </c>
      <c r="L29" s="7">
        <v>0</v>
      </c>
      <c r="M29" s="7">
        <v>0</v>
      </c>
      <c r="N29" s="7">
        <v>0</v>
      </c>
      <c r="O29" s="7">
        <v>0</v>
      </c>
      <c r="P29" s="7">
        <v>0</v>
      </c>
      <c r="Q29" s="7">
        <v>0</v>
      </c>
      <c r="R29" s="7">
        <v>0</v>
      </c>
      <c r="S29" s="7">
        <v>0</v>
      </c>
      <c r="T29" s="7">
        <v>0</v>
      </c>
      <c r="U29" s="7">
        <v>0</v>
      </c>
      <c r="V29" s="7">
        <v>0</v>
      </c>
      <c r="W29" s="7">
        <v>0</v>
      </c>
      <c r="X29" s="7">
        <v>0</v>
      </c>
      <c r="Y29" s="7">
        <v>0</v>
      </c>
      <c r="Z29" s="7">
        <v>0</v>
      </c>
      <c r="AA29" s="7">
        <v>0</v>
      </c>
      <c r="AB29" s="7">
        <v>0</v>
      </c>
      <c r="AC29" s="7">
        <v>0</v>
      </c>
      <c r="AD29" s="7">
        <v>0</v>
      </c>
      <c r="AE29" s="7">
        <v>0</v>
      </c>
    </row>
    <row r="30" spans="1:31">
      <c r="B30" s="7" t="s">
        <v>19</v>
      </c>
      <c r="C30" s="7">
        <v>0</v>
      </c>
      <c r="D30" s="7">
        <v>0</v>
      </c>
      <c r="E30" s="7">
        <v>0</v>
      </c>
      <c r="F30" s="7">
        <v>0</v>
      </c>
      <c r="G30" s="7">
        <v>0</v>
      </c>
      <c r="H30" s="7">
        <v>0</v>
      </c>
      <c r="I30" s="7">
        <v>0</v>
      </c>
      <c r="J30" s="7">
        <v>0</v>
      </c>
      <c r="K30" s="7">
        <v>0</v>
      </c>
      <c r="L30" s="7">
        <v>0</v>
      </c>
      <c r="M30" s="7">
        <v>0</v>
      </c>
      <c r="N30" s="7">
        <v>0</v>
      </c>
      <c r="O30" s="7">
        <v>0</v>
      </c>
      <c r="P30" s="7">
        <v>0</v>
      </c>
      <c r="Q30" s="7">
        <v>0</v>
      </c>
      <c r="R30" s="7">
        <v>0</v>
      </c>
      <c r="S30" s="7">
        <v>0</v>
      </c>
      <c r="T30" s="7">
        <v>0</v>
      </c>
      <c r="U30" s="7">
        <v>0</v>
      </c>
      <c r="V30" s="7">
        <v>0</v>
      </c>
      <c r="W30" s="7">
        <v>0</v>
      </c>
      <c r="X30" s="7">
        <v>0</v>
      </c>
      <c r="Y30" s="7">
        <v>0</v>
      </c>
      <c r="Z30" s="7">
        <v>0</v>
      </c>
      <c r="AA30" s="7">
        <v>0</v>
      </c>
      <c r="AB30" s="7">
        <v>0</v>
      </c>
      <c r="AC30" s="7">
        <v>0</v>
      </c>
      <c r="AD30" s="7">
        <v>0</v>
      </c>
      <c r="AE30" s="7">
        <v>0</v>
      </c>
    </row>
    <row r="31" spans="1:31">
      <c r="B31" s="7" t="s">
        <v>20</v>
      </c>
      <c r="C31" s="7">
        <v>0</v>
      </c>
      <c r="D31" s="7">
        <v>0</v>
      </c>
      <c r="E31" s="7">
        <v>0</v>
      </c>
      <c r="F31" s="7">
        <v>0</v>
      </c>
      <c r="G31" s="7">
        <v>0</v>
      </c>
      <c r="H31" s="7">
        <v>0</v>
      </c>
      <c r="I31" s="7">
        <v>0</v>
      </c>
      <c r="J31" s="7">
        <v>0</v>
      </c>
      <c r="K31" s="7">
        <v>0</v>
      </c>
      <c r="L31" s="7">
        <v>0</v>
      </c>
      <c r="M31" s="7">
        <v>0</v>
      </c>
      <c r="N31" s="7">
        <v>0</v>
      </c>
      <c r="O31" s="7">
        <v>0</v>
      </c>
      <c r="P31" s="7">
        <v>0</v>
      </c>
      <c r="Q31" s="7">
        <v>0</v>
      </c>
      <c r="R31" s="7">
        <v>0</v>
      </c>
      <c r="S31" s="7">
        <v>0</v>
      </c>
      <c r="T31" s="7">
        <v>0</v>
      </c>
      <c r="U31" s="7">
        <v>0</v>
      </c>
      <c r="V31" s="7">
        <v>0</v>
      </c>
      <c r="W31" s="7">
        <v>0</v>
      </c>
      <c r="X31" s="7">
        <v>0</v>
      </c>
      <c r="Y31" s="7">
        <v>0</v>
      </c>
      <c r="Z31" s="7">
        <v>0</v>
      </c>
      <c r="AA31" s="7">
        <v>0</v>
      </c>
      <c r="AB31" s="7">
        <v>0</v>
      </c>
      <c r="AC31" s="7">
        <v>0</v>
      </c>
      <c r="AD31" s="7">
        <v>0</v>
      </c>
      <c r="AE31" s="7">
        <v>0</v>
      </c>
    </row>
    <row r="32" spans="1:31">
      <c r="B32" s="7" t="s">
        <v>21</v>
      </c>
      <c r="C32" s="7">
        <v>0</v>
      </c>
      <c r="D32" s="7">
        <v>0</v>
      </c>
      <c r="E32" s="7">
        <v>0</v>
      </c>
      <c r="F32" s="7">
        <v>0</v>
      </c>
      <c r="G32" s="7">
        <v>0</v>
      </c>
      <c r="H32" s="7">
        <v>0</v>
      </c>
      <c r="I32" s="7">
        <v>0</v>
      </c>
      <c r="J32" s="7">
        <v>0</v>
      </c>
      <c r="K32" s="7">
        <v>0</v>
      </c>
      <c r="L32" s="7">
        <v>0</v>
      </c>
      <c r="M32" s="7">
        <v>0</v>
      </c>
      <c r="N32" s="7">
        <v>0</v>
      </c>
      <c r="O32" s="7">
        <v>0</v>
      </c>
      <c r="P32" s="7">
        <v>0</v>
      </c>
      <c r="Q32" s="7">
        <v>0</v>
      </c>
      <c r="R32" s="7">
        <v>0</v>
      </c>
      <c r="S32" s="7">
        <v>0</v>
      </c>
      <c r="T32" s="7">
        <v>0</v>
      </c>
      <c r="U32" s="7">
        <v>0</v>
      </c>
      <c r="V32" s="7">
        <v>0</v>
      </c>
      <c r="W32" s="7">
        <v>0</v>
      </c>
      <c r="X32" s="7">
        <v>0</v>
      </c>
      <c r="Y32" s="7">
        <v>0</v>
      </c>
      <c r="Z32" s="7">
        <v>0</v>
      </c>
      <c r="AA32" s="7">
        <v>0</v>
      </c>
      <c r="AB32" s="7">
        <v>0</v>
      </c>
      <c r="AC32" s="7">
        <v>0</v>
      </c>
      <c r="AD32" s="7">
        <v>0</v>
      </c>
      <c r="AE32" s="7">
        <v>0</v>
      </c>
    </row>
    <row r="33" spans="1:43">
      <c r="B33" s="7" t="s">
        <v>22</v>
      </c>
      <c r="C33" s="7">
        <v>0</v>
      </c>
      <c r="D33" s="7">
        <v>0</v>
      </c>
      <c r="E33" s="7">
        <v>0</v>
      </c>
      <c r="F33" s="7">
        <v>0</v>
      </c>
      <c r="G33" s="7">
        <v>0</v>
      </c>
      <c r="H33" s="7">
        <v>0</v>
      </c>
      <c r="I33" s="7">
        <v>0</v>
      </c>
      <c r="J33" s="7">
        <v>0</v>
      </c>
      <c r="K33" s="7">
        <v>0</v>
      </c>
      <c r="L33" s="7">
        <v>0</v>
      </c>
      <c r="M33" s="7">
        <v>0</v>
      </c>
      <c r="N33" s="7">
        <v>0</v>
      </c>
      <c r="O33" s="7">
        <v>0</v>
      </c>
      <c r="P33" s="7">
        <v>0</v>
      </c>
      <c r="Q33" s="7">
        <v>0</v>
      </c>
      <c r="R33" s="7">
        <v>0</v>
      </c>
      <c r="S33" s="7">
        <v>0</v>
      </c>
      <c r="T33" s="7">
        <v>0</v>
      </c>
      <c r="U33" s="7">
        <v>0</v>
      </c>
      <c r="V33" s="7">
        <v>0</v>
      </c>
      <c r="W33" s="7">
        <v>0</v>
      </c>
      <c r="X33" s="7">
        <v>0</v>
      </c>
      <c r="Y33" s="7">
        <v>0</v>
      </c>
      <c r="Z33" s="7">
        <v>0</v>
      </c>
      <c r="AA33" s="7">
        <v>0</v>
      </c>
      <c r="AB33" s="7">
        <v>0</v>
      </c>
      <c r="AC33" s="7">
        <v>0</v>
      </c>
      <c r="AD33" s="7">
        <v>0</v>
      </c>
      <c r="AE33" s="7">
        <v>0</v>
      </c>
    </row>
    <row r="34" spans="1:43">
      <c r="B34" s="7" t="s">
        <v>23</v>
      </c>
      <c r="C34" s="7">
        <v>0</v>
      </c>
      <c r="D34" s="7">
        <v>0</v>
      </c>
      <c r="E34" s="7">
        <v>0</v>
      </c>
      <c r="F34" s="7">
        <v>0</v>
      </c>
      <c r="G34" s="7">
        <v>0</v>
      </c>
      <c r="H34" s="7">
        <v>0</v>
      </c>
      <c r="I34" s="7">
        <v>0</v>
      </c>
      <c r="J34" s="7">
        <v>0</v>
      </c>
      <c r="K34" s="7">
        <v>0</v>
      </c>
      <c r="L34" s="7">
        <v>0</v>
      </c>
      <c r="M34" s="7">
        <v>0</v>
      </c>
      <c r="N34" s="7">
        <v>0</v>
      </c>
      <c r="O34" s="7">
        <v>0</v>
      </c>
      <c r="P34" s="7">
        <v>0</v>
      </c>
      <c r="Q34" s="7">
        <v>0</v>
      </c>
      <c r="R34" s="7">
        <v>0</v>
      </c>
      <c r="S34" s="7">
        <v>0</v>
      </c>
      <c r="T34" s="7">
        <v>0</v>
      </c>
      <c r="U34" s="7">
        <v>0</v>
      </c>
      <c r="V34" s="7">
        <v>0</v>
      </c>
      <c r="W34" s="7">
        <v>0</v>
      </c>
      <c r="X34" s="7">
        <v>0</v>
      </c>
      <c r="Y34" s="7">
        <v>0</v>
      </c>
      <c r="Z34" s="7">
        <v>0</v>
      </c>
      <c r="AA34" s="7">
        <v>0</v>
      </c>
      <c r="AB34" s="7">
        <v>0</v>
      </c>
      <c r="AC34" s="7">
        <v>0</v>
      </c>
      <c r="AD34" s="7">
        <v>0</v>
      </c>
      <c r="AE34" s="7">
        <v>0</v>
      </c>
    </row>
    <row r="35" spans="1:43">
      <c r="B35" s="7" t="s">
        <v>24</v>
      </c>
      <c r="C35" s="7">
        <v>0</v>
      </c>
      <c r="D35" s="7">
        <v>0</v>
      </c>
      <c r="E35" s="7">
        <v>0</v>
      </c>
      <c r="F35" s="7">
        <v>0</v>
      </c>
      <c r="G35" s="7">
        <v>0</v>
      </c>
      <c r="H35" s="7">
        <v>0</v>
      </c>
      <c r="I35" s="7">
        <v>0</v>
      </c>
      <c r="J35" s="7">
        <v>0</v>
      </c>
      <c r="K35" s="7">
        <v>0</v>
      </c>
      <c r="L35" s="7">
        <v>0</v>
      </c>
      <c r="M35" s="7">
        <v>0</v>
      </c>
      <c r="N35" s="7">
        <v>0</v>
      </c>
      <c r="O35" s="7">
        <v>0</v>
      </c>
      <c r="P35" s="7">
        <v>0</v>
      </c>
      <c r="Q35" s="7">
        <v>0</v>
      </c>
      <c r="R35" s="7">
        <v>0</v>
      </c>
      <c r="S35" s="7">
        <v>0</v>
      </c>
      <c r="T35" s="7">
        <v>0</v>
      </c>
      <c r="U35" s="7">
        <v>0</v>
      </c>
      <c r="V35" s="7">
        <v>0</v>
      </c>
      <c r="W35" s="7">
        <v>0</v>
      </c>
      <c r="X35" s="7">
        <v>0</v>
      </c>
      <c r="Y35" s="7">
        <v>0</v>
      </c>
      <c r="Z35" s="7">
        <v>0</v>
      </c>
      <c r="AA35" s="7">
        <v>0</v>
      </c>
      <c r="AB35" s="7">
        <v>0</v>
      </c>
      <c r="AC35" s="7">
        <v>0</v>
      </c>
      <c r="AD35" s="7">
        <v>0</v>
      </c>
      <c r="AE35" s="7">
        <v>0</v>
      </c>
    </row>
    <row r="36" spans="1:43">
      <c r="B36" s="7" t="s">
        <v>25</v>
      </c>
      <c r="C36" s="7">
        <v>0</v>
      </c>
      <c r="D36" s="7">
        <v>0</v>
      </c>
      <c r="E36" s="7">
        <v>0</v>
      </c>
      <c r="F36" s="7">
        <v>0</v>
      </c>
      <c r="G36" s="7">
        <v>0</v>
      </c>
      <c r="H36" s="7">
        <v>0</v>
      </c>
      <c r="I36" s="7">
        <v>0</v>
      </c>
      <c r="J36" s="7">
        <v>0</v>
      </c>
      <c r="K36" s="7">
        <v>0</v>
      </c>
      <c r="L36" s="7">
        <v>0</v>
      </c>
      <c r="M36" s="7">
        <v>0</v>
      </c>
      <c r="N36" s="7">
        <v>0</v>
      </c>
      <c r="O36" s="7">
        <v>0</v>
      </c>
      <c r="P36" s="7">
        <v>0</v>
      </c>
      <c r="Q36" s="7">
        <v>0</v>
      </c>
      <c r="R36" s="7">
        <v>0</v>
      </c>
      <c r="S36" s="7">
        <v>0</v>
      </c>
      <c r="T36" s="7">
        <v>0</v>
      </c>
      <c r="U36" s="7">
        <v>0</v>
      </c>
      <c r="V36" s="7">
        <v>0</v>
      </c>
      <c r="W36" s="7">
        <v>0</v>
      </c>
      <c r="X36" s="7">
        <v>0</v>
      </c>
      <c r="Y36" s="7">
        <v>0</v>
      </c>
      <c r="Z36" s="7">
        <v>0</v>
      </c>
      <c r="AA36" s="7">
        <v>0</v>
      </c>
      <c r="AB36" s="7">
        <v>0</v>
      </c>
      <c r="AC36" s="7">
        <v>0</v>
      </c>
      <c r="AD36" s="7">
        <v>0</v>
      </c>
      <c r="AE36" s="7">
        <v>0</v>
      </c>
    </row>
    <row r="37" spans="1:43">
      <c r="B37" s="7" t="s">
        <v>26</v>
      </c>
      <c r="C37" s="7">
        <v>0</v>
      </c>
      <c r="D37" s="7">
        <v>0</v>
      </c>
      <c r="E37" s="7">
        <v>0</v>
      </c>
      <c r="F37" s="7">
        <v>0</v>
      </c>
      <c r="G37" s="7">
        <v>0</v>
      </c>
      <c r="H37" s="7">
        <v>0</v>
      </c>
      <c r="I37" s="7">
        <v>0</v>
      </c>
      <c r="J37" s="7">
        <v>0</v>
      </c>
      <c r="K37" s="7">
        <v>0</v>
      </c>
      <c r="L37" s="7">
        <v>0</v>
      </c>
      <c r="M37" s="7">
        <v>0</v>
      </c>
      <c r="N37" s="7">
        <v>0</v>
      </c>
      <c r="O37" s="7">
        <v>0</v>
      </c>
      <c r="P37" s="7">
        <v>0</v>
      </c>
      <c r="Q37" s="7">
        <v>0</v>
      </c>
      <c r="R37" s="7">
        <v>0</v>
      </c>
      <c r="S37" s="7">
        <v>0</v>
      </c>
      <c r="T37" s="7">
        <v>0</v>
      </c>
      <c r="U37" s="7">
        <v>0</v>
      </c>
      <c r="V37" s="7">
        <v>0</v>
      </c>
      <c r="W37" s="7">
        <v>0</v>
      </c>
      <c r="X37" s="7">
        <v>0</v>
      </c>
      <c r="Y37" s="7">
        <v>0</v>
      </c>
      <c r="Z37" s="7">
        <v>0</v>
      </c>
      <c r="AA37" s="7">
        <v>0</v>
      </c>
      <c r="AB37" s="7">
        <v>0</v>
      </c>
      <c r="AC37" s="7">
        <v>0</v>
      </c>
      <c r="AD37" s="7">
        <v>0</v>
      </c>
      <c r="AE37" s="7">
        <v>0</v>
      </c>
    </row>
    <row r="38" spans="1:43">
      <c r="B38" s="7" t="s">
        <v>27</v>
      </c>
      <c r="C38" s="7">
        <v>0</v>
      </c>
      <c r="D38" s="7">
        <v>0</v>
      </c>
      <c r="E38" s="7">
        <v>0</v>
      </c>
      <c r="F38" s="7">
        <v>0</v>
      </c>
      <c r="G38" s="7">
        <v>0</v>
      </c>
      <c r="H38" s="7">
        <v>0</v>
      </c>
      <c r="I38" s="7">
        <v>0</v>
      </c>
      <c r="J38" s="7">
        <v>0</v>
      </c>
      <c r="K38" s="7">
        <v>0</v>
      </c>
      <c r="L38" s="7">
        <v>0</v>
      </c>
      <c r="M38" s="7">
        <v>0</v>
      </c>
      <c r="N38" s="7">
        <v>0</v>
      </c>
      <c r="O38" s="7">
        <v>0</v>
      </c>
      <c r="P38" s="7">
        <v>0</v>
      </c>
      <c r="Q38" s="7">
        <v>0</v>
      </c>
      <c r="R38" s="7">
        <v>0</v>
      </c>
      <c r="S38" s="7">
        <v>0</v>
      </c>
      <c r="T38" s="7">
        <v>0</v>
      </c>
      <c r="U38" s="7">
        <v>0</v>
      </c>
      <c r="V38" s="7">
        <v>0</v>
      </c>
      <c r="W38" s="7">
        <v>0</v>
      </c>
      <c r="X38" s="7">
        <v>0</v>
      </c>
      <c r="Y38" s="7">
        <v>0</v>
      </c>
      <c r="Z38" s="7">
        <v>0</v>
      </c>
      <c r="AA38" s="7">
        <v>0</v>
      </c>
      <c r="AB38" s="7">
        <v>0</v>
      </c>
      <c r="AC38" s="7">
        <v>0</v>
      </c>
      <c r="AD38" s="7">
        <v>0</v>
      </c>
      <c r="AE38" s="7">
        <v>0</v>
      </c>
    </row>
    <row r="39" spans="1:43">
      <c r="B39" s="7" t="s">
        <v>28</v>
      </c>
      <c r="C39" s="7">
        <v>0</v>
      </c>
      <c r="D39" s="7">
        <v>0</v>
      </c>
      <c r="E39" s="7">
        <v>0</v>
      </c>
      <c r="F39" s="7">
        <v>0</v>
      </c>
      <c r="G39" s="7">
        <v>0</v>
      </c>
      <c r="H39" s="7">
        <v>0</v>
      </c>
      <c r="I39" s="7">
        <v>0</v>
      </c>
      <c r="J39" s="7">
        <v>0</v>
      </c>
      <c r="K39" s="7">
        <v>0</v>
      </c>
      <c r="L39" s="7">
        <v>0</v>
      </c>
      <c r="M39" s="7">
        <v>0</v>
      </c>
      <c r="N39" s="7">
        <v>0</v>
      </c>
      <c r="O39" s="7">
        <v>0</v>
      </c>
      <c r="P39" s="7">
        <v>0</v>
      </c>
      <c r="Q39" s="7">
        <v>0</v>
      </c>
      <c r="R39" s="7">
        <v>0</v>
      </c>
      <c r="S39" s="7">
        <v>0</v>
      </c>
      <c r="T39" s="7">
        <v>0</v>
      </c>
      <c r="U39" s="7">
        <v>0</v>
      </c>
      <c r="V39" s="7">
        <v>0</v>
      </c>
      <c r="W39" s="7">
        <v>0</v>
      </c>
      <c r="X39" s="7">
        <v>0</v>
      </c>
      <c r="Y39" s="7">
        <v>0</v>
      </c>
      <c r="Z39" s="7">
        <v>0</v>
      </c>
      <c r="AA39" s="7">
        <v>0</v>
      </c>
      <c r="AB39" s="7">
        <v>0</v>
      </c>
      <c r="AC39" s="7">
        <v>0</v>
      </c>
      <c r="AD39" s="7">
        <v>0</v>
      </c>
      <c r="AE39" s="7">
        <v>0</v>
      </c>
    </row>
    <row r="41" spans="1:43">
      <c r="A41" s="1" t="s">
        <v>51</v>
      </c>
      <c r="I41" s="16"/>
      <c r="J41" s="16"/>
    </row>
    <row r="42" spans="1:43">
      <c r="C42" s="499" t="s">
        <v>52</v>
      </c>
      <c r="H42" s="499" t="s">
        <v>53</v>
      </c>
      <c r="M42" s="499" t="s">
        <v>54</v>
      </c>
      <c r="R42" s="499" t="s">
        <v>55</v>
      </c>
      <c r="W42" s="499" t="s">
        <v>56</v>
      </c>
    </row>
    <row r="43" spans="1:43">
      <c r="C43" s="499" t="s">
        <v>57</v>
      </c>
      <c r="D43" s="499" t="s">
        <v>57</v>
      </c>
      <c r="E43" s="499" t="s">
        <v>57</v>
      </c>
      <c r="F43" s="499" t="s">
        <v>57</v>
      </c>
      <c r="G43" s="499" t="s">
        <v>57</v>
      </c>
      <c r="H43" s="499" t="s">
        <v>9</v>
      </c>
      <c r="I43" s="499" t="s">
        <v>9</v>
      </c>
      <c r="J43" s="499" t="s">
        <v>9</v>
      </c>
      <c r="K43" s="499" t="s">
        <v>9</v>
      </c>
      <c r="L43" s="499" t="s">
        <v>9</v>
      </c>
      <c r="M43" s="499" t="s">
        <v>10</v>
      </c>
      <c r="N43" s="499" t="s">
        <v>10</v>
      </c>
      <c r="O43" s="499" t="s">
        <v>10</v>
      </c>
      <c r="P43" s="499" t="s">
        <v>10</v>
      </c>
      <c r="Q43" s="499" t="s">
        <v>10</v>
      </c>
      <c r="R43" s="499" t="s">
        <v>11</v>
      </c>
      <c r="S43" s="499" t="s">
        <v>11</v>
      </c>
      <c r="T43" s="499" t="s">
        <v>11</v>
      </c>
      <c r="U43" s="499" t="s">
        <v>11</v>
      </c>
      <c r="V43" s="499" t="s">
        <v>11</v>
      </c>
      <c r="W43" s="499" t="s">
        <v>58</v>
      </c>
      <c r="X43" s="499" t="s">
        <v>58</v>
      </c>
      <c r="Y43" s="499" t="s">
        <v>58</v>
      </c>
      <c r="Z43" s="499" t="s">
        <v>58</v>
      </c>
      <c r="AA43" s="499" t="s">
        <v>58</v>
      </c>
      <c r="AB43" s="499" t="s">
        <v>59</v>
      </c>
      <c r="AG43" s="499" t="s">
        <v>60</v>
      </c>
    </row>
    <row r="44" spans="1:43">
      <c r="A44"/>
      <c r="B44" s="6" t="s">
        <v>61</v>
      </c>
      <c r="C44" s="6" t="s">
        <v>62</v>
      </c>
      <c r="D44" s="6" t="s">
        <v>63</v>
      </c>
      <c r="E44" s="6" t="s">
        <v>64</v>
      </c>
      <c r="F44" s="6" t="s">
        <v>65</v>
      </c>
      <c r="G44" s="6" t="s">
        <v>66</v>
      </c>
      <c r="H44" s="6" t="s">
        <v>67</v>
      </c>
      <c r="I44" s="6" t="s">
        <v>63</v>
      </c>
      <c r="J44" s="6" t="s">
        <v>64</v>
      </c>
      <c r="K44" s="6" t="s">
        <v>65</v>
      </c>
      <c r="L44" s="6" t="s">
        <v>66</v>
      </c>
      <c r="M44" s="6" t="s">
        <v>67</v>
      </c>
      <c r="N44" s="6" t="s">
        <v>63</v>
      </c>
      <c r="O44" s="6" t="s">
        <v>64</v>
      </c>
      <c r="P44" s="6" t="s">
        <v>65</v>
      </c>
      <c r="Q44" s="6" t="s">
        <v>66</v>
      </c>
      <c r="R44" s="6" t="s">
        <v>67</v>
      </c>
      <c r="S44" s="6" t="s">
        <v>63</v>
      </c>
      <c r="T44" s="6" t="s">
        <v>64</v>
      </c>
      <c r="U44" s="6" t="s">
        <v>65</v>
      </c>
      <c r="V44" s="6" t="s">
        <v>66</v>
      </c>
      <c r="W44" s="6" t="s">
        <v>67</v>
      </c>
      <c r="X44" s="6" t="s">
        <v>63</v>
      </c>
      <c r="Y44" s="6" t="s">
        <v>64</v>
      </c>
      <c r="Z44" s="6" t="s">
        <v>65</v>
      </c>
      <c r="AA44" s="6" t="s">
        <v>66</v>
      </c>
      <c r="AB44" s="6" t="s">
        <v>67</v>
      </c>
      <c r="AC44" s="6" t="s">
        <v>63</v>
      </c>
      <c r="AD44" s="6" t="s">
        <v>64</v>
      </c>
      <c r="AE44" s="6" t="s">
        <v>65</v>
      </c>
      <c r="AF44" s="6" t="s">
        <v>66</v>
      </c>
      <c r="AG44" s="6" t="s">
        <v>67</v>
      </c>
      <c r="AH44" s="6" t="s">
        <v>63</v>
      </c>
      <c r="AI44" s="6" t="s">
        <v>64</v>
      </c>
      <c r="AJ44" s="6" t="s">
        <v>65</v>
      </c>
      <c r="AK44" s="6" t="s">
        <v>66</v>
      </c>
      <c r="AM44"/>
      <c r="AN44"/>
      <c r="AO44"/>
      <c r="AP44"/>
      <c r="AQ44"/>
    </row>
    <row r="45" spans="1:43">
      <c r="A45" s="627" t="s">
        <v>1054</v>
      </c>
      <c r="B45" s="499" t="s">
        <v>34</v>
      </c>
      <c r="C45" s="578">
        <f>Cap.egg!B20</f>
        <v>124834143</v>
      </c>
      <c r="D45" s="572">
        <v>1.0000000000000001E+50</v>
      </c>
      <c r="E45" s="579">
        <f>IF(A46=0,Cap.juv!B23*Cap.juv!B34,IF(A46=1,Cap.juv!B22*Cap.juv!B34,Cap.juv!B34*Cap.juv!B24))</f>
        <v>675883.27709125483</v>
      </c>
      <c r="F45" s="578">
        <f>IF(A46=0,Cap.juv!B23*Cap.juv!C34,IF(A46=1,Cap.juv!B22*Cap.juv!C34,Cap.juv!C34*Cap.juv!B24))</f>
        <v>492611.72290874523</v>
      </c>
      <c r="G45" s="572">
        <v>1.0000000000000001E+50</v>
      </c>
      <c r="H45" s="7">
        <v>0</v>
      </c>
      <c r="I45" s="7">
        <v>0</v>
      </c>
      <c r="J45" s="7">
        <v>0</v>
      </c>
      <c r="K45" s="7">
        <v>0</v>
      </c>
      <c r="L45" s="7">
        <v>0</v>
      </c>
      <c r="M45" s="7">
        <v>0</v>
      </c>
      <c r="N45" s="7">
        <v>0</v>
      </c>
      <c r="O45" s="7">
        <v>0</v>
      </c>
      <c r="P45" s="7">
        <v>0</v>
      </c>
      <c r="Q45" s="7">
        <v>0</v>
      </c>
      <c r="R45" s="7">
        <v>0</v>
      </c>
      <c r="S45" s="7">
        <v>0</v>
      </c>
      <c r="T45" s="7">
        <v>0</v>
      </c>
      <c r="U45" s="7">
        <v>0</v>
      </c>
      <c r="V45" s="7">
        <v>0</v>
      </c>
      <c r="W45" s="7">
        <v>0</v>
      </c>
      <c r="X45" s="7">
        <v>0</v>
      </c>
      <c r="Y45" s="7">
        <v>0</v>
      </c>
      <c r="Z45" s="7">
        <v>0</v>
      </c>
      <c r="AA45" s="7">
        <v>0</v>
      </c>
      <c r="AB45" s="7">
        <v>0</v>
      </c>
      <c r="AC45" s="7">
        <v>0</v>
      </c>
      <c r="AD45" s="7">
        <v>0</v>
      </c>
      <c r="AE45" s="7">
        <v>0</v>
      </c>
      <c r="AF45" s="7">
        <v>0</v>
      </c>
      <c r="AG45" s="7">
        <v>0</v>
      </c>
      <c r="AH45" s="7">
        <v>0</v>
      </c>
      <c r="AI45" s="7">
        <v>0</v>
      </c>
      <c r="AJ45" s="7">
        <v>0</v>
      </c>
      <c r="AK45" s="7">
        <v>0</v>
      </c>
      <c r="AM45"/>
      <c r="AN45"/>
      <c r="AO45"/>
      <c r="AP45"/>
      <c r="AQ45"/>
    </row>
    <row r="46" spans="1:43">
      <c r="A46" s="628">
        <v>0</v>
      </c>
      <c r="B46" s="499" t="s">
        <v>35</v>
      </c>
      <c r="C46" s="7">
        <v>0</v>
      </c>
      <c r="D46" s="7">
        <v>0</v>
      </c>
      <c r="E46" s="7">
        <v>0</v>
      </c>
      <c r="F46" s="7">
        <v>0</v>
      </c>
      <c r="G46" s="7">
        <v>0</v>
      </c>
      <c r="H46" s="7">
        <v>0</v>
      </c>
      <c r="I46" s="7">
        <v>0</v>
      </c>
      <c r="J46" s="7">
        <v>0</v>
      </c>
      <c r="K46" s="7">
        <v>0</v>
      </c>
      <c r="L46" s="7">
        <v>0</v>
      </c>
      <c r="M46" s="7">
        <v>0</v>
      </c>
      <c r="N46" s="7">
        <v>0</v>
      </c>
      <c r="O46" s="7">
        <v>0</v>
      </c>
      <c r="P46" s="7">
        <v>0</v>
      </c>
      <c r="Q46" s="7">
        <v>0</v>
      </c>
      <c r="R46" s="7">
        <v>0</v>
      </c>
      <c r="S46" s="7">
        <v>0</v>
      </c>
      <c r="T46" s="7">
        <v>0</v>
      </c>
      <c r="U46" s="7">
        <v>0</v>
      </c>
      <c r="V46" s="7">
        <v>0</v>
      </c>
      <c r="W46" s="7">
        <v>0</v>
      </c>
      <c r="X46" s="7">
        <v>0</v>
      </c>
      <c r="Y46" s="7">
        <v>0</v>
      </c>
      <c r="Z46" s="7">
        <v>0</v>
      </c>
      <c r="AA46" s="7">
        <v>0</v>
      </c>
      <c r="AB46" s="7">
        <v>0</v>
      </c>
      <c r="AC46" s="7">
        <v>0</v>
      </c>
      <c r="AD46" s="7">
        <v>0</v>
      </c>
      <c r="AE46" s="7">
        <v>0</v>
      </c>
      <c r="AF46" s="7">
        <v>0</v>
      </c>
      <c r="AG46" s="7">
        <v>0</v>
      </c>
      <c r="AH46" s="7">
        <v>0</v>
      </c>
      <c r="AI46" s="7">
        <v>0</v>
      </c>
      <c r="AJ46" s="7">
        <v>0</v>
      </c>
      <c r="AK46" s="7">
        <v>0</v>
      </c>
      <c r="AM46"/>
      <c r="AN46"/>
      <c r="AO46"/>
      <c r="AP46"/>
      <c r="AQ46"/>
    </row>
    <row r="47" spans="1:43">
      <c r="A47"/>
      <c r="B47" s="499" t="s">
        <v>36</v>
      </c>
      <c r="C47" s="7">
        <v>0</v>
      </c>
      <c r="D47" s="7">
        <v>0</v>
      </c>
      <c r="E47" s="7">
        <v>0</v>
      </c>
      <c r="F47" s="7">
        <v>0</v>
      </c>
      <c r="G47" s="7">
        <v>0</v>
      </c>
      <c r="H47" s="7">
        <v>0</v>
      </c>
      <c r="I47" s="7">
        <v>0</v>
      </c>
      <c r="J47" s="7">
        <v>0</v>
      </c>
      <c r="K47" s="7">
        <v>0</v>
      </c>
      <c r="L47" s="7">
        <v>0</v>
      </c>
      <c r="M47" s="7">
        <v>0</v>
      </c>
      <c r="N47" s="7">
        <v>0</v>
      </c>
      <c r="O47" s="7">
        <v>0</v>
      </c>
      <c r="P47" s="7">
        <v>0</v>
      </c>
      <c r="Q47" s="7">
        <v>0</v>
      </c>
      <c r="R47" s="7">
        <v>0</v>
      </c>
      <c r="S47" s="7">
        <v>0</v>
      </c>
      <c r="T47" s="7">
        <v>0</v>
      </c>
      <c r="U47" s="7">
        <v>0</v>
      </c>
      <c r="V47" s="7">
        <v>0</v>
      </c>
      <c r="W47" s="7">
        <v>0</v>
      </c>
      <c r="X47" s="7">
        <v>0</v>
      </c>
      <c r="Y47" s="7">
        <v>0</v>
      </c>
      <c r="Z47" s="7">
        <v>0</v>
      </c>
      <c r="AA47" s="7">
        <v>0</v>
      </c>
      <c r="AB47" s="7">
        <v>0</v>
      </c>
      <c r="AC47" s="7">
        <v>0</v>
      </c>
      <c r="AD47" s="7">
        <v>0</v>
      </c>
      <c r="AE47" s="7">
        <v>0</v>
      </c>
      <c r="AF47" s="7">
        <v>0</v>
      </c>
      <c r="AG47" s="7">
        <v>0</v>
      </c>
      <c r="AH47" s="7">
        <v>0</v>
      </c>
      <c r="AI47" s="7">
        <v>0</v>
      </c>
      <c r="AJ47" s="7">
        <v>0</v>
      </c>
      <c r="AK47" s="7">
        <v>0</v>
      </c>
      <c r="AM47"/>
      <c r="AN47"/>
      <c r="AO47"/>
      <c r="AP47"/>
      <c r="AQ47"/>
    </row>
    <row r="48" spans="1:43">
      <c r="B48" s="499" t="s">
        <v>37</v>
      </c>
      <c r="C48" s="7">
        <v>0</v>
      </c>
      <c r="D48" s="7">
        <v>0</v>
      </c>
      <c r="E48" s="7">
        <v>0</v>
      </c>
      <c r="F48" s="7">
        <v>0</v>
      </c>
      <c r="G48" s="7">
        <v>0</v>
      </c>
      <c r="H48" s="7">
        <v>0</v>
      </c>
      <c r="I48" s="7">
        <v>0</v>
      </c>
      <c r="J48" s="7">
        <v>0</v>
      </c>
      <c r="K48" s="7">
        <v>0</v>
      </c>
      <c r="L48" s="7">
        <v>0</v>
      </c>
      <c r="M48" s="7">
        <v>0</v>
      </c>
      <c r="N48" s="7">
        <v>0</v>
      </c>
      <c r="O48" s="7">
        <v>0</v>
      </c>
      <c r="P48" s="7">
        <v>0</v>
      </c>
      <c r="Q48" s="7">
        <v>0</v>
      </c>
      <c r="R48" s="7">
        <v>0</v>
      </c>
      <c r="S48" s="7">
        <v>0</v>
      </c>
      <c r="T48" s="7">
        <v>0</v>
      </c>
      <c r="U48" s="7">
        <v>0</v>
      </c>
      <c r="V48" s="7">
        <v>0</v>
      </c>
      <c r="W48" s="7">
        <v>0</v>
      </c>
      <c r="X48" s="7">
        <v>0</v>
      </c>
      <c r="Y48" s="7">
        <v>0</v>
      </c>
      <c r="Z48" s="7">
        <v>0</v>
      </c>
      <c r="AA48" s="7">
        <v>0</v>
      </c>
      <c r="AB48" s="7">
        <v>0</v>
      </c>
      <c r="AC48" s="7">
        <v>0</v>
      </c>
      <c r="AD48" s="7">
        <v>0</v>
      </c>
      <c r="AE48" s="7">
        <v>0</v>
      </c>
      <c r="AF48" s="7">
        <v>0</v>
      </c>
      <c r="AG48" s="7">
        <v>0</v>
      </c>
      <c r="AH48" s="7">
        <v>0</v>
      </c>
      <c r="AI48" s="7">
        <v>0</v>
      </c>
      <c r="AJ48" s="7">
        <v>0</v>
      </c>
      <c r="AK48" s="7">
        <v>0</v>
      </c>
      <c r="AM48"/>
      <c r="AN48"/>
      <c r="AO48"/>
      <c r="AP48"/>
      <c r="AQ48"/>
    </row>
    <row r="49" spans="1:43">
      <c r="B49" s="499" t="s">
        <v>38</v>
      </c>
      <c r="C49" s="7">
        <v>0</v>
      </c>
      <c r="D49" s="7">
        <v>0</v>
      </c>
      <c r="E49" s="7">
        <v>0</v>
      </c>
      <c r="F49" s="7">
        <v>0</v>
      </c>
      <c r="G49" s="7">
        <v>0</v>
      </c>
      <c r="H49" s="7">
        <v>0</v>
      </c>
      <c r="I49" s="7">
        <v>0</v>
      </c>
      <c r="J49" s="7">
        <v>0</v>
      </c>
      <c r="K49" s="7">
        <v>0</v>
      </c>
      <c r="L49" s="7">
        <v>0</v>
      </c>
      <c r="M49" s="7">
        <v>0</v>
      </c>
      <c r="N49" s="7">
        <v>0</v>
      </c>
      <c r="O49" s="7">
        <v>0</v>
      </c>
      <c r="P49" s="7">
        <v>0</v>
      </c>
      <c r="Q49" s="7">
        <v>0</v>
      </c>
      <c r="R49" s="7">
        <v>0</v>
      </c>
      <c r="S49" s="7">
        <v>0</v>
      </c>
      <c r="T49" s="7">
        <v>0</v>
      </c>
      <c r="U49" s="7">
        <v>0</v>
      </c>
      <c r="V49" s="7">
        <v>0</v>
      </c>
      <c r="W49" s="7">
        <v>0</v>
      </c>
      <c r="X49" s="7">
        <v>0</v>
      </c>
      <c r="Y49" s="7">
        <v>0</v>
      </c>
      <c r="Z49" s="7">
        <v>0</v>
      </c>
      <c r="AA49" s="7">
        <v>0</v>
      </c>
      <c r="AB49" s="7">
        <v>0</v>
      </c>
      <c r="AC49" s="7">
        <v>0</v>
      </c>
      <c r="AD49" s="7">
        <v>0</v>
      </c>
      <c r="AE49" s="7">
        <v>0</v>
      </c>
      <c r="AF49" s="7">
        <v>0</v>
      </c>
      <c r="AG49" s="7">
        <v>0</v>
      </c>
      <c r="AH49" s="7">
        <v>0</v>
      </c>
      <c r="AI49" s="7">
        <v>0</v>
      </c>
      <c r="AJ49" s="7">
        <v>0</v>
      </c>
      <c r="AK49" s="7">
        <v>0</v>
      </c>
      <c r="AM49"/>
      <c r="AN49"/>
      <c r="AO49"/>
      <c r="AP49"/>
      <c r="AQ49"/>
    </row>
    <row r="50" spans="1:43">
      <c r="B50" s="499" t="s">
        <v>39</v>
      </c>
      <c r="C50" s="7">
        <v>0</v>
      </c>
      <c r="D50" s="7">
        <v>0</v>
      </c>
      <c r="E50" s="7">
        <v>0</v>
      </c>
      <c r="F50" s="7">
        <v>0</v>
      </c>
      <c r="G50" s="7">
        <v>0</v>
      </c>
      <c r="H50" s="7">
        <v>0</v>
      </c>
      <c r="I50" s="7">
        <v>0</v>
      </c>
      <c r="J50" s="7">
        <v>0</v>
      </c>
      <c r="K50" s="7">
        <v>0</v>
      </c>
      <c r="L50" s="7">
        <v>0</v>
      </c>
      <c r="M50" s="7">
        <v>0</v>
      </c>
      <c r="N50" s="7">
        <v>0</v>
      </c>
      <c r="O50" s="7">
        <v>0</v>
      </c>
      <c r="P50" s="7">
        <v>0</v>
      </c>
      <c r="Q50" s="7">
        <v>0</v>
      </c>
      <c r="R50" s="7">
        <v>0</v>
      </c>
      <c r="S50" s="7">
        <v>0</v>
      </c>
      <c r="T50" s="7">
        <v>0</v>
      </c>
      <c r="U50" s="7">
        <v>0</v>
      </c>
      <c r="V50" s="7">
        <v>0</v>
      </c>
      <c r="W50" s="7">
        <v>0</v>
      </c>
      <c r="X50" s="7">
        <v>0</v>
      </c>
      <c r="Y50" s="7">
        <v>0</v>
      </c>
      <c r="Z50" s="7">
        <v>0</v>
      </c>
      <c r="AA50" s="7">
        <v>0</v>
      </c>
      <c r="AB50" s="7">
        <v>0</v>
      </c>
      <c r="AC50" s="7">
        <v>0</v>
      </c>
      <c r="AD50" s="7">
        <v>0</v>
      </c>
      <c r="AE50" s="7">
        <v>0</v>
      </c>
      <c r="AF50" s="7">
        <v>0</v>
      </c>
      <c r="AG50" s="7">
        <v>0</v>
      </c>
      <c r="AH50" s="7">
        <v>0</v>
      </c>
      <c r="AI50" s="7">
        <v>0</v>
      </c>
      <c r="AJ50" s="7">
        <v>0</v>
      </c>
      <c r="AK50" s="7">
        <v>0</v>
      </c>
      <c r="AM50"/>
      <c r="AN50"/>
      <c r="AO50"/>
      <c r="AP50"/>
      <c r="AQ50"/>
    </row>
    <row r="51" spans="1:43">
      <c r="B51" s="499" t="s">
        <v>40</v>
      </c>
      <c r="C51" s="7">
        <v>0</v>
      </c>
      <c r="D51" s="7">
        <v>0</v>
      </c>
      <c r="E51" s="7">
        <v>0</v>
      </c>
      <c r="F51" s="7">
        <v>0</v>
      </c>
      <c r="G51" s="7">
        <v>0</v>
      </c>
      <c r="H51" s="7">
        <v>0</v>
      </c>
      <c r="I51" s="7">
        <v>0</v>
      </c>
      <c r="J51" s="7">
        <v>0</v>
      </c>
      <c r="K51" s="7">
        <v>0</v>
      </c>
      <c r="L51" s="7">
        <v>0</v>
      </c>
      <c r="M51" s="7">
        <v>0</v>
      </c>
      <c r="N51" s="7">
        <v>0</v>
      </c>
      <c r="O51" s="7">
        <v>0</v>
      </c>
      <c r="P51" s="7">
        <v>0</v>
      </c>
      <c r="Q51" s="7">
        <v>0</v>
      </c>
      <c r="R51" s="7">
        <v>0</v>
      </c>
      <c r="S51" s="7">
        <v>0</v>
      </c>
      <c r="T51" s="7">
        <v>0</v>
      </c>
      <c r="U51" s="7">
        <v>0</v>
      </c>
      <c r="V51" s="7">
        <v>0</v>
      </c>
      <c r="W51" s="7">
        <v>0</v>
      </c>
      <c r="X51" s="7">
        <v>0</v>
      </c>
      <c r="Y51" s="7">
        <v>0</v>
      </c>
      <c r="Z51" s="7">
        <v>0</v>
      </c>
      <c r="AA51" s="7">
        <v>0</v>
      </c>
      <c r="AB51" s="7">
        <v>0</v>
      </c>
      <c r="AC51" s="7">
        <v>0</v>
      </c>
      <c r="AD51" s="7">
        <v>0</v>
      </c>
      <c r="AE51" s="7">
        <v>0</v>
      </c>
      <c r="AF51" s="7">
        <v>0</v>
      </c>
      <c r="AG51" s="7">
        <v>0</v>
      </c>
      <c r="AH51" s="7">
        <v>0</v>
      </c>
      <c r="AI51" s="7">
        <v>0</v>
      </c>
      <c r="AJ51" s="7">
        <v>0</v>
      </c>
      <c r="AK51" s="7">
        <v>0</v>
      </c>
      <c r="AM51"/>
      <c r="AN51"/>
      <c r="AO51"/>
      <c r="AP51"/>
      <c r="AQ51"/>
    </row>
    <row r="52" spans="1:43">
      <c r="B52" s="499" t="s">
        <v>41</v>
      </c>
      <c r="C52" s="7">
        <v>0</v>
      </c>
      <c r="D52" s="7">
        <v>0</v>
      </c>
      <c r="E52" s="7">
        <v>0</v>
      </c>
      <c r="F52" s="7">
        <v>0</v>
      </c>
      <c r="G52" s="7">
        <v>0</v>
      </c>
      <c r="H52" s="7">
        <v>0</v>
      </c>
      <c r="I52" s="7">
        <v>0</v>
      </c>
      <c r="J52" s="7">
        <v>0</v>
      </c>
      <c r="K52" s="7">
        <v>0</v>
      </c>
      <c r="L52" s="7">
        <v>0</v>
      </c>
      <c r="M52" s="7">
        <v>0</v>
      </c>
      <c r="N52" s="7">
        <v>0</v>
      </c>
      <c r="O52" s="7">
        <v>0</v>
      </c>
      <c r="P52" s="7">
        <v>0</v>
      </c>
      <c r="Q52" s="7">
        <v>0</v>
      </c>
      <c r="R52" s="7">
        <v>0</v>
      </c>
      <c r="S52" s="7">
        <v>0</v>
      </c>
      <c r="T52" s="7">
        <v>0</v>
      </c>
      <c r="U52" s="7">
        <v>0</v>
      </c>
      <c r="V52" s="7">
        <v>0</v>
      </c>
      <c r="W52" s="7">
        <v>0</v>
      </c>
      <c r="X52" s="7">
        <v>0</v>
      </c>
      <c r="Y52" s="7">
        <v>0</v>
      </c>
      <c r="Z52" s="7">
        <v>0</v>
      </c>
      <c r="AA52" s="7">
        <v>0</v>
      </c>
      <c r="AB52" s="7">
        <v>0</v>
      </c>
      <c r="AC52" s="7">
        <v>0</v>
      </c>
      <c r="AD52" s="7">
        <v>0</v>
      </c>
      <c r="AE52" s="7">
        <v>0</v>
      </c>
      <c r="AF52" s="7">
        <v>0</v>
      </c>
      <c r="AG52" s="7">
        <v>0</v>
      </c>
      <c r="AH52" s="7">
        <v>0</v>
      </c>
      <c r="AI52" s="7">
        <v>0</v>
      </c>
      <c r="AJ52" s="7">
        <v>0</v>
      </c>
      <c r="AK52" s="7">
        <v>0</v>
      </c>
      <c r="AM52"/>
      <c r="AN52"/>
      <c r="AO52"/>
      <c r="AP52"/>
      <c r="AQ52"/>
    </row>
    <row r="53" spans="1:43">
      <c r="B53" s="499" t="s">
        <v>42</v>
      </c>
      <c r="C53" s="7">
        <v>0</v>
      </c>
      <c r="D53" s="7">
        <v>0</v>
      </c>
      <c r="E53" s="7">
        <v>0</v>
      </c>
      <c r="F53" s="7">
        <v>0</v>
      </c>
      <c r="G53" s="7">
        <v>0</v>
      </c>
      <c r="H53" s="7">
        <v>0</v>
      </c>
      <c r="I53" s="7">
        <v>0</v>
      </c>
      <c r="J53" s="7">
        <v>0</v>
      </c>
      <c r="K53" s="7">
        <v>0</v>
      </c>
      <c r="L53" s="7">
        <v>0</v>
      </c>
      <c r="M53" s="7">
        <v>0</v>
      </c>
      <c r="N53" s="7">
        <v>0</v>
      </c>
      <c r="O53" s="7">
        <v>0</v>
      </c>
      <c r="P53" s="7">
        <v>0</v>
      </c>
      <c r="Q53" s="7">
        <v>0</v>
      </c>
      <c r="R53" s="7">
        <v>0</v>
      </c>
      <c r="S53" s="7">
        <v>0</v>
      </c>
      <c r="T53" s="7">
        <v>0</v>
      </c>
      <c r="U53" s="7">
        <v>0</v>
      </c>
      <c r="V53" s="7">
        <v>0</v>
      </c>
      <c r="W53" s="7">
        <v>0</v>
      </c>
      <c r="X53" s="7">
        <v>0</v>
      </c>
      <c r="Y53" s="7">
        <v>0</v>
      </c>
      <c r="Z53" s="7">
        <v>0</v>
      </c>
      <c r="AA53" s="7">
        <v>0</v>
      </c>
      <c r="AB53" s="7">
        <v>0</v>
      </c>
      <c r="AC53" s="7">
        <v>0</v>
      </c>
      <c r="AD53" s="7">
        <v>0</v>
      </c>
      <c r="AE53" s="7">
        <v>0</v>
      </c>
      <c r="AF53" s="7">
        <v>0</v>
      </c>
      <c r="AG53" s="7">
        <v>0</v>
      </c>
      <c r="AH53" s="7">
        <v>0</v>
      </c>
      <c r="AI53" s="7">
        <v>0</v>
      </c>
      <c r="AJ53" s="7">
        <v>0</v>
      </c>
      <c r="AK53" s="7">
        <v>0</v>
      </c>
      <c r="AM53"/>
      <c r="AN53"/>
      <c r="AO53"/>
      <c r="AP53"/>
      <c r="AQ53"/>
    </row>
    <row r="54" spans="1:43">
      <c r="B54" s="499" t="s">
        <v>43</v>
      </c>
      <c r="C54" s="7">
        <v>0</v>
      </c>
      <c r="D54" s="7">
        <v>0</v>
      </c>
      <c r="E54" s="7">
        <v>0</v>
      </c>
      <c r="F54" s="7">
        <v>0</v>
      </c>
      <c r="G54" s="7">
        <v>0</v>
      </c>
      <c r="H54" s="7">
        <v>0</v>
      </c>
      <c r="I54" s="7">
        <v>0</v>
      </c>
      <c r="J54" s="7">
        <v>0</v>
      </c>
      <c r="K54" s="7">
        <v>0</v>
      </c>
      <c r="L54" s="7">
        <v>0</v>
      </c>
      <c r="M54" s="7">
        <v>0</v>
      </c>
      <c r="N54" s="7">
        <v>0</v>
      </c>
      <c r="O54" s="7">
        <v>0</v>
      </c>
      <c r="P54" s="7">
        <v>0</v>
      </c>
      <c r="Q54" s="7">
        <v>0</v>
      </c>
      <c r="R54" s="7">
        <v>0</v>
      </c>
      <c r="S54" s="7">
        <v>0</v>
      </c>
      <c r="T54" s="7">
        <v>0</v>
      </c>
      <c r="U54" s="7">
        <v>0</v>
      </c>
      <c r="V54" s="7">
        <v>0</v>
      </c>
      <c r="W54" s="7">
        <v>0</v>
      </c>
      <c r="X54" s="7">
        <v>0</v>
      </c>
      <c r="Y54" s="7">
        <v>0</v>
      </c>
      <c r="Z54" s="7">
        <v>0</v>
      </c>
      <c r="AA54" s="7">
        <v>0</v>
      </c>
      <c r="AB54" s="7">
        <v>0</v>
      </c>
      <c r="AC54" s="7">
        <v>0</v>
      </c>
      <c r="AD54" s="7">
        <v>0</v>
      </c>
      <c r="AE54" s="7">
        <v>0</v>
      </c>
      <c r="AF54" s="7">
        <v>0</v>
      </c>
      <c r="AG54" s="7">
        <v>0</v>
      </c>
      <c r="AH54" s="7">
        <v>0</v>
      </c>
      <c r="AI54" s="7">
        <v>0</v>
      </c>
      <c r="AJ54" s="7">
        <v>0</v>
      </c>
      <c r="AK54" s="7">
        <v>0</v>
      </c>
      <c r="AM54"/>
      <c r="AN54"/>
      <c r="AO54"/>
      <c r="AP54"/>
      <c r="AQ54"/>
    </row>
    <row r="55" spans="1:43">
      <c r="B55" s="499" t="s">
        <v>44</v>
      </c>
      <c r="C55" s="7">
        <v>0</v>
      </c>
      <c r="D55" s="7">
        <v>0</v>
      </c>
      <c r="E55" s="7">
        <v>0</v>
      </c>
      <c r="F55" s="7">
        <v>0</v>
      </c>
      <c r="G55" s="7">
        <v>0</v>
      </c>
      <c r="H55" s="7">
        <v>0</v>
      </c>
      <c r="I55" s="7">
        <v>0</v>
      </c>
      <c r="J55" s="7">
        <v>0</v>
      </c>
      <c r="K55" s="7">
        <v>0</v>
      </c>
      <c r="L55" s="7">
        <v>0</v>
      </c>
      <c r="M55" s="7">
        <v>0</v>
      </c>
      <c r="N55" s="7">
        <v>0</v>
      </c>
      <c r="O55" s="7">
        <v>0</v>
      </c>
      <c r="P55" s="7">
        <v>0</v>
      </c>
      <c r="Q55" s="7">
        <v>0</v>
      </c>
      <c r="R55" s="7">
        <v>0</v>
      </c>
      <c r="S55" s="7">
        <v>0</v>
      </c>
      <c r="T55" s="7">
        <v>0</v>
      </c>
      <c r="U55" s="7">
        <v>0</v>
      </c>
      <c r="V55" s="7">
        <v>0</v>
      </c>
      <c r="W55" s="7">
        <v>0</v>
      </c>
      <c r="X55" s="7">
        <v>0</v>
      </c>
      <c r="Y55" s="7">
        <v>0</v>
      </c>
      <c r="Z55" s="7">
        <v>0</v>
      </c>
      <c r="AA55" s="7">
        <v>0</v>
      </c>
      <c r="AB55" s="7">
        <v>0</v>
      </c>
      <c r="AC55" s="7">
        <v>0</v>
      </c>
      <c r="AD55" s="7">
        <v>0</v>
      </c>
      <c r="AE55" s="7">
        <v>0</v>
      </c>
      <c r="AF55" s="7">
        <v>0</v>
      </c>
      <c r="AG55" s="7">
        <v>0</v>
      </c>
      <c r="AH55" s="7">
        <v>0</v>
      </c>
      <c r="AI55" s="7">
        <v>0</v>
      </c>
      <c r="AJ55" s="7">
        <v>0</v>
      </c>
      <c r="AK55" s="7">
        <v>0</v>
      </c>
      <c r="AM55"/>
      <c r="AN55"/>
      <c r="AO55"/>
      <c r="AP55"/>
      <c r="AQ55"/>
    </row>
    <row r="56" spans="1:43">
      <c r="B56" s="499" t="s">
        <v>45</v>
      </c>
      <c r="C56" s="7">
        <v>0</v>
      </c>
      <c r="D56" s="7">
        <v>0</v>
      </c>
      <c r="E56" s="7">
        <v>0</v>
      </c>
      <c r="F56" s="7">
        <v>0</v>
      </c>
      <c r="G56" s="7">
        <v>0</v>
      </c>
      <c r="H56" s="7">
        <v>0</v>
      </c>
      <c r="I56" s="7">
        <v>0</v>
      </c>
      <c r="J56" s="7">
        <v>0</v>
      </c>
      <c r="K56" s="7">
        <v>0</v>
      </c>
      <c r="L56" s="7">
        <v>0</v>
      </c>
      <c r="M56" s="7">
        <v>0</v>
      </c>
      <c r="N56" s="7">
        <v>0</v>
      </c>
      <c r="O56" s="7">
        <v>0</v>
      </c>
      <c r="P56" s="7">
        <v>0</v>
      </c>
      <c r="Q56" s="7">
        <v>0</v>
      </c>
      <c r="R56" s="7">
        <v>0</v>
      </c>
      <c r="S56" s="7">
        <v>0</v>
      </c>
      <c r="T56" s="7">
        <v>0</v>
      </c>
      <c r="U56" s="7">
        <v>0</v>
      </c>
      <c r="V56" s="7">
        <v>0</v>
      </c>
      <c r="W56" s="7">
        <v>0</v>
      </c>
      <c r="X56" s="7">
        <v>0</v>
      </c>
      <c r="Y56" s="7">
        <v>0</v>
      </c>
      <c r="Z56" s="7">
        <v>0</v>
      </c>
      <c r="AA56" s="7">
        <v>0</v>
      </c>
      <c r="AB56" s="7">
        <v>0</v>
      </c>
      <c r="AC56" s="7">
        <v>0</v>
      </c>
      <c r="AD56" s="7">
        <v>0</v>
      </c>
      <c r="AE56" s="7">
        <v>0</v>
      </c>
      <c r="AF56" s="7">
        <v>0</v>
      </c>
      <c r="AG56" s="7">
        <v>0</v>
      </c>
      <c r="AH56" s="7">
        <v>0</v>
      </c>
      <c r="AI56" s="7">
        <v>0</v>
      </c>
      <c r="AJ56" s="7">
        <v>0</v>
      </c>
      <c r="AK56" s="7">
        <v>0</v>
      </c>
    </row>
    <row r="59" spans="1:43">
      <c r="A59" s="1" t="s">
        <v>70</v>
      </c>
    </row>
    <row r="60" spans="1:43">
      <c r="C60" s="499" t="s">
        <v>52</v>
      </c>
      <c r="H60" s="499" t="s">
        <v>53</v>
      </c>
      <c r="M60" s="499" t="s">
        <v>54</v>
      </c>
      <c r="R60" s="499" t="s">
        <v>55</v>
      </c>
      <c r="W60" s="499" t="s">
        <v>71</v>
      </c>
    </row>
    <row r="61" spans="1:43">
      <c r="C61" s="499" t="s">
        <v>57</v>
      </c>
      <c r="D61" s="499" t="s">
        <v>57</v>
      </c>
      <c r="E61" s="499" t="s">
        <v>57</v>
      </c>
      <c r="F61" s="499" t="s">
        <v>57</v>
      </c>
      <c r="G61" s="499" t="s">
        <v>57</v>
      </c>
      <c r="H61" s="499" t="s">
        <v>9</v>
      </c>
      <c r="I61" s="499" t="s">
        <v>9</v>
      </c>
      <c r="J61" s="499" t="s">
        <v>9</v>
      </c>
      <c r="K61" s="499" t="s">
        <v>9</v>
      </c>
      <c r="L61" s="499" t="s">
        <v>9</v>
      </c>
      <c r="M61" s="499" t="s">
        <v>10</v>
      </c>
      <c r="N61" s="499" t="s">
        <v>10</v>
      </c>
      <c r="O61" s="499" t="s">
        <v>10</v>
      </c>
      <c r="P61" s="499" t="s">
        <v>10</v>
      </c>
      <c r="Q61" s="499" t="s">
        <v>10</v>
      </c>
      <c r="R61" s="499" t="s">
        <v>11</v>
      </c>
      <c r="S61" s="499" t="s">
        <v>11</v>
      </c>
      <c r="T61" s="499" t="s">
        <v>11</v>
      </c>
      <c r="U61" s="499" t="s">
        <v>11</v>
      </c>
      <c r="V61" s="499" t="s">
        <v>11</v>
      </c>
      <c r="W61" s="499" t="s">
        <v>58</v>
      </c>
      <c r="X61" s="499" t="s">
        <v>58</v>
      </c>
      <c r="Y61" s="499" t="s">
        <v>58</v>
      </c>
      <c r="Z61" s="499" t="s">
        <v>58</v>
      </c>
      <c r="AA61" s="499" t="s">
        <v>58</v>
      </c>
      <c r="AB61" s="499" t="s">
        <v>72</v>
      </c>
      <c r="AG61" s="499" t="s">
        <v>60</v>
      </c>
    </row>
    <row r="62" spans="1:43">
      <c r="B62" s="6" t="s">
        <v>7</v>
      </c>
      <c r="C62" s="6" t="s">
        <v>67</v>
      </c>
      <c r="D62" s="6" t="s">
        <v>63</v>
      </c>
      <c r="E62" s="6" t="s">
        <v>64</v>
      </c>
      <c r="F62" s="6" t="s">
        <v>65</v>
      </c>
      <c r="G62" s="6" t="s">
        <v>66</v>
      </c>
      <c r="H62" s="6" t="s">
        <v>67</v>
      </c>
      <c r="I62" s="6" t="s">
        <v>63</v>
      </c>
      <c r="J62" s="6" t="s">
        <v>64</v>
      </c>
      <c r="K62" s="6" t="s">
        <v>65</v>
      </c>
      <c r="L62" s="6" t="s">
        <v>66</v>
      </c>
      <c r="M62" s="6" t="s">
        <v>67</v>
      </c>
      <c r="N62" s="6" t="s">
        <v>63</v>
      </c>
      <c r="O62" s="6" t="s">
        <v>64</v>
      </c>
      <c r="P62" s="6" t="s">
        <v>65</v>
      </c>
      <c r="Q62" s="6" t="s">
        <v>66</v>
      </c>
      <c r="R62" s="6" t="s">
        <v>67</v>
      </c>
      <c r="S62" s="6" t="s">
        <v>63</v>
      </c>
      <c r="T62" s="6" t="s">
        <v>64</v>
      </c>
      <c r="U62" s="6" t="s">
        <v>65</v>
      </c>
      <c r="V62" s="6" t="s">
        <v>66</v>
      </c>
      <c r="W62" s="6" t="s">
        <v>67</v>
      </c>
      <c r="X62" s="6" t="s">
        <v>63</v>
      </c>
      <c r="Y62" s="6" t="s">
        <v>64</v>
      </c>
      <c r="Z62" s="6" t="s">
        <v>65</v>
      </c>
      <c r="AA62" s="6" t="s">
        <v>66</v>
      </c>
      <c r="AB62" s="6" t="s">
        <v>67</v>
      </c>
      <c r="AC62" s="6" t="s">
        <v>63</v>
      </c>
      <c r="AD62" s="6" t="s">
        <v>64</v>
      </c>
      <c r="AE62" s="6" t="s">
        <v>65</v>
      </c>
      <c r="AF62" s="6" t="s">
        <v>66</v>
      </c>
      <c r="AG62" s="6" t="s">
        <v>67</v>
      </c>
      <c r="AH62" s="6" t="s">
        <v>63</v>
      </c>
      <c r="AI62" s="6" t="s">
        <v>64</v>
      </c>
      <c r="AJ62" s="6" t="s">
        <v>65</v>
      </c>
      <c r="AK62" s="6" t="s">
        <v>66</v>
      </c>
    </row>
    <row r="63" spans="1:43">
      <c r="B63" s="499" t="s">
        <v>15</v>
      </c>
      <c r="C63" s="529">
        <v>1</v>
      </c>
      <c r="D63" s="529">
        <v>1</v>
      </c>
      <c r="E63" s="529">
        <v>1</v>
      </c>
      <c r="F63" s="529">
        <v>1</v>
      </c>
      <c r="G63" s="529">
        <v>1</v>
      </c>
      <c r="H63" s="7">
        <v>0</v>
      </c>
      <c r="I63" s="7">
        <v>0</v>
      </c>
      <c r="J63" s="7">
        <v>0</v>
      </c>
      <c r="K63" s="7">
        <v>0</v>
      </c>
      <c r="L63" s="7">
        <v>0</v>
      </c>
      <c r="M63" s="7">
        <v>0</v>
      </c>
      <c r="N63" s="7">
        <v>0</v>
      </c>
      <c r="O63" s="7">
        <v>0</v>
      </c>
      <c r="P63" s="7">
        <v>0</v>
      </c>
      <c r="Q63" s="7">
        <v>0</v>
      </c>
      <c r="R63" s="7">
        <v>0</v>
      </c>
      <c r="S63" s="7">
        <v>0</v>
      </c>
      <c r="T63" s="7">
        <v>0</v>
      </c>
      <c r="U63" s="7">
        <v>0</v>
      </c>
      <c r="V63" s="7">
        <v>0</v>
      </c>
      <c r="W63" s="7">
        <v>0</v>
      </c>
      <c r="X63" s="7">
        <v>0</v>
      </c>
      <c r="Y63" s="7">
        <v>0</v>
      </c>
      <c r="Z63" s="7">
        <v>0</v>
      </c>
      <c r="AA63" s="7">
        <v>0</v>
      </c>
      <c r="AB63" s="7">
        <v>0</v>
      </c>
      <c r="AC63" s="7">
        <v>0</v>
      </c>
      <c r="AD63" s="7">
        <v>0</v>
      </c>
      <c r="AE63" s="7">
        <v>0</v>
      </c>
      <c r="AF63" s="7">
        <v>0</v>
      </c>
      <c r="AG63" s="7">
        <v>0</v>
      </c>
      <c r="AH63" s="7">
        <v>0</v>
      </c>
      <c r="AI63" s="7">
        <v>0</v>
      </c>
      <c r="AJ63" s="7">
        <v>0</v>
      </c>
      <c r="AK63" s="7">
        <v>0</v>
      </c>
    </row>
    <row r="64" spans="1:43">
      <c r="B64" s="499" t="s">
        <v>18</v>
      </c>
      <c r="C64" s="7">
        <v>0</v>
      </c>
      <c r="D64" s="7">
        <v>0</v>
      </c>
      <c r="E64" s="7">
        <v>0</v>
      </c>
      <c r="F64" s="7">
        <v>0</v>
      </c>
      <c r="G64" s="7">
        <v>0</v>
      </c>
      <c r="H64" s="7">
        <v>0</v>
      </c>
      <c r="I64" s="7">
        <v>0</v>
      </c>
      <c r="J64" s="7">
        <v>0</v>
      </c>
      <c r="K64" s="7">
        <v>0</v>
      </c>
      <c r="L64" s="7">
        <v>0</v>
      </c>
      <c r="M64" s="7">
        <v>0</v>
      </c>
      <c r="N64" s="7">
        <v>0</v>
      </c>
      <c r="O64" s="7">
        <v>0</v>
      </c>
      <c r="P64" s="7">
        <v>0</v>
      </c>
      <c r="Q64" s="7">
        <v>0</v>
      </c>
      <c r="R64" s="7">
        <v>0</v>
      </c>
      <c r="S64" s="7">
        <v>0</v>
      </c>
      <c r="T64" s="7">
        <v>0</v>
      </c>
      <c r="U64" s="7">
        <v>0</v>
      </c>
      <c r="V64" s="7">
        <v>0</v>
      </c>
      <c r="W64" s="7">
        <v>0</v>
      </c>
      <c r="X64" s="7">
        <v>0</v>
      </c>
      <c r="Y64" s="7">
        <v>0</v>
      </c>
      <c r="Z64" s="7">
        <v>0</v>
      </c>
      <c r="AA64" s="7">
        <v>0</v>
      </c>
      <c r="AB64" s="7">
        <v>0</v>
      </c>
      <c r="AC64" s="7">
        <v>0</v>
      </c>
      <c r="AD64" s="7">
        <v>0</v>
      </c>
      <c r="AE64" s="7">
        <v>0</v>
      </c>
      <c r="AF64" s="7">
        <v>0</v>
      </c>
      <c r="AG64" s="7">
        <v>0</v>
      </c>
      <c r="AH64" s="7">
        <v>0</v>
      </c>
      <c r="AI64" s="7">
        <v>0</v>
      </c>
      <c r="AJ64" s="7">
        <v>0</v>
      </c>
      <c r="AK64" s="7">
        <v>0</v>
      </c>
    </row>
    <row r="65" spans="1:37">
      <c r="B65" s="499" t="s">
        <v>19</v>
      </c>
      <c r="C65" s="7">
        <v>0</v>
      </c>
      <c r="D65" s="7">
        <v>0</v>
      </c>
      <c r="E65" s="7">
        <v>0</v>
      </c>
      <c r="F65" s="7">
        <v>0</v>
      </c>
      <c r="G65" s="7">
        <v>0</v>
      </c>
      <c r="H65" s="7">
        <v>0</v>
      </c>
      <c r="I65" s="7">
        <v>0</v>
      </c>
      <c r="J65" s="7">
        <v>0</v>
      </c>
      <c r="K65" s="7">
        <v>0</v>
      </c>
      <c r="L65" s="7">
        <v>0</v>
      </c>
      <c r="M65" s="7">
        <v>0</v>
      </c>
      <c r="N65" s="7">
        <v>0</v>
      </c>
      <c r="O65" s="7">
        <v>0</v>
      </c>
      <c r="P65" s="7">
        <v>0</v>
      </c>
      <c r="Q65" s="7">
        <v>0</v>
      </c>
      <c r="R65" s="7">
        <v>0</v>
      </c>
      <c r="S65" s="7">
        <v>0</v>
      </c>
      <c r="T65" s="7">
        <v>0</v>
      </c>
      <c r="U65" s="7">
        <v>0</v>
      </c>
      <c r="V65" s="7">
        <v>0</v>
      </c>
      <c r="W65" s="7">
        <v>0</v>
      </c>
      <c r="X65" s="7">
        <v>0</v>
      </c>
      <c r="Y65" s="7">
        <v>0</v>
      </c>
      <c r="Z65" s="7">
        <v>0</v>
      </c>
      <c r="AA65" s="7">
        <v>0</v>
      </c>
      <c r="AB65" s="7">
        <v>0</v>
      </c>
      <c r="AC65" s="7">
        <v>0</v>
      </c>
      <c r="AD65" s="7">
        <v>0</v>
      </c>
      <c r="AE65" s="7">
        <v>0</v>
      </c>
      <c r="AF65" s="7">
        <v>0</v>
      </c>
      <c r="AG65" s="7">
        <v>0</v>
      </c>
      <c r="AH65" s="7">
        <v>0</v>
      </c>
      <c r="AI65" s="7">
        <v>0</v>
      </c>
      <c r="AJ65" s="7">
        <v>0</v>
      </c>
      <c r="AK65" s="7">
        <v>0</v>
      </c>
    </row>
    <row r="66" spans="1:37">
      <c r="B66" s="499" t="s">
        <v>20</v>
      </c>
      <c r="C66" s="7">
        <v>0</v>
      </c>
      <c r="D66" s="7">
        <v>0</v>
      </c>
      <c r="E66" s="7">
        <v>0</v>
      </c>
      <c r="F66" s="7">
        <v>0</v>
      </c>
      <c r="G66" s="7">
        <v>0</v>
      </c>
      <c r="H66" s="7">
        <v>0</v>
      </c>
      <c r="I66" s="7">
        <v>0</v>
      </c>
      <c r="J66" s="7">
        <v>0</v>
      </c>
      <c r="K66" s="7">
        <v>0</v>
      </c>
      <c r="L66" s="7">
        <v>0</v>
      </c>
      <c r="M66" s="7">
        <v>0</v>
      </c>
      <c r="N66" s="7">
        <v>0</v>
      </c>
      <c r="O66" s="7">
        <v>0</v>
      </c>
      <c r="P66" s="7">
        <v>0</v>
      </c>
      <c r="Q66" s="7">
        <v>0</v>
      </c>
      <c r="R66" s="7">
        <v>0</v>
      </c>
      <c r="S66" s="7">
        <v>0</v>
      </c>
      <c r="T66" s="7">
        <v>0</v>
      </c>
      <c r="U66" s="7">
        <v>0</v>
      </c>
      <c r="V66" s="7">
        <v>0</v>
      </c>
      <c r="W66" s="7">
        <v>0</v>
      </c>
      <c r="X66" s="7">
        <v>0</v>
      </c>
      <c r="Y66" s="7">
        <v>0</v>
      </c>
      <c r="Z66" s="7">
        <v>0</v>
      </c>
      <c r="AA66" s="7">
        <v>0</v>
      </c>
      <c r="AB66" s="7">
        <v>0</v>
      </c>
      <c r="AC66" s="7">
        <v>0</v>
      </c>
      <c r="AD66" s="7">
        <v>0</v>
      </c>
      <c r="AE66" s="7">
        <v>0</v>
      </c>
      <c r="AF66" s="7">
        <v>0</v>
      </c>
      <c r="AG66" s="7">
        <v>0</v>
      </c>
      <c r="AH66" s="7">
        <v>0</v>
      </c>
      <c r="AI66" s="7">
        <v>0</v>
      </c>
      <c r="AJ66" s="7">
        <v>0</v>
      </c>
      <c r="AK66" s="7">
        <v>0</v>
      </c>
    </row>
    <row r="67" spans="1:37">
      <c r="B67" s="499" t="s">
        <v>21</v>
      </c>
      <c r="C67" s="7">
        <v>0</v>
      </c>
      <c r="D67" s="7">
        <v>0</v>
      </c>
      <c r="E67" s="7">
        <v>0</v>
      </c>
      <c r="F67" s="7">
        <v>0</v>
      </c>
      <c r="G67" s="7">
        <v>0</v>
      </c>
      <c r="H67" s="7">
        <v>0</v>
      </c>
      <c r="I67" s="7">
        <v>0</v>
      </c>
      <c r="J67" s="7">
        <v>0</v>
      </c>
      <c r="K67" s="7">
        <v>0</v>
      </c>
      <c r="L67" s="7">
        <v>0</v>
      </c>
      <c r="M67" s="7">
        <v>0</v>
      </c>
      <c r="N67" s="7">
        <v>0</v>
      </c>
      <c r="O67" s="7">
        <v>0</v>
      </c>
      <c r="P67" s="7">
        <v>0</v>
      </c>
      <c r="Q67" s="7">
        <v>0</v>
      </c>
      <c r="R67" s="7">
        <v>0</v>
      </c>
      <c r="S67" s="7">
        <v>0</v>
      </c>
      <c r="T67" s="7">
        <v>0</v>
      </c>
      <c r="U67" s="7">
        <v>0</v>
      </c>
      <c r="V67" s="7">
        <v>0</v>
      </c>
      <c r="W67" s="7">
        <v>0</v>
      </c>
      <c r="X67" s="7">
        <v>0</v>
      </c>
      <c r="Y67" s="7">
        <v>0</v>
      </c>
      <c r="Z67" s="7">
        <v>0</v>
      </c>
      <c r="AA67" s="7">
        <v>0</v>
      </c>
      <c r="AB67" s="7">
        <v>0</v>
      </c>
      <c r="AC67" s="7">
        <v>0</v>
      </c>
      <c r="AD67" s="7">
        <v>0</v>
      </c>
      <c r="AE67" s="7">
        <v>0</v>
      </c>
      <c r="AF67" s="7">
        <v>0</v>
      </c>
      <c r="AG67" s="7">
        <v>0</v>
      </c>
      <c r="AH67" s="7">
        <v>0</v>
      </c>
      <c r="AI67" s="7">
        <v>0</v>
      </c>
      <c r="AJ67" s="7">
        <v>0</v>
      </c>
      <c r="AK67" s="7">
        <v>0</v>
      </c>
    </row>
    <row r="68" spans="1:37">
      <c r="B68" s="499" t="s">
        <v>22</v>
      </c>
      <c r="C68" s="7">
        <v>0</v>
      </c>
      <c r="D68" s="7">
        <v>0</v>
      </c>
      <c r="E68" s="7">
        <v>0</v>
      </c>
      <c r="F68" s="7">
        <v>0</v>
      </c>
      <c r="G68" s="7">
        <v>0</v>
      </c>
      <c r="H68" s="7">
        <v>0</v>
      </c>
      <c r="I68" s="7">
        <v>0</v>
      </c>
      <c r="J68" s="7">
        <v>0</v>
      </c>
      <c r="K68" s="7">
        <v>0</v>
      </c>
      <c r="L68" s="7">
        <v>0</v>
      </c>
      <c r="M68" s="7">
        <v>0</v>
      </c>
      <c r="N68" s="7">
        <v>0</v>
      </c>
      <c r="O68" s="7">
        <v>0</v>
      </c>
      <c r="P68" s="7">
        <v>0</v>
      </c>
      <c r="Q68" s="7">
        <v>0</v>
      </c>
      <c r="R68" s="7">
        <v>0</v>
      </c>
      <c r="S68" s="7">
        <v>0</v>
      </c>
      <c r="T68" s="7">
        <v>0</v>
      </c>
      <c r="U68" s="7">
        <v>0</v>
      </c>
      <c r="V68" s="7">
        <v>0</v>
      </c>
      <c r="W68" s="7">
        <v>0</v>
      </c>
      <c r="X68" s="7">
        <v>0</v>
      </c>
      <c r="Y68" s="7">
        <v>0</v>
      </c>
      <c r="Z68" s="7">
        <v>0</v>
      </c>
      <c r="AA68" s="7">
        <v>0</v>
      </c>
      <c r="AB68" s="7">
        <v>0</v>
      </c>
      <c r="AC68" s="7">
        <v>0</v>
      </c>
      <c r="AD68" s="7">
        <v>0</v>
      </c>
      <c r="AE68" s="7">
        <v>0</v>
      </c>
      <c r="AF68" s="7">
        <v>0</v>
      </c>
      <c r="AG68" s="7">
        <v>0</v>
      </c>
      <c r="AH68" s="7">
        <v>0</v>
      </c>
      <c r="AI68" s="7">
        <v>0</v>
      </c>
      <c r="AJ68" s="7">
        <v>0</v>
      </c>
      <c r="AK68" s="7">
        <v>0</v>
      </c>
    </row>
    <row r="69" spans="1:37">
      <c r="B69" s="499" t="s">
        <v>23</v>
      </c>
      <c r="C69" s="7">
        <v>0</v>
      </c>
      <c r="D69" s="7">
        <v>0</v>
      </c>
      <c r="E69" s="7">
        <v>0</v>
      </c>
      <c r="F69" s="7">
        <v>0</v>
      </c>
      <c r="G69" s="7">
        <v>0</v>
      </c>
      <c r="H69" s="7">
        <v>0</v>
      </c>
      <c r="I69" s="7">
        <v>0</v>
      </c>
      <c r="J69" s="7">
        <v>0</v>
      </c>
      <c r="K69" s="7">
        <v>0</v>
      </c>
      <c r="L69" s="7">
        <v>0</v>
      </c>
      <c r="M69" s="7">
        <v>0</v>
      </c>
      <c r="N69" s="7">
        <v>0</v>
      </c>
      <c r="O69" s="7">
        <v>0</v>
      </c>
      <c r="P69" s="7">
        <v>0</v>
      </c>
      <c r="Q69" s="7">
        <v>0</v>
      </c>
      <c r="R69" s="7">
        <v>0</v>
      </c>
      <c r="S69" s="7">
        <v>0</v>
      </c>
      <c r="T69" s="7">
        <v>0</v>
      </c>
      <c r="U69" s="7">
        <v>0</v>
      </c>
      <c r="V69" s="7">
        <v>0</v>
      </c>
      <c r="W69" s="7">
        <v>0</v>
      </c>
      <c r="X69" s="7">
        <v>0</v>
      </c>
      <c r="Y69" s="7">
        <v>0</v>
      </c>
      <c r="Z69" s="7">
        <v>0</v>
      </c>
      <c r="AA69" s="7">
        <v>0</v>
      </c>
      <c r="AB69" s="7">
        <v>0</v>
      </c>
      <c r="AC69" s="7">
        <v>0</v>
      </c>
      <c r="AD69" s="7">
        <v>0</v>
      </c>
      <c r="AE69" s="7">
        <v>0</v>
      </c>
      <c r="AF69" s="7">
        <v>0</v>
      </c>
      <c r="AG69" s="7">
        <v>0</v>
      </c>
      <c r="AH69" s="7">
        <v>0</v>
      </c>
      <c r="AI69" s="7">
        <v>0</v>
      </c>
      <c r="AJ69" s="7">
        <v>0</v>
      </c>
      <c r="AK69" s="7">
        <v>0</v>
      </c>
    </row>
    <row r="70" spans="1:37">
      <c r="B70" s="499" t="s">
        <v>24</v>
      </c>
      <c r="C70" s="7">
        <v>0</v>
      </c>
      <c r="D70" s="7">
        <v>0</v>
      </c>
      <c r="E70" s="7">
        <v>0</v>
      </c>
      <c r="F70" s="7">
        <v>0</v>
      </c>
      <c r="G70" s="7">
        <v>0</v>
      </c>
      <c r="H70" s="7">
        <v>0</v>
      </c>
      <c r="I70" s="7">
        <v>0</v>
      </c>
      <c r="J70" s="7">
        <v>0</v>
      </c>
      <c r="K70" s="7">
        <v>0</v>
      </c>
      <c r="L70" s="7">
        <v>0</v>
      </c>
      <c r="M70" s="7">
        <v>0</v>
      </c>
      <c r="N70" s="7">
        <v>0</v>
      </c>
      <c r="O70" s="7">
        <v>0</v>
      </c>
      <c r="P70" s="7">
        <v>0</v>
      </c>
      <c r="Q70" s="7">
        <v>0</v>
      </c>
      <c r="R70" s="7">
        <v>0</v>
      </c>
      <c r="S70" s="7">
        <v>0</v>
      </c>
      <c r="T70" s="7">
        <v>0</v>
      </c>
      <c r="U70" s="7">
        <v>0</v>
      </c>
      <c r="V70" s="7">
        <v>0</v>
      </c>
      <c r="W70" s="7">
        <v>0</v>
      </c>
      <c r="X70" s="7">
        <v>0</v>
      </c>
      <c r="Y70" s="7">
        <v>0</v>
      </c>
      <c r="Z70" s="7">
        <v>0</v>
      </c>
      <c r="AA70" s="7">
        <v>0</v>
      </c>
      <c r="AB70" s="7">
        <v>0</v>
      </c>
      <c r="AC70" s="7">
        <v>0</v>
      </c>
      <c r="AD70" s="7">
        <v>0</v>
      </c>
      <c r="AE70" s="7">
        <v>0</v>
      </c>
      <c r="AF70" s="7">
        <v>0</v>
      </c>
      <c r="AG70" s="7">
        <v>0</v>
      </c>
      <c r="AH70" s="7">
        <v>0</v>
      </c>
      <c r="AI70" s="7">
        <v>0</v>
      </c>
      <c r="AJ70" s="7">
        <v>0</v>
      </c>
      <c r="AK70" s="7">
        <v>0</v>
      </c>
    </row>
    <row r="71" spans="1:37">
      <c r="B71" s="499" t="s">
        <v>25</v>
      </c>
      <c r="C71" s="7">
        <v>0</v>
      </c>
      <c r="D71" s="7">
        <v>0</v>
      </c>
      <c r="E71" s="7">
        <v>0</v>
      </c>
      <c r="F71" s="7">
        <v>0</v>
      </c>
      <c r="G71" s="7">
        <v>0</v>
      </c>
      <c r="H71" s="7">
        <v>0</v>
      </c>
      <c r="I71" s="7">
        <v>0</v>
      </c>
      <c r="J71" s="7">
        <v>0</v>
      </c>
      <c r="K71" s="7">
        <v>0</v>
      </c>
      <c r="L71" s="7">
        <v>0</v>
      </c>
      <c r="M71" s="7">
        <v>0</v>
      </c>
      <c r="N71" s="7">
        <v>0</v>
      </c>
      <c r="O71" s="7">
        <v>0</v>
      </c>
      <c r="P71" s="7">
        <v>0</v>
      </c>
      <c r="Q71" s="7">
        <v>0</v>
      </c>
      <c r="R71" s="7">
        <v>0</v>
      </c>
      <c r="S71" s="7">
        <v>0</v>
      </c>
      <c r="T71" s="7">
        <v>0</v>
      </c>
      <c r="U71" s="7">
        <v>0</v>
      </c>
      <c r="V71" s="7">
        <v>0</v>
      </c>
      <c r="W71" s="7">
        <v>0</v>
      </c>
      <c r="X71" s="7">
        <v>0</v>
      </c>
      <c r="Y71" s="7">
        <v>0</v>
      </c>
      <c r="Z71" s="7">
        <v>0</v>
      </c>
      <c r="AA71" s="7">
        <v>0</v>
      </c>
      <c r="AB71" s="7">
        <v>0</v>
      </c>
      <c r="AC71" s="7">
        <v>0</v>
      </c>
      <c r="AD71" s="7">
        <v>0</v>
      </c>
      <c r="AE71" s="7">
        <v>0</v>
      </c>
      <c r="AF71" s="7">
        <v>0</v>
      </c>
      <c r="AG71" s="7">
        <v>0</v>
      </c>
      <c r="AH71" s="7">
        <v>0</v>
      </c>
      <c r="AI71" s="7">
        <v>0</v>
      </c>
      <c r="AJ71" s="7">
        <v>0</v>
      </c>
      <c r="AK71" s="7">
        <v>0</v>
      </c>
    </row>
    <row r="72" spans="1:37">
      <c r="B72" s="499" t="s">
        <v>26</v>
      </c>
      <c r="C72" s="7">
        <v>0</v>
      </c>
      <c r="D72" s="7">
        <v>0</v>
      </c>
      <c r="E72" s="7">
        <v>0</v>
      </c>
      <c r="F72" s="7">
        <v>0</v>
      </c>
      <c r="G72" s="7">
        <v>0</v>
      </c>
      <c r="H72" s="7">
        <v>0</v>
      </c>
      <c r="I72" s="7">
        <v>0</v>
      </c>
      <c r="J72" s="7">
        <v>0</v>
      </c>
      <c r="K72" s="7">
        <v>0</v>
      </c>
      <c r="L72" s="7">
        <v>0</v>
      </c>
      <c r="M72" s="7">
        <v>0</v>
      </c>
      <c r="N72" s="7">
        <v>0</v>
      </c>
      <c r="O72" s="7">
        <v>0</v>
      </c>
      <c r="P72" s="7">
        <v>0</v>
      </c>
      <c r="Q72" s="7">
        <v>0</v>
      </c>
      <c r="R72" s="7">
        <v>0</v>
      </c>
      <c r="S72" s="7">
        <v>0</v>
      </c>
      <c r="T72" s="7">
        <v>0</v>
      </c>
      <c r="U72" s="7">
        <v>0</v>
      </c>
      <c r="V72" s="7">
        <v>0</v>
      </c>
      <c r="W72" s="7">
        <v>0</v>
      </c>
      <c r="X72" s="7">
        <v>0</v>
      </c>
      <c r="Y72" s="7">
        <v>0</v>
      </c>
      <c r="Z72" s="7">
        <v>0</v>
      </c>
      <c r="AA72" s="7">
        <v>0</v>
      </c>
      <c r="AB72" s="7">
        <v>0</v>
      </c>
      <c r="AC72" s="7">
        <v>0</v>
      </c>
      <c r="AD72" s="7">
        <v>0</v>
      </c>
      <c r="AE72" s="7">
        <v>0</v>
      </c>
      <c r="AF72" s="7">
        <v>0</v>
      </c>
      <c r="AG72" s="7">
        <v>0</v>
      </c>
      <c r="AH72" s="7">
        <v>0</v>
      </c>
      <c r="AI72" s="7">
        <v>0</v>
      </c>
      <c r="AJ72" s="7">
        <v>0</v>
      </c>
      <c r="AK72" s="7">
        <v>0</v>
      </c>
    </row>
    <row r="73" spans="1:37">
      <c r="B73" s="499" t="s">
        <v>27</v>
      </c>
      <c r="C73" s="7">
        <v>0</v>
      </c>
      <c r="D73" s="7">
        <v>0</v>
      </c>
      <c r="E73" s="7">
        <v>0</v>
      </c>
      <c r="F73" s="7">
        <v>0</v>
      </c>
      <c r="G73" s="7">
        <v>0</v>
      </c>
      <c r="H73" s="7">
        <v>0</v>
      </c>
      <c r="I73" s="7">
        <v>0</v>
      </c>
      <c r="J73" s="7">
        <v>0</v>
      </c>
      <c r="K73" s="7">
        <v>0</v>
      </c>
      <c r="L73" s="7">
        <v>0</v>
      </c>
      <c r="M73" s="7">
        <v>0</v>
      </c>
      <c r="N73" s="7">
        <v>0</v>
      </c>
      <c r="O73" s="7">
        <v>0</v>
      </c>
      <c r="P73" s="7">
        <v>0</v>
      </c>
      <c r="Q73" s="7">
        <v>0</v>
      </c>
      <c r="R73" s="7">
        <v>0</v>
      </c>
      <c r="S73" s="7">
        <v>0</v>
      </c>
      <c r="T73" s="7">
        <v>0</v>
      </c>
      <c r="U73" s="7">
        <v>0</v>
      </c>
      <c r="V73" s="7">
        <v>0</v>
      </c>
      <c r="W73" s="7">
        <v>0</v>
      </c>
      <c r="X73" s="7">
        <v>0</v>
      </c>
      <c r="Y73" s="7">
        <v>0</v>
      </c>
      <c r="Z73" s="7">
        <v>0</v>
      </c>
      <c r="AA73" s="7">
        <v>0</v>
      </c>
      <c r="AB73" s="7">
        <v>0</v>
      </c>
      <c r="AC73" s="7">
        <v>0</v>
      </c>
      <c r="AD73" s="7">
        <v>0</v>
      </c>
      <c r="AE73" s="7">
        <v>0</v>
      </c>
      <c r="AF73" s="7">
        <v>0</v>
      </c>
      <c r="AG73" s="7">
        <v>0</v>
      </c>
      <c r="AH73" s="7">
        <v>0</v>
      </c>
      <c r="AI73" s="7">
        <v>0</v>
      </c>
      <c r="AJ73" s="7">
        <v>0</v>
      </c>
      <c r="AK73" s="7">
        <v>0</v>
      </c>
    </row>
    <row r="74" spans="1:37">
      <c r="B74" s="499" t="s">
        <v>28</v>
      </c>
      <c r="C74" s="7">
        <v>0</v>
      </c>
      <c r="D74" s="7">
        <v>0</v>
      </c>
      <c r="E74" s="7">
        <v>0</v>
      </c>
      <c r="F74" s="7">
        <v>0</v>
      </c>
      <c r="G74" s="7">
        <v>0</v>
      </c>
      <c r="H74" s="7">
        <v>0</v>
      </c>
      <c r="I74" s="7">
        <v>0</v>
      </c>
      <c r="J74" s="7">
        <v>0</v>
      </c>
      <c r="K74" s="7">
        <v>0</v>
      </c>
      <c r="L74" s="7">
        <v>0</v>
      </c>
      <c r="M74" s="7">
        <v>0</v>
      </c>
      <c r="N74" s="7">
        <v>0</v>
      </c>
      <c r="O74" s="7">
        <v>0</v>
      </c>
      <c r="P74" s="7">
        <v>0</v>
      </c>
      <c r="Q74" s="7">
        <v>0</v>
      </c>
      <c r="R74" s="7">
        <v>0</v>
      </c>
      <c r="S74" s="7">
        <v>0</v>
      </c>
      <c r="T74" s="7">
        <v>0</v>
      </c>
      <c r="U74" s="7">
        <v>0</v>
      </c>
      <c r="V74" s="7">
        <v>0</v>
      </c>
      <c r="W74" s="7">
        <v>0</v>
      </c>
      <c r="X74" s="7">
        <v>0</v>
      </c>
      <c r="Y74" s="7">
        <v>0</v>
      </c>
      <c r="Z74" s="7">
        <v>0</v>
      </c>
      <c r="AA74" s="7">
        <v>0</v>
      </c>
      <c r="AB74" s="7">
        <v>0</v>
      </c>
      <c r="AC74" s="7">
        <v>0</v>
      </c>
      <c r="AD74" s="7">
        <v>0</v>
      </c>
      <c r="AE74" s="7">
        <v>0</v>
      </c>
      <c r="AF74" s="7">
        <v>0</v>
      </c>
      <c r="AG74" s="7">
        <v>0</v>
      </c>
      <c r="AH74" s="7">
        <v>0</v>
      </c>
      <c r="AI74" s="7">
        <v>0</v>
      </c>
      <c r="AJ74" s="7">
        <v>0</v>
      </c>
      <c r="AK74" s="7">
        <v>0</v>
      </c>
    </row>
    <row r="78" spans="1:37">
      <c r="A78" s="1" t="s">
        <v>73</v>
      </c>
      <c r="I78" s="499" t="s">
        <v>74</v>
      </c>
    </row>
    <row r="79" spans="1:37">
      <c r="B79" s="6" t="s">
        <v>75</v>
      </c>
      <c r="C79" s="6" t="s">
        <v>75</v>
      </c>
      <c r="D79" s="6" t="s">
        <v>76</v>
      </c>
      <c r="E79" s="6" t="s">
        <v>77</v>
      </c>
      <c r="F79" s="6" t="s">
        <v>78</v>
      </c>
      <c r="G79" s="6" t="s">
        <v>79</v>
      </c>
      <c r="H79" s="6" t="s">
        <v>80</v>
      </c>
      <c r="I79" s="9" t="s">
        <v>81</v>
      </c>
      <c r="J79" s="9" t="s">
        <v>33</v>
      </c>
      <c r="N79"/>
      <c r="O79"/>
      <c r="P79"/>
      <c r="Q79"/>
    </row>
    <row r="80" spans="1:37">
      <c r="B80" s="499" t="s">
        <v>82</v>
      </c>
      <c r="C80" s="499" t="s">
        <v>83</v>
      </c>
      <c r="D80" s="531">
        <v>1</v>
      </c>
      <c r="E80" s="530">
        <v>999999</v>
      </c>
      <c r="F80" s="530">
        <v>999999</v>
      </c>
      <c r="G80" s="530">
        <v>999999</v>
      </c>
      <c r="H80" s="530">
        <v>999999</v>
      </c>
      <c r="I80" s="121">
        <v>0</v>
      </c>
      <c r="J80" s="121">
        <v>0</v>
      </c>
      <c r="N80"/>
      <c r="O80"/>
      <c r="P80"/>
      <c r="Q80"/>
    </row>
    <row r="81" spans="2:17">
      <c r="B81" s="499" t="s">
        <v>84</v>
      </c>
      <c r="C81" s="499" t="s">
        <v>85</v>
      </c>
      <c r="D81" s="532">
        <v>1</v>
      </c>
      <c r="E81" s="530">
        <v>999999</v>
      </c>
      <c r="F81" s="530">
        <v>999999</v>
      </c>
      <c r="G81" s="530">
        <v>999999</v>
      </c>
      <c r="H81" s="530">
        <v>999999</v>
      </c>
      <c r="I81" s="121">
        <v>0</v>
      </c>
      <c r="J81" s="121">
        <v>0</v>
      </c>
      <c r="N81"/>
      <c r="O81"/>
      <c r="P81"/>
      <c r="Q81"/>
    </row>
    <row r="82" spans="2:17">
      <c r="B82" s="499" t="s">
        <v>86</v>
      </c>
      <c r="C82" s="499" t="s">
        <v>87</v>
      </c>
      <c r="D82" s="396">
        <f>'e (sf)'!C13</f>
        <v>0.13419264841314441</v>
      </c>
      <c r="E82" s="530">
        <v>999999</v>
      </c>
      <c r="F82" s="530">
        <v>35</v>
      </c>
      <c r="G82" s="530">
        <v>999999</v>
      </c>
      <c r="H82" s="530">
        <v>999999</v>
      </c>
      <c r="I82" s="121">
        <v>0</v>
      </c>
      <c r="J82" s="121">
        <v>0</v>
      </c>
      <c r="N82"/>
      <c r="O82"/>
      <c r="P82"/>
      <c r="Q82"/>
    </row>
    <row r="83" spans="2:17">
      <c r="B83" s="499" t="s">
        <v>88</v>
      </c>
      <c r="C83" s="499" t="s">
        <v>89</v>
      </c>
      <c r="D83" s="533">
        <v>-99</v>
      </c>
      <c r="E83" s="530">
        <v>-99</v>
      </c>
      <c r="F83" s="530">
        <v>-99</v>
      </c>
      <c r="G83" s="530">
        <v>-99</v>
      </c>
      <c r="H83" s="530">
        <v>-99</v>
      </c>
      <c r="I83" s="530">
        <v>-99</v>
      </c>
      <c r="J83" s="530">
        <v>-99</v>
      </c>
      <c r="K83" s="499" t="s">
        <v>90</v>
      </c>
      <c r="N83"/>
      <c r="O83"/>
      <c r="P83"/>
      <c r="Q83"/>
    </row>
    <row r="84" spans="2:17">
      <c r="B84" s="499" t="s">
        <v>91</v>
      </c>
      <c r="C84" s="499" t="s">
        <v>92</v>
      </c>
      <c r="D84" s="396">
        <f>S.smolt!B18</f>
        <v>0.72160909090909098</v>
      </c>
      <c r="E84" s="530">
        <v>999999</v>
      </c>
      <c r="F84" s="530">
        <v>5</v>
      </c>
      <c r="G84" s="530">
        <v>999999</v>
      </c>
      <c r="H84" s="530">
        <v>999999</v>
      </c>
      <c r="I84" s="121">
        <v>0</v>
      </c>
      <c r="J84" s="121">
        <v>0</v>
      </c>
      <c r="K84" s="499" t="s">
        <v>93</v>
      </c>
      <c r="N84"/>
      <c r="O84"/>
      <c r="P84"/>
      <c r="Q84"/>
    </row>
    <row r="85" spans="2:17">
      <c r="B85" s="499" t="s">
        <v>94</v>
      </c>
      <c r="C85" s="499" t="s">
        <v>95</v>
      </c>
      <c r="D85" s="396">
        <v>1</v>
      </c>
      <c r="E85" s="530">
        <v>999999</v>
      </c>
      <c r="F85" s="530">
        <v>999999</v>
      </c>
      <c r="G85" s="530">
        <v>999999</v>
      </c>
      <c r="H85" s="530">
        <v>999999</v>
      </c>
      <c r="I85" s="121">
        <v>0</v>
      </c>
      <c r="J85" s="121">
        <v>0</v>
      </c>
      <c r="N85"/>
      <c r="O85"/>
      <c r="P85"/>
      <c r="Q85"/>
    </row>
    <row r="86" spans="2:17">
      <c r="B86" s="499" t="s">
        <v>96</v>
      </c>
      <c r="C86" s="499" t="s">
        <v>97</v>
      </c>
      <c r="D86" s="396">
        <f>m!D92</f>
        <v>8.0873749999999994E-2</v>
      </c>
      <c r="E86" s="530">
        <v>999999</v>
      </c>
      <c r="F86" s="530">
        <v>80</v>
      </c>
      <c r="G86" s="530">
        <v>999999</v>
      </c>
      <c r="H86" s="530">
        <v>999999</v>
      </c>
      <c r="I86" s="121">
        <v>0</v>
      </c>
      <c r="J86" s="121">
        <v>0</v>
      </c>
      <c r="N86"/>
      <c r="O86"/>
      <c r="P86"/>
      <c r="Q86"/>
    </row>
    <row r="87" spans="2:17">
      <c r="B87" s="499" t="s">
        <v>98</v>
      </c>
      <c r="C87" s="499" t="s">
        <v>99</v>
      </c>
      <c r="D87" s="396">
        <f>m!D104</f>
        <v>0.47448750000000001</v>
      </c>
      <c r="E87" s="530">
        <v>999999</v>
      </c>
      <c r="F87" s="530">
        <v>80</v>
      </c>
      <c r="G87" s="530">
        <v>999999</v>
      </c>
      <c r="H87" s="530">
        <v>999999</v>
      </c>
      <c r="I87" s="121">
        <v>0</v>
      </c>
      <c r="J87" s="121">
        <v>0</v>
      </c>
      <c r="N87"/>
      <c r="O87"/>
      <c r="P87"/>
      <c r="Q87"/>
    </row>
    <row r="88" spans="2:17">
      <c r="B88" s="499" t="s">
        <v>100</v>
      </c>
      <c r="C88" s="499" t="s">
        <v>101</v>
      </c>
      <c r="D88" s="396">
        <f>m!D107</f>
        <v>0.65820000000000001</v>
      </c>
      <c r="E88" s="530">
        <v>999999</v>
      </c>
      <c r="F88" s="530">
        <v>80</v>
      </c>
      <c r="G88" s="530">
        <v>999999</v>
      </c>
      <c r="H88" s="530">
        <v>999999</v>
      </c>
      <c r="I88" s="121">
        <v>0</v>
      </c>
      <c r="J88" s="121">
        <v>0</v>
      </c>
      <c r="N88"/>
      <c r="O88"/>
      <c r="P88"/>
      <c r="Q88"/>
    </row>
    <row r="89" spans="2:17">
      <c r="B89" s="499" t="s">
        <v>102</v>
      </c>
      <c r="C89" s="499" t="s">
        <v>103</v>
      </c>
      <c r="D89" s="534">
        <f>m!D107</f>
        <v>0.65820000000000001</v>
      </c>
      <c r="E89" s="530">
        <v>999999</v>
      </c>
      <c r="F89" s="530">
        <v>80</v>
      </c>
      <c r="G89" s="530">
        <v>999999</v>
      </c>
      <c r="H89" s="530">
        <v>999999</v>
      </c>
      <c r="I89" s="121">
        <v>0</v>
      </c>
      <c r="J89" s="121">
        <v>0</v>
      </c>
      <c r="N89"/>
      <c r="O89"/>
      <c r="P89"/>
      <c r="Q89"/>
    </row>
    <row r="90" spans="2:17">
      <c r="B90" s="499" t="s">
        <v>104</v>
      </c>
      <c r="C90" s="499" t="s">
        <v>105</v>
      </c>
      <c r="D90" s="534">
        <f>m!D107</f>
        <v>0.65820000000000001</v>
      </c>
      <c r="E90" s="530">
        <v>999999</v>
      </c>
      <c r="F90" s="530">
        <v>80</v>
      </c>
      <c r="G90" s="530">
        <v>999999</v>
      </c>
      <c r="H90" s="530">
        <v>999999</v>
      </c>
      <c r="I90" s="121">
        <v>0</v>
      </c>
      <c r="J90" s="121">
        <v>0</v>
      </c>
      <c r="N90"/>
      <c r="O90"/>
      <c r="P90"/>
      <c r="Q90"/>
    </row>
    <row r="91" spans="2:17">
      <c r="B91" s="499" t="s">
        <v>106</v>
      </c>
      <c r="C91" s="499" t="s">
        <v>107</v>
      </c>
      <c r="D91" s="534">
        <f>m!D107</f>
        <v>0.65820000000000001</v>
      </c>
      <c r="E91" s="530">
        <v>999999</v>
      </c>
      <c r="F91" s="530">
        <v>80</v>
      </c>
      <c r="G91" s="530">
        <v>999999</v>
      </c>
      <c r="H91" s="530">
        <v>999999</v>
      </c>
      <c r="I91" s="121">
        <v>0</v>
      </c>
      <c r="J91" s="121">
        <v>0</v>
      </c>
      <c r="N91"/>
      <c r="O91"/>
      <c r="P91"/>
      <c r="Q91"/>
    </row>
    <row r="92" spans="2:17">
      <c r="B92" s="499" t="s">
        <v>108</v>
      </c>
      <c r="C92" s="499" t="s">
        <v>109</v>
      </c>
      <c r="D92" s="534">
        <f>m!D107</f>
        <v>0.65820000000000001</v>
      </c>
      <c r="E92" s="530">
        <v>999999</v>
      </c>
      <c r="F92" s="530">
        <v>80</v>
      </c>
      <c r="G92" s="530">
        <v>999999</v>
      </c>
      <c r="H92" s="530">
        <v>999999</v>
      </c>
      <c r="I92" s="121">
        <v>0</v>
      </c>
      <c r="J92" s="121">
        <v>0</v>
      </c>
      <c r="N92"/>
      <c r="O92"/>
      <c r="P92"/>
      <c r="Q92"/>
    </row>
    <row r="93" spans="2:17">
      <c r="B93" s="499" t="s">
        <v>110</v>
      </c>
      <c r="C93" s="499" t="s">
        <v>111</v>
      </c>
      <c r="D93" s="535">
        <v>0</v>
      </c>
      <c r="E93" s="121">
        <v>999999</v>
      </c>
      <c r="F93" s="121">
        <v>999999</v>
      </c>
      <c r="G93" s="121">
        <v>999999</v>
      </c>
      <c r="H93" s="121">
        <v>999999</v>
      </c>
      <c r="I93" s="121">
        <v>0</v>
      </c>
      <c r="J93" s="121">
        <v>0</v>
      </c>
      <c r="N93"/>
      <c r="O93"/>
      <c r="P93"/>
      <c r="Q93"/>
    </row>
    <row r="94" spans="2:17">
      <c r="B94" s="499" t="s">
        <v>112</v>
      </c>
      <c r="C94" s="499" t="s">
        <v>113</v>
      </c>
      <c r="D94" s="535">
        <v>0</v>
      </c>
      <c r="E94" s="121">
        <v>999999</v>
      </c>
      <c r="F94" s="121">
        <v>999999</v>
      </c>
      <c r="G94" s="121">
        <v>999999</v>
      </c>
      <c r="H94" s="121">
        <v>999999</v>
      </c>
      <c r="I94" s="121">
        <v>0</v>
      </c>
      <c r="J94" s="121">
        <v>0</v>
      </c>
      <c r="N94"/>
      <c r="O94"/>
      <c r="P94"/>
      <c r="Q94"/>
    </row>
    <row r="95" spans="2:17">
      <c r="B95" s="499" t="s">
        <v>114</v>
      </c>
      <c r="C95" s="499" t="s">
        <v>115</v>
      </c>
      <c r="D95" s="535">
        <v>0</v>
      </c>
      <c r="E95" s="121">
        <v>999999</v>
      </c>
      <c r="F95" s="121">
        <v>999999</v>
      </c>
      <c r="G95" s="121">
        <v>999999</v>
      </c>
      <c r="H95" s="121">
        <v>999999</v>
      </c>
      <c r="I95" s="121">
        <v>0</v>
      </c>
      <c r="J95" s="121">
        <v>0</v>
      </c>
      <c r="N95"/>
      <c r="O95"/>
      <c r="P95"/>
      <c r="Q95"/>
    </row>
    <row r="96" spans="2:17">
      <c r="N96"/>
      <c r="O96"/>
      <c r="P96"/>
      <c r="Q96"/>
    </row>
    <row r="98" spans="1:56">
      <c r="A98" s="1" t="s">
        <v>116</v>
      </c>
      <c r="H98" s="45"/>
      <c r="AA98" s="499" t="s">
        <v>117</v>
      </c>
    </row>
    <row r="99" spans="1:56">
      <c r="C99" s="499" t="s">
        <v>118</v>
      </c>
      <c r="H99" s="499" t="s">
        <v>119</v>
      </c>
      <c r="V99" s="499" t="s">
        <v>120</v>
      </c>
      <c r="AA99" s="4" t="s">
        <v>121</v>
      </c>
      <c r="AB99" s="4"/>
      <c r="AC99" s="4" t="s">
        <v>122</v>
      </c>
      <c r="AD99" s="4"/>
      <c r="AE99" s="4"/>
      <c r="AF99" s="4"/>
      <c r="AG99" s="4"/>
      <c r="AH99" s="4"/>
      <c r="AI99" s="4"/>
      <c r="AJ99" s="4"/>
      <c r="AK99" s="4" t="s">
        <v>123</v>
      </c>
      <c r="AL99" s="4"/>
    </row>
    <row r="100" spans="1:56">
      <c r="A100" s="627" t="s">
        <v>1157</v>
      </c>
      <c r="B100" s="6" t="s">
        <v>124</v>
      </c>
      <c r="C100" s="6" t="s">
        <v>125</v>
      </c>
      <c r="D100" s="6" t="s">
        <v>126</v>
      </c>
      <c r="E100" s="6" t="s">
        <v>127</v>
      </c>
      <c r="F100" s="6" t="s">
        <v>128</v>
      </c>
      <c r="G100" s="6" t="s">
        <v>49</v>
      </c>
      <c r="H100" s="6" t="s">
        <v>129</v>
      </c>
      <c r="I100" s="6" t="s">
        <v>130</v>
      </c>
      <c r="J100" s="6" t="s">
        <v>131</v>
      </c>
      <c r="K100" s="6" t="s">
        <v>132</v>
      </c>
      <c r="L100" s="6" t="s">
        <v>133</v>
      </c>
      <c r="M100" s="6" t="s">
        <v>134</v>
      </c>
      <c r="N100" s="6" t="s">
        <v>135</v>
      </c>
      <c r="O100" s="6" t="s">
        <v>136</v>
      </c>
      <c r="P100" s="6" t="s">
        <v>137</v>
      </c>
      <c r="Q100" s="6" t="s">
        <v>138</v>
      </c>
      <c r="R100" s="6" t="s">
        <v>139</v>
      </c>
      <c r="S100" s="6" t="s">
        <v>140</v>
      </c>
      <c r="T100" s="6" t="s">
        <v>141</v>
      </c>
      <c r="U100" s="6" t="s">
        <v>142</v>
      </c>
      <c r="V100" s="6" t="s">
        <v>143</v>
      </c>
      <c r="W100" s="6" t="s">
        <v>144</v>
      </c>
      <c r="X100" s="6" t="s">
        <v>145</v>
      </c>
      <c r="Y100" s="6" t="s">
        <v>146</v>
      </c>
      <c r="Z100" s="6" t="s">
        <v>147</v>
      </c>
      <c r="AA100" s="9" t="s">
        <v>148</v>
      </c>
      <c r="AB100" s="9" t="s">
        <v>149</v>
      </c>
      <c r="AC100" s="9" t="s">
        <v>150</v>
      </c>
      <c r="AD100" s="9" t="s">
        <v>130</v>
      </c>
      <c r="AE100" s="9" t="s">
        <v>131</v>
      </c>
      <c r="AF100" s="9" t="s">
        <v>136</v>
      </c>
      <c r="AG100" s="9" t="s">
        <v>137</v>
      </c>
      <c r="AH100" s="9" t="s">
        <v>138</v>
      </c>
      <c r="AI100" s="9" t="s">
        <v>151</v>
      </c>
      <c r="AJ100" s="9" t="s">
        <v>152</v>
      </c>
      <c r="AK100" s="9" t="s">
        <v>153</v>
      </c>
      <c r="AL100" s="9" t="s">
        <v>154</v>
      </c>
      <c r="AM100" s="6" t="s">
        <v>155</v>
      </c>
      <c r="AP100" s="6" t="s">
        <v>49</v>
      </c>
    </row>
    <row r="101" spans="1:56">
      <c r="A101" s="628">
        <v>0</v>
      </c>
      <c r="B101" s="499">
        <v>0</v>
      </c>
      <c r="C101" s="396">
        <f>IF(A101=0,'e (sf)'!U11,IF(A101=1,'Temp-Surv'!K11*'e (sf)'!U11,'Temp-Surv'!K12* 'e (sf)'!U11))</f>
        <v>0.48784836172599255</v>
      </c>
      <c r="D101" s="530">
        <v>999999</v>
      </c>
      <c r="E101" s="530">
        <v>25</v>
      </c>
      <c r="F101" s="530">
        <v>999999</v>
      </c>
      <c r="G101" s="530">
        <v>999999</v>
      </c>
      <c r="H101" s="536">
        <f>'e (sf)'!D22*'e (sf)'!$E$22*2</f>
        <v>2.7716855522955292E-2</v>
      </c>
      <c r="I101" s="536">
        <f>(1-H101)*f!C27</f>
        <v>0</v>
      </c>
      <c r="J101" s="536">
        <f>1-I101-H101</f>
        <v>0.97228314447704467</v>
      </c>
      <c r="K101" s="530">
        <v>999999</v>
      </c>
      <c r="L101" s="530">
        <v>40</v>
      </c>
      <c r="M101" s="530">
        <v>999999</v>
      </c>
      <c r="N101" s="530">
        <v>999999</v>
      </c>
      <c r="O101" s="536">
        <f>'e (sf)'!D22*2*(1-'e (sf)'!$E$22)</f>
        <v>1.9197253351376616E-2</v>
      </c>
      <c r="P101" s="536">
        <f>(1-O101)*f!B27</f>
        <v>0</v>
      </c>
      <c r="Q101" s="536">
        <f>1-P101-O101</f>
        <v>0.98080274664862344</v>
      </c>
      <c r="R101" s="530">
        <v>999999</v>
      </c>
      <c r="S101" s="530">
        <v>40</v>
      </c>
      <c r="T101" s="530">
        <v>999999</v>
      </c>
      <c r="U101" s="530">
        <v>999999</v>
      </c>
      <c r="V101" s="121">
        <v>1</v>
      </c>
      <c r="W101" s="121">
        <v>0</v>
      </c>
      <c r="X101" s="121">
        <v>0</v>
      </c>
      <c r="Y101" s="121">
        <v>0</v>
      </c>
      <c r="Z101" s="121">
        <v>0</v>
      </c>
      <c r="AA101" s="121">
        <v>0</v>
      </c>
      <c r="AB101" s="121">
        <v>0</v>
      </c>
      <c r="AC101" s="121">
        <v>0</v>
      </c>
      <c r="AD101" s="121">
        <v>0</v>
      </c>
      <c r="AE101" s="121">
        <v>0</v>
      </c>
      <c r="AF101" s="121">
        <v>0</v>
      </c>
      <c r="AG101" s="121">
        <v>0</v>
      </c>
      <c r="AH101" s="121">
        <v>0</v>
      </c>
      <c r="AI101" s="121">
        <v>0</v>
      </c>
      <c r="AJ101" s="121">
        <v>0</v>
      </c>
      <c r="AK101" s="121">
        <v>0</v>
      </c>
      <c r="AL101" s="121">
        <v>0</v>
      </c>
      <c r="AM101" s="491">
        <f>f!D17</f>
        <v>11.096877459504327</v>
      </c>
      <c r="AP101" s="435">
        <v>2</v>
      </c>
    </row>
    <row r="102" spans="1:56">
      <c r="B102" s="499">
        <v>1</v>
      </c>
      <c r="C102" s="396">
        <f>IF(A101=0,'e (sf)'!V11,IF(A101=1,'Temp-Surv'!K11*'e (sf)'!V11,'Temp-Surv'!K12* 'e (sf)'!V11))</f>
        <v>0.3434652836786164</v>
      </c>
      <c r="D102" s="530">
        <v>999999</v>
      </c>
      <c r="E102" s="530">
        <v>25</v>
      </c>
      <c r="F102" s="530">
        <v>999999</v>
      </c>
      <c r="G102" s="530">
        <v>999999</v>
      </c>
      <c r="H102" s="536">
        <f>('e (sf)'!F23*(1-O101)*O102)/(1-H101)</f>
        <v>0.68025085432876553</v>
      </c>
      <c r="I102" s="536">
        <f>(1-H102)*f!C28</f>
        <v>0</v>
      </c>
      <c r="J102" s="536">
        <f t="shared" ref="J102:J107" si="0">1-I102-H102</f>
        <v>0.31974914567123447</v>
      </c>
      <c r="K102" s="530">
        <v>999999</v>
      </c>
      <c r="L102" s="530">
        <v>20</v>
      </c>
      <c r="M102" s="530">
        <v>999999</v>
      </c>
      <c r="N102" s="530">
        <v>999999</v>
      </c>
      <c r="O102" s="536">
        <f>('e (sf)'!D23*(2*(1-'e (sf)'!D22)))/('e (sf)'!F23*(1-O101)+(1-O101))</f>
        <v>0.46706284219096106</v>
      </c>
      <c r="P102" s="536">
        <f>(1-O102)*f!B28</f>
        <v>0</v>
      </c>
      <c r="Q102" s="536">
        <f t="shared" ref="Q102:Q107" si="1">1-P102-O102</f>
        <v>0.53293715780903894</v>
      </c>
      <c r="R102" s="530">
        <v>999999</v>
      </c>
      <c r="S102" s="530">
        <v>20</v>
      </c>
      <c r="T102" s="530">
        <v>999999</v>
      </c>
      <c r="U102" s="530">
        <v>999999</v>
      </c>
      <c r="V102" s="121">
        <v>1</v>
      </c>
      <c r="W102" s="121">
        <v>0</v>
      </c>
      <c r="X102" s="121">
        <v>0</v>
      </c>
      <c r="Y102" s="121">
        <v>0</v>
      </c>
      <c r="Z102" s="121">
        <v>0</v>
      </c>
      <c r="AA102" s="121">
        <v>0</v>
      </c>
      <c r="AB102" s="121">
        <v>0</v>
      </c>
      <c r="AC102" s="121">
        <v>0</v>
      </c>
      <c r="AD102" s="121">
        <v>0</v>
      </c>
      <c r="AE102" s="121">
        <v>0</v>
      </c>
      <c r="AF102" s="121">
        <v>0</v>
      </c>
      <c r="AG102" s="121">
        <v>0</v>
      </c>
      <c r="AH102" s="121">
        <v>0</v>
      </c>
      <c r="AI102" s="121">
        <v>0</v>
      </c>
      <c r="AJ102" s="121">
        <v>0</v>
      </c>
      <c r="AK102" s="121">
        <v>0</v>
      </c>
      <c r="AL102" s="121">
        <v>0</v>
      </c>
      <c r="AM102" s="537">
        <f>f!D18</f>
        <v>38.06904278109397</v>
      </c>
      <c r="AP102" s="435">
        <v>2</v>
      </c>
    </row>
    <row r="103" spans="1:56">
      <c r="B103" s="499">
        <v>2</v>
      </c>
      <c r="C103" s="396">
        <f>IF(A101=0,'e (sf)'!W11,IF(A101=1,'Temp-Surv'!K11*'e (sf)'!W11,'Temp-Surv'!K12* 'e (sf)'!W11))</f>
        <v>0.35455328883972964</v>
      </c>
      <c r="D103" s="530">
        <v>999999</v>
      </c>
      <c r="E103" s="530">
        <v>25</v>
      </c>
      <c r="F103" s="530">
        <v>999999</v>
      </c>
      <c r="G103" s="530">
        <v>999999</v>
      </c>
      <c r="H103" s="538">
        <f>'e (sf)'!D24</f>
        <v>0.95</v>
      </c>
      <c r="I103" s="536">
        <f>(1-H103)*f!C29</f>
        <v>5.0000000000000044E-3</v>
      </c>
      <c r="J103" s="536">
        <f t="shared" si="0"/>
        <v>4.500000000000004E-2</v>
      </c>
      <c r="K103" s="530">
        <v>999999</v>
      </c>
      <c r="L103" s="530">
        <v>40</v>
      </c>
      <c r="M103" s="530">
        <v>999999</v>
      </c>
      <c r="N103" s="530">
        <v>999999</v>
      </c>
      <c r="O103" s="539">
        <f>'e (sf)'!E24</f>
        <v>0.65798916723087331</v>
      </c>
      <c r="P103" s="536">
        <f>(1-O103)*f!B29</f>
        <v>0.15390487474610701</v>
      </c>
      <c r="Q103" s="536">
        <f t="shared" si="1"/>
        <v>0.18810595802301966</v>
      </c>
      <c r="R103" s="530">
        <v>999999</v>
      </c>
      <c r="S103" s="530">
        <v>40</v>
      </c>
      <c r="T103" s="530">
        <v>999999</v>
      </c>
      <c r="U103" s="530">
        <v>999999</v>
      </c>
      <c r="V103" s="121">
        <v>1</v>
      </c>
      <c r="W103" s="121">
        <v>0</v>
      </c>
      <c r="X103" s="121">
        <v>0</v>
      </c>
      <c r="Y103" s="121">
        <v>0</v>
      </c>
      <c r="Z103" s="121">
        <v>0</v>
      </c>
      <c r="AA103" s="121">
        <v>0</v>
      </c>
      <c r="AB103" s="121">
        <v>0</v>
      </c>
      <c r="AC103" s="121">
        <v>0</v>
      </c>
      <c r="AD103" s="121">
        <v>0</v>
      </c>
      <c r="AE103" s="121">
        <v>0</v>
      </c>
      <c r="AF103" s="121">
        <v>0</v>
      </c>
      <c r="AG103" s="121">
        <v>0</v>
      </c>
      <c r="AH103" s="121">
        <v>0</v>
      </c>
      <c r="AI103" s="121">
        <v>0</v>
      </c>
      <c r="AJ103" s="121">
        <v>0</v>
      </c>
      <c r="AK103" s="121">
        <v>0</v>
      </c>
      <c r="AL103" s="121">
        <v>0</v>
      </c>
      <c r="AM103" s="537">
        <f>f!D19</f>
        <v>74.701108144460321</v>
      </c>
      <c r="AP103" s="435">
        <v>2</v>
      </c>
    </row>
    <row r="104" spans="1:56">
      <c r="B104" s="499">
        <v>3</v>
      </c>
      <c r="C104" s="534">
        <f>IF(A101=0,'e (sf)'!W11,IF(A101=1,'Temp-Surv'!K11*'e (sf)'!W11,'Temp-Surv'!K12* 'e (sf)'!W11))</f>
        <v>0.35455328883972964</v>
      </c>
      <c r="D104" s="530">
        <v>999999</v>
      </c>
      <c r="E104" s="530">
        <v>25</v>
      </c>
      <c r="F104" s="530">
        <v>999999</v>
      </c>
      <c r="G104" s="530">
        <v>999999</v>
      </c>
      <c r="H104" s="536">
        <v>0</v>
      </c>
      <c r="I104" s="536">
        <f>(1-H104)*f!C30</f>
        <v>0.35</v>
      </c>
      <c r="J104" s="536">
        <f t="shared" si="0"/>
        <v>0.65</v>
      </c>
      <c r="K104" s="530">
        <v>999999</v>
      </c>
      <c r="L104" s="530">
        <v>40</v>
      </c>
      <c r="M104" s="530">
        <v>999999</v>
      </c>
      <c r="N104" s="530">
        <v>999999</v>
      </c>
      <c r="O104" s="536">
        <v>0</v>
      </c>
      <c r="P104" s="536">
        <f>(1-O104)*f!B30</f>
        <v>0.65</v>
      </c>
      <c r="Q104" s="536">
        <f t="shared" si="1"/>
        <v>0.35</v>
      </c>
      <c r="R104" s="530">
        <v>999999</v>
      </c>
      <c r="S104" s="530">
        <v>40</v>
      </c>
      <c r="T104" s="530">
        <v>999999</v>
      </c>
      <c r="U104" s="530">
        <v>999999</v>
      </c>
      <c r="V104" s="121">
        <v>1</v>
      </c>
      <c r="W104" s="121">
        <v>0</v>
      </c>
      <c r="X104" s="121">
        <v>0</v>
      </c>
      <c r="Y104" s="121">
        <v>0</v>
      </c>
      <c r="Z104" s="121">
        <v>0</v>
      </c>
      <c r="AA104" s="121">
        <v>0</v>
      </c>
      <c r="AB104" s="121">
        <v>0</v>
      </c>
      <c r="AC104" s="121">
        <v>0</v>
      </c>
      <c r="AD104" s="121">
        <v>0</v>
      </c>
      <c r="AE104" s="121">
        <v>0</v>
      </c>
      <c r="AF104" s="121">
        <v>0</v>
      </c>
      <c r="AG104" s="121">
        <v>0</v>
      </c>
      <c r="AH104" s="121">
        <v>0</v>
      </c>
      <c r="AI104" s="121">
        <v>0</v>
      </c>
      <c r="AJ104" s="121">
        <v>0</v>
      </c>
      <c r="AK104" s="121">
        <v>0</v>
      </c>
      <c r="AL104" s="121">
        <v>0</v>
      </c>
      <c r="AM104" s="537">
        <f>f!D20</f>
        <v>123.40228269788216</v>
      </c>
      <c r="AP104" s="435">
        <v>2</v>
      </c>
      <c r="BD104" s="15"/>
    </row>
    <row r="105" spans="1:56">
      <c r="B105" s="499">
        <v>4</v>
      </c>
      <c r="C105" s="534">
        <f>IF(A101=0,'e (sf)'!W11,IF(A101=1,'Temp-Surv'!K11*'e (sf)'!W11,'Temp-Surv'!K12* 'e (sf)'!W11))</f>
        <v>0.35455328883972964</v>
      </c>
      <c r="D105" s="530">
        <v>999999</v>
      </c>
      <c r="E105" s="530">
        <v>25</v>
      </c>
      <c r="F105" s="530">
        <v>999999</v>
      </c>
      <c r="G105" s="530">
        <v>999999</v>
      </c>
      <c r="H105" s="536">
        <v>0</v>
      </c>
      <c r="I105" s="536">
        <f>(1-H105)*f!C31</f>
        <v>0.6</v>
      </c>
      <c r="J105" s="536">
        <f t="shared" si="0"/>
        <v>0.4</v>
      </c>
      <c r="K105" s="530">
        <v>999999</v>
      </c>
      <c r="L105" s="530">
        <v>40</v>
      </c>
      <c r="M105" s="530">
        <v>999999</v>
      </c>
      <c r="N105" s="530">
        <v>999999</v>
      </c>
      <c r="O105" s="536">
        <v>0</v>
      </c>
      <c r="P105" s="536">
        <f>(1-O105)*f!B31</f>
        <v>0.8</v>
      </c>
      <c r="Q105" s="536">
        <f t="shared" si="1"/>
        <v>0.19999999999999996</v>
      </c>
      <c r="R105" s="530">
        <v>999999</v>
      </c>
      <c r="S105" s="530">
        <v>40</v>
      </c>
      <c r="T105" s="530">
        <v>999999</v>
      </c>
      <c r="U105" s="530">
        <v>999999</v>
      </c>
      <c r="V105" s="121">
        <v>1</v>
      </c>
      <c r="W105" s="121">
        <v>0</v>
      </c>
      <c r="X105" s="121">
        <v>0</v>
      </c>
      <c r="Y105" s="121">
        <v>0</v>
      </c>
      <c r="Z105" s="121">
        <v>0</v>
      </c>
      <c r="AA105" s="121">
        <v>0</v>
      </c>
      <c r="AB105" s="121">
        <v>0</v>
      </c>
      <c r="AC105" s="121">
        <v>0</v>
      </c>
      <c r="AD105" s="121">
        <v>0</v>
      </c>
      <c r="AE105" s="121">
        <v>0</v>
      </c>
      <c r="AF105" s="121">
        <v>0</v>
      </c>
      <c r="AG105" s="121">
        <v>0</v>
      </c>
      <c r="AH105" s="121">
        <v>0</v>
      </c>
      <c r="AI105" s="121">
        <v>0</v>
      </c>
      <c r="AJ105" s="121">
        <v>0</v>
      </c>
      <c r="AK105" s="121">
        <v>0</v>
      </c>
      <c r="AL105" s="121">
        <v>0</v>
      </c>
      <c r="AM105" s="537">
        <f>f!D21</f>
        <v>202.03699174910949</v>
      </c>
      <c r="AP105" s="435">
        <v>2</v>
      </c>
    </row>
    <row r="106" spans="1:56">
      <c r="B106" s="499">
        <v>5</v>
      </c>
      <c r="C106" s="534">
        <f>IF(A101=0,'e (sf)'!W11,IF(A101=1,'Temp-Surv'!K11*'e (sf)'!W11,'Temp-Surv'!K12* 'e (sf)'!W11))</f>
        <v>0.35455328883972964</v>
      </c>
      <c r="D106" s="530">
        <v>999999</v>
      </c>
      <c r="E106" s="530">
        <v>25</v>
      </c>
      <c r="F106" s="530">
        <v>999999</v>
      </c>
      <c r="G106" s="530">
        <v>999999</v>
      </c>
      <c r="H106" s="536">
        <v>0</v>
      </c>
      <c r="I106" s="536">
        <f>(1-H106)*f!C32</f>
        <v>0.8</v>
      </c>
      <c r="J106" s="536">
        <f t="shared" si="0"/>
        <v>0.19999999999999996</v>
      </c>
      <c r="K106" s="530">
        <v>999999</v>
      </c>
      <c r="L106" s="530">
        <v>40</v>
      </c>
      <c r="M106" s="530">
        <v>999999</v>
      </c>
      <c r="N106" s="530">
        <v>999999</v>
      </c>
      <c r="O106" s="536">
        <v>0</v>
      </c>
      <c r="P106" s="536">
        <f>(1-O106)*f!B32</f>
        <v>1</v>
      </c>
      <c r="Q106" s="536">
        <f t="shared" si="1"/>
        <v>0</v>
      </c>
      <c r="R106" s="530">
        <v>999999</v>
      </c>
      <c r="S106" s="530">
        <v>40</v>
      </c>
      <c r="T106" s="530">
        <v>999999</v>
      </c>
      <c r="U106" s="530">
        <v>999999</v>
      </c>
      <c r="V106" s="121">
        <v>1</v>
      </c>
      <c r="W106" s="121">
        <v>0</v>
      </c>
      <c r="X106" s="121">
        <v>0</v>
      </c>
      <c r="Y106" s="121">
        <v>0</v>
      </c>
      <c r="Z106" s="121">
        <v>0</v>
      </c>
      <c r="AA106" s="121">
        <v>0</v>
      </c>
      <c r="AB106" s="121">
        <v>0</v>
      </c>
      <c r="AC106" s="121">
        <v>0</v>
      </c>
      <c r="AD106" s="121">
        <v>0</v>
      </c>
      <c r="AE106" s="121">
        <v>0</v>
      </c>
      <c r="AF106" s="121">
        <v>0</v>
      </c>
      <c r="AG106" s="121">
        <v>0</v>
      </c>
      <c r="AH106" s="121">
        <v>0</v>
      </c>
      <c r="AI106" s="121">
        <v>0</v>
      </c>
      <c r="AJ106" s="121">
        <v>0</v>
      </c>
      <c r="AK106" s="121">
        <v>0</v>
      </c>
      <c r="AL106" s="121">
        <v>0</v>
      </c>
      <c r="AM106" s="537">
        <f>f!D22</f>
        <v>247.57548242307968</v>
      </c>
      <c r="AP106" s="435">
        <v>2</v>
      </c>
    </row>
    <row r="107" spans="1:56">
      <c r="B107" s="499">
        <v>6</v>
      </c>
      <c r="C107" s="534">
        <f>IF(A101=0,'e (sf)'!W11,IF(A101=1,'Temp-Surv'!K11*'e (sf)'!W11,'Temp-Surv'!K12* 'e (sf)'!W11))</f>
        <v>0.35455328883972964</v>
      </c>
      <c r="D107" s="530">
        <v>999999</v>
      </c>
      <c r="E107" s="530">
        <v>25</v>
      </c>
      <c r="F107" s="530">
        <v>999999</v>
      </c>
      <c r="G107" s="530">
        <v>999999</v>
      </c>
      <c r="H107" s="536">
        <v>0</v>
      </c>
      <c r="I107" s="536">
        <f>(1-H107)*f!C33</f>
        <v>1</v>
      </c>
      <c r="J107" s="536">
        <f t="shared" si="0"/>
        <v>0</v>
      </c>
      <c r="K107" s="530">
        <v>999999</v>
      </c>
      <c r="L107" s="530">
        <v>40</v>
      </c>
      <c r="M107" s="530">
        <v>999999</v>
      </c>
      <c r="N107" s="530">
        <v>999999</v>
      </c>
      <c r="O107" s="536">
        <v>0</v>
      </c>
      <c r="P107" s="536">
        <f>(1-O107)*f!B33</f>
        <v>1</v>
      </c>
      <c r="Q107" s="536">
        <f t="shared" si="1"/>
        <v>0</v>
      </c>
      <c r="R107" s="530">
        <v>999999</v>
      </c>
      <c r="S107" s="530">
        <v>40</v>
      </c>
      <c r="T107" s="530">
        <v>999999</v>
      </c>
      <c r="U107" s="530">
        <v>999999</v>
      </c>
      <c r="V107" s="121">
        <v>1</v>
      </c>
      <c r="W107" s="121">
        <v>0</v>
      </c>
      <c r="X107" s="121">
        <v>0</v>
      </c>
      <c r="Y107" s="121">
        <v>0</v>
      </c>
      <c r="Z107" s="121">
        <v>0</v>
      </c>
      <c r="AA107" s="121">
        <v>0</v>
      </c>
      <c r="AB107" s="121">
        <v>0</v>
      </c>
      <c r="AC107" s="121">
        <v>0</v>
      </c>
      <c r="AD107" s="121">
        <v>0</v>
      </c>
      <c r="AE107" s="121">
        <v>0</v>
      </c>
      <c r="AF107" s="121">
        <v>0</v>
      </c>
      <c r="AG107" s="121">
        <v>0</v>
      </c>
      <c r="AH107" s="121">
        <v>0</v>
      </c>
      <c r="AI107" s="121">
        <v>0</v>
      </c>
      <c r="AJ107" s="121">
        <v>0</v>
      </c>
      <c r="AK107" s="121">
        <v>0</v>
      </c>
      <c r="AL107" s="121">
        <v>0</v>
      </c>
      <c r="AM107" s="537">
        <f>f!D23</f>
        <v>315.08610858755986</v>
      </c>
      <c r="AP107" s="416">
        <v>9999</v>
      </c>
    </row>
    <row r="108" spans="1:56">
      <c r="B108" s="499">
        <v>7</v>
      </c>
      <c r="C108" s="535">
        <v>0</v>
      </c>
      <c r="D108" s="530">
        <v>999999</v>
      </c>
      <c r="E108" s="530">
        <v>999999</v>
      </c>
      <c r="F108" s="530">
        <v>999999</v>
      </c>
      <c r="G108" s="530">
        <v>999999</v>
      </c>
      <c r="H108" s="535">
        <v>0</v>
      </c>
      <c r="I108" s="535">
        <v>1</v>
      </c>
      <c r="J108" s="535">
        <v>0</v>
      </c>
      <c r="K108" s="530">
        <v>999999</v>
      </c>
      <c r="L108" s="530">
        <v>999999</v>
      </c>
      <c r="M108" s="530">
        <v>999999</v>
      </c>
      <c r="N108" s="530">
        <v>999999</v>
      </c>
      <c r="O108" s="535">
        <v>0</v>
      </c>
      <c r="P108" s="535">
        <v>1</v>
      </c>
      <c r="Q108" s="535">
        <v>0</v>
      </c>
      <c r="R108" s="530">
        <v>999999</v>
      </c>
      <c r="S108" s="530">
        <v>999999</v>
      </c>
      <c r="T108" s="530">
        <v>999999</v>
      </c>
      <c r="U108" s="530">
        <v>999999</v>
      </c>
      <c r="V108" s="121">
        <v>1</v>
      </c>
      <c r="W108" s="121">
        <v>0</v>
      </c>
      <c r="X108" s="121">
        <v>0</v>
      </c>
      <c r="Y108" s="121">
        <v>0</v>
      </c>
      <c r="Z108" s="121">
        <v>0</v>
      </c>
      <c r="AA108" s="121">
        <v>0</v>
      </c>
      <c r="AB108" s="121">
        <v>0</v>
      </c>
      <c r="AC108" s="121">
        <v>0</v>
      </c>
      <c r="AD108" s="121">
        <v>0</v>
      </c>
      <c r="AE108" s="121">
        <v>0</v>
      </c>
      <c r="AF108" s="121">
        <v>0</v>
      </c>
      <c r="AG108" s="121">
        <v>0</v>
      </c>
      <c r="AH108" s="121">
        <v>0</v>
      </c>
      <c r="AI108" s="121">
        <v>0</v>
      </c>
      <c r="AJ108" s="121">
        <v>0</v>
      </c>
      <c r="AK108" s="121">
        <v>0</v>
      </c>
      <c r="AL108" s="121">
        <v>0</v>
      </c>
      <c r="AM108" s="537">
        <f>AM107</f>
        <v>315.08610858755986</v>
      </c>
      <c r="AP108" s="7">
        <v>9999</v>
      </c>
    </row>
    <row r="109" spans="1:56">
      <c r="B109" s="499">
        <v>8</v>
      </c>
      <c r="C109" s="535">
        <v>0</v>
      </c>
      <c r="D109" s="530">
        <v>999999</v>
      </c>
      <c r="E109" s="530">
        <v>999999</v>
      </c>
      <c r="F109" s="530">
        <v>999999</v>
      </c>
      <c r="G109" s="530">
        <v>999999</v>
      </c>
      <c r="H109" s="535">
        <v>0</v>
      </c>
      <c r="I109" s="535">
        <v>1</v>
      </c>
      <c r="J109" s="535">
        <v>0</v>
      </c>
      <c r="K109" s="530">
        <v>999999</v>
      </c>
      <c r="L109" s="530">
        <v>999999</v>
      </c>
      <c r="M109" s="530">
        <v>999999</v>
      </c>
      <c r="N109" s="530">
        <v>999999</v>
      </c>
      <c r="O109" s="535">
        <v>0</v>
      </c>
      <c r="P109" s="535">
        <v>1</v>
      </c>
      <c r="Q109" s="535">
        <v>0</v>
      </c>
      <c r="R109" s="530">
        <v>999999</v>
      </c>
      <c r="S109" s="530">
        <v>999999</v>
      </c>
      <c r="T109" s="530">
        <v>999999</v>
      </c>
      <c r="U109" s="530">
        <v>999999</v>
      </c>
      <c r="V109" s="121">
        <v>1</v>
      </c>
      <c r="W109" s="121">
        <v>0</v>
      </c>
      <c r="X109" s="121">
        <v>0</v>
      </c>
      <c r="Y109" s="121">
        <v>0</v>
      </c>
      <c r="Z109" s="121">
        <v>0</v>
      </c>
      <c r="AA109" s="121">
        <v>0</v>
      </c>
      <c r="AB109" s="121">
        <v>0</v>
      </c>
      <c r="AC109" s="121">
        <v>0</v>
      </c>
      <c r="AD109" s="121">
        <v>0</v>
      </c>
      <c r="AE109" s="121">
        <v>0</v>
      </c>
      <c r="AF109" s="121">
        <v>0</v>
      </c>
      <c r="AG109" s="121">
        <v>0</v>
      </c>
      <c r="AH109" s="121">
        <v>0</v>
      </c>
      <c r="AI109" s="121">
        <v>0</v>
      </c>
      <c r="AJ109" s="121">
        <v>0</v>
      </c>
      <c r="AK109" s="121">
        <v>0</v>
      </c>
      <c r="AL109" s="121">
        <v>0</v>
      </c>
      <c r="AM109" s="537">
        <f>AM108</f>
        <v>315.08610858755986</v>
      </c>
      <c r="AP109" s="7">
        <v>9999</v>
      </c>
    </row>
    <row r="110" spans="1:56">
      <c r="B110" s="499">
        <v>9</v>
      </c>
      <c r="C110" s="535">
        <v>0</v>
      </c>
      <c r="D110" s="530">
        <v>999999</v>
      </c>
      <c r="E110" s="530">
        <v>999999</v>
      </c>
      <c r="F110" s="530">
        <v>999999</v>
      </c>
      <c r="G110" s="530">
        <v>999999</v>
      </c>
      <c r="H110" s="535">
        <v>0</v>
      </c>
      <c r="I110" s="535">
        <v>1</v>
      </c>
      <c r="J110" s="535">
        <v>0</v>
      </c>
      <c r="K110" s="530">
        <v>999999</v>
      </c>
      <c r="L110" s="530">
        <v>999999</v>
      </c>
      <c r="M110" s="530">
        <v>999999</v>
      </c>
      <c r="N110" s="530">
        <v>999999</v>
      </c>
      <c r="O110" s="535">
        <v>0</v>
      </c>
      <c r="P110" s="535">
        <v>1</v>
      </c>
      <c r="Q110" s="535">
        <v>0</v>
      </c>
      <c r="R110" s="530">
        <v>999999</v>
      </c>
      <c r="S110" s="530">
        <v>999999</v>
      </c>
      <c r="T110" s="530">
        <v>999999</v>
      </c>
      <c r="U110" s="530">
        <v>999999</v>
      </c>
      <c r="V110" s="121">
        <v>1</v>
      </c>
      <c r="W110" s="121">
        <v>0</v>
      </c>
      <c r="X110" s="121">
        <v>0</v>
      </c>
      <c r="Y110" s="121">
        <v>0</v>
      </c>
      <c r="Z110" s="121">
        <v>0</v>
      </c>
      <c r="AA110" s="121">
        <v>0</v>
      </c>
      <c r="AB110" s="121">
        <v>0</v>
      </c>
      <c r="AC110" s="121">
        <v>0</v>
      </c>
      <c r="AD110" s="121">
        <v>0</v>
      </c>
      <c r="AE110" s="121">
        <v>0</v>
      </c>
      <c r="AF110" s="121">
        <v>0</v>
      </c>
      <c r="AG110" s="121">
        <v>0</v>
      </c>
      <c r="AH110" s="121">
        <v>0</v>
      </c>
      <c r="AI110" s="121">
        <v>0</v>
      </c>
      <c r="AJ110" s="121">
        <v>0</v>
      </c>
      <c r="AK110" s="121">
        <v>0</v>
      </c>
      <c r="AL110" s="121">
        <v>0</v>
      </c>
      <c r="AM110" s="537">
        <f>AM109</f>
        <v>315.08610858755986</v>
      </c>
      <c r="AP110" s="7">
        <v>9999</v>
      </c>
    </row>
    <row r="113" spans="1:63">
      <c r="A113" s="1" t="s">
        <v>160</v>
      </c>
      <c r="S113" s="499" t="s">
        <v>161</v>
      </c>
    </row>
    <row r="114" spans="1:63">
      <c r="E114" s="499" t="s">
        <v>162</v>
      </c>
      <c r="N114" s="499" t="s">
        <v>163</v>
      </c>
      <c r="S114" s="4" t="s">
        <v>164</v>
      </c>
      <c r="T114" s="4"/>
      <c r="U114" s="4"/>
      <c r="V114" s="4"/>
      <c r="W114" s="4" t="s">
        <v>165</v>
      </c>
      <c r="X114" s="4"/>
      <c r="AA114"/>
      <c r="AB114"/>
      <c r="AC114"/>
      <c r="AD114"/>
    </row>
    <row r="115" spans="1:63">
      <c r="B115" s="6" t="s">
        <v>75</v>
      </c>
      <c r="C115" s="6" t="s">
        <v>166</v>
      </c>
      <c r="D115" s="401" t="s">
        <v>167</v>
      </c>
      <c r="E115" s="6" t="s">
        <v>168</v>
      </c>
      <c r="F115" s="6" t="s">
        <v>169</v>
      </c>
      <c r="G115" s="6" t="s">
        <v>170</v>
      </c>
      <c r="H115" s="6" t="s">
        <v>135</v>
      </c>
      <c r="I115" s="401" t="s">
        <v>171</v>
      </c>
      <c r="J115" s="6" t="s">
        <v>172</v>
      </c>
      <c r="K115" s="6" t="s">
        <v>173</v>
      </c>
      <c r="L115" s="6" t="s">
        <v>174</v>
      </c>
      <c r="M115" s="6" t="s">
        <v>142</v>
      </c>
      <c r="N115" s="6" t="s">
        <v>175</v>
      </c>
      <c r="O115" s="6" t="s">
        <v>176</v>
      </c>
      <c r="P115" s="6" t="s">
        <v>177</v>
      </c>
      <c r="Q115" s="6" t="s">
        <v>178</v>
      </c>
      <c r="R115" s="6" t="s">
        <v>12</v>
      </c>
      <c r="S115" s="9" t="s">
        <v>179</v>
      </c>
      <c r="T115" s="9" t="s">
        <v>180</v>
      </c>
      <c r="U115" s="9" t="s">
        <v>179</v>
      </c>
      <c r="V115" s="9" t="s">
        <v>180</v>
      </c>
      <c r="W115" s="9" t="s">
        <v>181</v>
      </c>
      <c r="X115" s="9" t="s">
        <v>33</v>
      </c>
      <c r="AA115"/>
      <c r="AB115"/>
      <c r="AC115"/>
      <c r="AD115"/>
    </row>
    <row r="116" spans="1:63">
      <c r="B116" s="499" t="s">
        <v>96</v>
      </c>
      <c r="C116" s="499">
        <v>1</v>
      </c>
      <c r="D116" s="396">
        <f>m!D111</f>
        <v>0.45939999999999998</v>
      </c>
      <c r="E116" s="530">
        <v>999999</v>
      </c>
      <c r="F116" s="530">
        <v>40</v>
      </c>
      <c r="G116" s="530">
        <v>999999</v>
      </c>
      <c r="H116" s="530">
        <v>999999</v>
      </c>
      <c r="I116" s="396">
        <f>D116</f>
        <v>0.45939999999999998</v>
      </c>
      <c r="J116" s="530">
        <v>999999</v>
      </c>
      <c r="K116" s="530">
        <v>40</v>
      </c>
      <c r="L116" s="530">
        <v>999999</v>
      </c>
      <c r="M116" s="530">
        <v>999999</v>
      </c>
      <c r="N116" s="540">
        <v>1.0000000000000001E+50</v>
      </c>
      <c r="O116" s="121">
        <v>0</v>
      </c>
      <c r="P116" s="121">
        <v>0</v>
      </c>
      <c r="Q116" s="121">
        <v>0</v>
      </c>
      <c r="R116" s="121">
        <v>0</v>
      </c>
      <c r="S116" s="121">
        <v>0</v>
      </c>
      <c r="T116" s="121">
        <v>0</v>
      </c>
      <c r="U116" s="121">
        <v>0</v>
      </c>
      <c r="V116" s="121">
        <v>0</v>
      </c>
      <c r="W116" s="121">
        <v>0</v>
      </c>
      <c r="X116" s="121">
        <v>0</v>
      </c>
      <c r="AA116"/>
      <c r="AB116"/>
      <c r="AC116"/>
      <c r="AD116"/>
    </row>
    <row r="117" spans="1:63">
      <c r="B117" s="499" t="s">
        <v>98</v>
      </c>
      <c r="C117" s="499">
        <v>2</v>
      </c>
      <c r="D117" s="396">
        <f>m!D115</f>
        <v>0.98619999999999997</v>
      </c>
      <c r="E117" s="530">
        <v>999999</v>
      </c>
      <c r="F117" s="530">
        <v>40</v>
      </c>
      <c r="G117" s="530">
        <v>999999</v>
      </c>
      <c r="H117" s="530">
        <v>999999</v>
      </c>
      <c r="I117" s="396">
        <f>D117</f>
        <v>0.98619999999999997</v>
      </c>
      <c r="J117" s="530">
        <v>999999</v>
      </c>
      <c r="K117" s="530">
        <v>40</v>
      </c>
      <c r="L117" s="530">
        <v>999999</v>
      </c>
      <c r="M117" s="530">
        <v>999999</v>
      </c>
      <c r="N117" s="540">
        <v>1.0000000000000001E+50</v>
      </c>
      <c r="O117" s="121">
        <v>0</v>
      </c>
      <c r="P117" s="121">
        <v>0</v>
      </c>
      <c r="Q117" s="121">
        <v>0</v>
      </c>
      <c r="R117" s="121">
        <v>0</v>
      </c>
      <c r="S117" s="121">
        <v>0</v>
      </c>
      <c r="T117" s="121">
        <v>0</v>
      </c>
      <c r="U117" s="121">
        <v>0</v>
      </c>
      <c r="V117" s="121">
        <v>0</v>
      </c>
      <c r="W117" s="121">
        <v>0</v>
      </c>
      <c r="X117" s="121">
        <v>0</v>
      </c>
      <c r="AA117"/>
      <c r="AB117"/>
      <c r="AC117"/>
      <c r="AD117"/>
    </row>
    <row r="118" spans="1:63">
      <c r="B118" s="499" t="s">
        <v>100</v>
      </c>
      <c r="C118" s="499">
        <v>3</v>
      </c>
      <c r="D118" s="396">
        <v>1</v>
      </c>
      <c r="E118" s="530">
        <v>999999</v>
      </c>
      <c r="F118" s="530">
        <v>40</v>
      </c>
      <c r="G118" s="530">
        <v>999999</v>
      </c>
      <c r="H118" s="530">
        <v>999999</v>
      </c>
      <c r="I118" s="396">
        <f>D118</f>
        <v>1</v>
      </c>
      <c r="J118" s="530">
        <v>999999</v>
      </c>
      <c r="K118" s="530">
        <v>40</v>
      </c>
      <c r="L118" s="530">
        <v>999999</v>
      </c>
      <c r="M118" s="530">
        <v>999999</v>
      </c>
      <c r="N118" s="540">
        <v>1.0000000000000001E+50</v>
      </c>
      <c r="O118" s="121">
        <v>0</v>
      </c>
      <c r="P118" s="121">
        <v>0</v>
      </c>
      <c r="Q118" s="121">
        <v>0</v>
      </c>
      <c r="R118" s="121">
        <v>0</v>
      </c>
      <c r="S118" s="121">
        <v>0</v>
      </c>
      <c r="T118" s="121">
        <v>0</v>
      </c>
      <c r="U118" s="121">
        <v>0</v>
      </c>
      <c r="V118" s="121">
        <v>0</v>
      </c>
      <c r="W118" s="121">
        <v>0</v>
      </c>
      <c r="X118" s="121">
        <v>0</v>
      </c>
      <c r="AA118"/>
      <c r="AB118"/>
      <c r="AC118"/>
      <c r="AD118"/>
    </row>
    <row r="119" spans="1:63">
      <c r="B119" s="499" t="s">
        <v>102</v>
      </c>
      <c r="C119" s="499">
        <v>4</v>
      </c>
      <c r="D119" s="396">
        <v>1</v>
      </c>
      <c r="E119" s="530">
        <v>999999</v>
      </c>
      <c r="F119" s="530">
        <v>40</v>
      </c>
      <c r="G119" s="530">
        <v>999999</v>
      </c>
      <c r="H119" s="530">
        <v>999999</v>
      </c>
      <c r="I119" s="396">
        <v>1</v>
      </c>
      <c r="J119" s="530">
        <v>999999</v>
      </c>
      <c r="K119" s="530">
        <v>40</v>
      </c>
      <c r="L119" s="530">
        <v>999999</v>
      </c>
      <c r="M119" s="530">
        <v>999999</v>
      </c>
      <c r="N119" s="540">
        <v>1.0000000000000001E+50</v>
      </c>
      <c r="O119" s="121">
        <v>0</v>
      </c>
      <c r="P119" s="121">
        <v>0</v>
      </c>
      <c r="Q119" s="121">
        <v>0</v>
      </c>
      <c r="R119" s="121">
        <v>0</v>
      </c>
      <c r="S119" s="121">
        <v>0</v>
      </c>
      <c r="T119" s="121">
        <v>0</v>
      </c>
      <c r="U119" s="121">
        <v>0</v>
      </c>
      <c r="V119" s="121">
        <v>0</v>
      </c>
      <c r="W119" s="121">
        <v>0</v>
      </c>
      <c r="X119" s="121">
        <v>0</v>
      </c>
      <c r="AA119"/>
      <c r="AB119"/>
      <c r="AC119"/>
      <c r="AD119"/>
      <c r="BK119" s="499" t="s">
        <v>182</v>
      </c>
    </row>
    <row r="120" spans="1:63">
      <c r="B120" s="499" t="s">
        <v>104</v>
      </c>
      <c r="C120" s="499">
        <v>5</v>
      </c>
      <c r="D120" s="396">
        <v>1</v>
      </c>
      <c r="E120" s="530">
        <v>999999</v>
      </c>
      <c r="F120" s="530">
        <v>999999</v>
      </c>
      <c r="G120" s="530">
        <v>999999</v>
      </c>
      <c r="H120" s="530">
        <v>999999</v>
      </c>
      <c r="I120" s="396">
        <v>1</v>
      </c>
      <c r="J120" s="530">
        <v>999999</v>
      </c>
      <c r="K120" s="530">
        <v>40</v>
      </c>
      <c r="L120" s="530">
        <v>999999</v>
      </c>
      <c r="M120" s="530">
        <v>999999</v>
      </c>
      <c r="N120" s="540">
        <v>1.0000000000000001E+50</v>
      </c>
      <c r="O120" s="121">
        <v>0</v>
      </c>
      <c r="P120" s="121">
        <v>0</v>
      </c>
      <c r="Q120" s="121">
        <v>0</v>
      </c>
      <c r="R120" s="121">
        <v>0</v>
      </c>
      <c r="S120" s="121">
        <v>0</v>
      </c>
      <c r="T120" s="121">
        <v>0</v>
      </c>
      <c r="U120" s="121">
        <v>0</v>
      </c>
      <c r="V120" s="121">
        <v>0</v>
      </c>
      <c r="W120" s="121">
        <v>0</v>
      </c>
      <c r="X120" s="121">
        <v>0</v>
      </c>
      <c r="AA120"/>
      <c r="AB120"/>
      <c r="AC120"/>
      <c r="AD120"/>
    </row>
    <row r="121" spans="1:63">
      <c r="B121" s="499" t="s">
        <v>106</v>
      </c>
      <c r="C121" s="499">
        <v>6</v>
      </c>
      <c r="D121" s="396">
        <v>1</v>
      </c>
      <c r="E121" s="530">
        <v>999999</v>
      </c>
      <c r="F121" s="530">
        <v>999999</v>
      </c>
      <c r="G121" s="530">
        <v>999999</v>
      </c>
      <c r="H121" s="530">
        <v>999999</v>
      </c>
      <c r="I121" s="396">
        <v>1</v>
      </c>
      <c r="J121" s="530">
        <v>999999</v>
      </c>
      <c r="K121" s="530">
        <v>40</v>
      </c>
      <c r="L121" s="530">
        <v>999999</v>
      </c>
      <c r="M121" s="530">
        <v>999999</v>
      </c>
      <c r="N121" s="540">
        <v>1.0000000000000001E+50</v>
      </c>
      <c r="O121" s="121">
        <v>0</v>
      </c>
      <c r="P121" s="121">
        <v>0</v>
      </c>
      <c r="Q121" s="121">
        <v>0</v>
      </c>
      <c r="R121" s="121">
        <v>0</v>
      </c>
      <c r="S121" s="121">
        <v>0</v>
      </c>
      <c r="T121" s="121">
        <v>0</v>
      </c>
      <c r="U121" s="121">
        <v>0</v>
      </c>
      <c r="V121" s="121">
        <v>0</v>
      </c>
      <c r="W121" s="121">
        <v>0</v>
      </c>
      <c r="X121" s="121">
        <v>0</v>
      </c>
      <c r="AA121"/>
      <c r="AB121"/>
      <c r="AC121"/>
      <c r="AD121"/>
    </row>
    <row r="122" spans="1:63">
      <c r="B122" s="499" t="s">
        <v>108</v>
      </c>
      <c r="C122" s="499">
        <v>7</v>
      </c>
      <c r="D122" s="396">
        <v>1</v>
      </c>
      <c r="E122" s="530">
        <v>999999</v>
      </c>
      <c r="F122" s="530">
        <v>999999</v>
      </c>
      <c r="G122" s="530">
        <v>999999</v>
      </c>
      <c r="H122" s="530">
        <v>999999</v>
      </c>
      <c r="I122" s="396">
        <v>1</v>
      </c>
      <c r="J122" s="530">
        <v>999999</v>
      </c>
      <c r="K122" s="530">
        <v>40</v>
      </c>
      <c r="L122" s="530">
        <v>999999</v>
      </c>
      <c r="M122" s="530">
        <v>999999</v>
      </c>
      <c r="N122" s="540">
        <v>1.0000000000000001E+50</v>
      </c>
      <c r="O122" s="121">
        <v>0</v>
      </c>
      <c r="P122" s="121">
        <v>0</v>
      </c>
      <c r="Q122" s="121">
        <v>0</v>
      </c>
      <c r="R122" s="121">
        <v>0</v>
      </c>
      <c r="S122" s="121">
        <v>0</v>
      </c>
      <c r="T122" s="121">
        <v>0</v>
      </c>
      <c r="U122" s="121">
        <v>0</v>
      </c>
      <c r="V122" s="121">
        <v>0</v>
      </c>
      <c r="W122" s="121">
        <v>0</v>
      </c>
      <c r="X122" s="121">
        <v>0</v>
      </c>
      <c r="AA122"/>
      <c r="AB122"/>
      <c r="AC122"/>
      <c r="AD122"/>
    </row>
    <row r="123" spans="1:63">
      <c r="B123" s="499" t="s">
        <v>110</v>
      </c>
      <c r="C123" s="499">
        <v>8</v>
      </c>
      <c r="D123" s="396">
        <v>0</v>
      </c>
      <c r="E123" s="530">
        <v>999999</v>
      </c>
      <c r="F123" s="530">
        <v>999999</v>
      </c>
      <c r="G123" s="530">
        <v>999999</v>
      </c>
      <c r="H123" s="530">
        <v>999999</v>
      </c>
      <c r="I123" s="396">
        <v>0</v>
      </c>
      <c r="J123" s="530">
        <v>999999</v>
      </c>
      <c r="K123" s="530">
        <v>999999</v>
      </c>
      <c r="L123" s="530">
        <v>999999</v>
      </c>
      <c r="M123" s="530">
        <v>999999</v>
      </c>
      <c r="N123" s="540">
        <v>1.0000000000000001E+50</v>
      </c>
      <c r="O123" s="121">
        <v>0</v>
      </c>
      <c r="P123" s="121">
        <v>0</v>
      </c>
      <c r="Q123" s="121">
        <v>0</v>
      </c>
      <c r="R123" s="121">
        <v>0</v>
      </c>
      <c r="S123" s="121">
        <v>0</v>
      </c>
      <c r="T123" s="121">
        <v>0</v>
      </c>
      <c r="U123" s="121">
        <v>0</v>
      </c>
      <c r="V123" s="121">
        <v>0</v>
      </c>
      <c r="W123" s="121">
        <v>0</v>
      </c>
      <c r="X123" s="121">
        <v>0</v>
      </c>
      <c r="AA123"/>
      <c r="AB123"/>
      <c r="AC123"/>
      <c r="AD123"/>
    </row>
    <row r="124" spans="1:63">
      <c r="B124" s="499" t="s">
        <v>112</v>
      </c>
      <c r="C124" s="499">
        <v>9</v>
      </c>
      <c r="D124" s="396">
        <v>0</v>
      </c>
      <c r="E124" s="530">
        <v>999999</v>
      </c>
      <c r="F124" s="530">
        <v>999999</v>
      </c>
      <c r="G124" s="530">
        <v>999999</v>
      </c>
      <c r="H124" s="530">
        <v>999999</v>
      </c>
      <c r="I124" s="396">
        <v>0</v>
      </c>
      <c r="J124" s="530">
        <v>999999</v>
      </c>
      <c r="K124" s="530">
        <v>999999</v>
      </c>
      <c r="L124" s="530">
        <v>999999</v>
      </c>
      <c r="M124" s="530">
        <v>999999</v>
      </c>
      <c r="N124" s="540">
        <v>1.0000000000000001E+50</v>
      </c>
      <c r="O124" s="121">
        <v>0</v>
      </c>
      <c r="P124" s="121">
        <v>0</v>
      </c>
      <c r="Q124" s="121">
        <v>0</v>
      </c>
      <c r="R124" s="121">
        <v>0</v>
      </c>
      <c r="S124" s="121">
        <v>0</v>
      </c>
      <c r="T124" s="121">
        <v>0</v>
      </c>
      <c r="U124" s="121">
        <v>0</v>
      </c>
      <c r="V124" s="121">
        <v>0</v>
      </c>
      <c r="W124" s="121">
        <v>0</v>
      </c>
      <c r="X124" s="121">
        <v>0</v>
      </c>
      <c r="AA124"/>
      <c r="AB124"/>
      <c r="AC124"/>
      <c r="AD124"/>
    </row>
    <row r="125" spans="1:63">
      <c r="B125" s="499" t="s">
        <v>114</v>
      </c>
      <c r="C125" s="499">
        <v>10</v>
      </c>
      <c r="D125" s="396">
        <v>0</v>
      </c>
      <c r="E125" s="530">
        <v>999999</v>
      </c>
      <c r="F125" s="530">
        <v>999999</v>
      </c>
      <c r="G125" s="530">
        <v>999999</v>
      </c>
      <c r="H125" s="530">
        <v>999999</v>
      </c>
      <c r="I125" s="396">
        <v>0</v>
      </c>
      <c r="J125" s="530">
        <v>999999</v>
      </c>
      <c r="K125" s="530">
        <v>999999</v>
      </c>
      <c r="L125" s="530">
        <v>999999</v>
      </c>
      <c r="M125" s="530">
        <v>999999</v>
      </c>
      <c r="N125" s="540">
        <v>1.0000000000000001E+50</v>
      </c>
      <c r="O125" s="121">
        <v>0</v>
      </c>
      <c r="P125" s="121">
        <v>0</v>
      </c>
      <c r="Q125" s="121">
        <v>0</v>
      </c>
      <c r="R125" s="121">
        <v>0</v>
      </c>
      <c r="S125" s="121">
        <v>0</v>
      </c>
      <c r="T125" s="121">
        <v>0</v>
      </c>
      <c r="U125" s="121">
        <v>0</v>
      </c>
      <c r="V125" s="121">
        <v>0</v>
      </c>
      <c r="W125" s="121">
        <v>0</v>
      </c>
      <c r="X125" s="121">
        <v>0</v>
      </c>
      <c r="AA125"/>
      <c r="AB125"/>
      <c r="AC125"/>
      <c r="AD125"/>
    </row>
    <row r="128" spans="1:63">
      <c r="A128" s="1" t="s">
        <v>183</v>
      </c>
    </row>
    <row r="129" spans="1:87">
      <c r="P129" s="499" t="s">
        <v>176</v>
      </c>
      <c r="Q129" s="499" t="s">
        <v>176</v>
      </c>
      <c r="R129" s="499" t="s">
        <v>176</v>
      </c>
      <c r="S129" s="499" t="s">
        <v>176</v>
      </c>
      <c r="T129" s="499" t="s">
        <v>176</v>
      </c>
      <c r="U129" s="499" t="s">
        <v>176</v>
      </c>
      <c r="V129" s="499" t="s">
        <v>176</v>
      </c>
      <c r="W129" s="499" t="s">
        <v>176</v>
      </c>
      <c r="X129" s="499" t="s">
        <v>176</v>
      </c>
      <c r="Y129" s="499" t="s">
        <v>176</v>
      </c>
      <c r="Z129" s="499" t="s">
        <v>176</v>
      </c>
      <c r="AA129" s="499" t="s">
        <v>176</v>
      </c>
      <c r="AB129" s="499" t="s">
        <v>184</v>
      </c>
      <c r="AC129" s="499" t="s">
        <v>184</v>
      </c>
      <c r="AD129" s="499" t="s">
        <v>184</v>
      </c>
      <c r="AE129" s="499" t="s">
        <v>184</v>
      </c>
      <c r="AF129" s="499" t="s">
        <v>184</v>
      </c>
      <c r="AG129" s="499" t="s">
        <v>184</v>
      </c>
      <c r="AH129" s="499" t="s">
        <v>184</v>
      </c>
      <c r="AI129" s="499" t="s">
        <v>184</v>
      </c>
      <c r="AJ129" s="499" t="s">
        <v>184</v>
      </c>
      <c r="AK129" s="499" t="s">
        <v>184</v>
      </c>
      <c r="AL129" s="499" t="s">
        <v>184</v>
      </c>
      <c r="AM129" s="499" t="s">
        <v>184</v>
      </c>
      <c r="AN129" s="499" t="s">
        <v>178</v>
      </c>
      <c r="AO129" s="499" t="s">
        <v>178</v>
      </c>
      <c r="AP129" s="499" t="s">
        <v>178</v>
      </c>
      <c r="AQ129" s="499" t="s">
        <v>178</v>
      </c>
      <c r="AR129" s="499" t="s">
        <v>178</v>
      </c>
      <c r="AS129" s="499" t="s">
        <v>178</v>
      </c>
      <c r="AT129" s="499" t="s">
        <v>178</v>
      </c>
      <c r="AU129" s="499" t="s">
        <v>178</v>
      </c>
      <c r="AV129" s="499" t="s">
        <v>178</v>
      </c>
      <c r="AW129" s="499" t="s">
        <v>178</v>
      </c>
      <c r="AX129" s="499" t="s">
        <v>178</v>
      </c>
      <c r="AY129" s="499" t="s">
        <v>178</v>
      </c>
      <c r="AZ129" s="499" t="s">
        <v>12</v>
      </c>
      <c r="BA129" s="499" t="s">
        <v>12</v>
      </c>
      <c r="BB129" s="499" t="s">
        <v>12</v>
      </c>
      <c r="BC129" s="499" t="s">
        <v>12</v>
      </c>
      <c r="BD129" s="499" t="s">
        <v>12</v>
      </c>
      <c r="BE129" s="499" t="s">
        <v>12</v>
      </c>
      <c r="BF129" s="499" t="s">
        <v>12</v>
      </c>
      <c r="BG129" s="499" t="s">
        <v>12</v>
      </c>
      <c r="BH129" s="499" t="s">
        <v>12</v>
      </c>
      <c r="BI129" s="499" t="s">
        <v>12</v>
      </c>
      <c r="BJ129" s="499" t="s">
        <v>12</v>
      </c>
      <c r="BK129" s="499" t="s">
        <v>12</v>
      </c>
      <c r="BL129" s="499" t="s">
        <v>32</v>
      </c>
      <c r="BM129" s="499" t="s">
        <v>32</v>
      </c>
      <c r="BN129" s="499" t="s">
        <v>32</v>
      </c>
      <c r="BO129" s="499" t="s">
        <v>32</v>
      </c>
      <c r="BP129" s="499" t="s">
        <v>32</v>
      </c>
      <c r="BQ129" s="499" t="s">
        <v>32</v>
      </c>
      <c r="BR129" s="499" t="s">
        <v>32</v>
      </c>
      <c r="BS129" s="499" t="s">
        <v>32</v>
      </c>
      <c r="BT129" s="499" t="s">
        <v>32</v>
      </c>
      <c r="BU129" s="499" t="s">
        <v>32</v>
      </c>
      <c r="BV129" s="499" t="s">
        <v>32</v>
      </c>
      <c r="BW129" s="499" t="s">
        <v>32</v>
      </c>
      <c r="BX129" s="499" t="s">
        <v>185</v>
      </c>
      <c r="BY129" s="499" t="s">
        <v>185</v>
      </c>
      <c r="BZ129" s="499" t="s">
        <v>185</v>
      </c>
      <c r="CA129" s="499" t="s">
        <v>185</v>
      </c>
      <c r="CB129" s="499" t="s">
        <v>185</v>
      </c>
      <c r="CC129" s="499" t="s">
        <v>185</v>
      </c>
      <c r="CD129" s="499" t="s">
        <v>185</v>
      </c>
      <c r="CE129" s="499" t="s">
        <v>185</v>
      </c>
      <c r="CF129" s="499" t="s">
        <v>185</v>
      </c>
      <c r="CG129" s="499" t="s">
        <v>185</v>
      </c>
      <c r="CH129" s="499" t="s">
        <v>185</v>
      </c>
      <c r="CI129" s="499" t="s">
        <v>185</v>
      </c>
    </row>
    <row r="130" spans="1:87">
      <c r="B130" s="6" t="s">
        <v>186</v>
      </c>
      <c r="C130" s="6" t="s">
        <v>75</v>
      </c>
      <c r="D130" s="6" t="s">
        <v>34</v>
      </c>
      <c r="E130" s="6" t="s">
        <v>35</v>
      </c>
      <c r="F130" s="6" t="s">
        <v>36</v>
      </c>
      <c r="G130" s="6" t="s">
        <v>37</v>
      </c>
      <c r="H130" s="6" t="s">
        <v>38</v>
      </c>
      <c r="I130" s="6" t="s">
        <v>39</v>
      </c>
      <c r="J130" s="6" t="s">
        <v>40</v>
      </c>
      <c r="K130" s="6" t="s">
        <v>41</v>
      </c>
      <c r="L130" s="6" t="s">
        <v>42</v>
      </c>
      <c r="M130" s="6" t="s">
        <v>43</v>
      </c>
      <c r="N130" s="6" t="s">
        <v>44</v>
      </c>
      <c r="O130" s="6" t="s">
        <v>45</v>
      </c>
      <c r="P130" s="6" t="s">
        <v>34</v>
      </c>
      <c r="Q130" s="6" t="s">
        <v>35</v>
      </c>
      <c r="R130" s="6" t="s">
        <v>36</v>
      </c>
      <c r="S130" s="6" t="s">
        <v>37</v>
      </c>
      <c r="T130" s="6" t="s">
        <v>38</v>
      </c>
      <c r="U130" s="6" t="s">
        <v>39</v>
      </c>
      <c r="V130" s="6" t="s">
        <v>40</v>
      </c>
      <c r="W130" s="6" t="s">
        <v>41</v>
      </c>
      <c r="X130" s="6" t="s">
        <v>42</v>
      </c>
      <c r="Y130" s="6" t="s">
        <v>43</v>
      </c>
      <c r="Z130" s="6" t="s">
        <v>44</v>
      </c>
      <c r="AA130" s="6" t="s">
        <v>45</v>
      </c>
      <c r="AB130" s="6" t="s">
        <v>34</v>
      </c>
      <c r="AC130" s="6" t="s">
        <v>35</v>
      </c>
      <c r="AD130" s="6" t="s">
        <v>36</v>
      </c>
      <c r="AE130" s="6" t="s">
        <v>37</v>
      </c>
      <c r="AF130" s="6" t="s">
        <v>38</v>
      </c>
      <c r="AG130" s="6" t="s">
        <v>39</v>
      </c>
      <c r="AH130" s="6" t="s">
        <v>40</v>
      </c>
      <c r="AI130" s="6" t="s">
        <v>41</v>
      </c>
      <c r="AJ130" s="6" t="s">
        <v>42</v>
      </c>
      <c r="AK130" s="6" t="s">
        <v>43</v>
      </c>
      <c r="AL130" s="6" t="s">
        <v>44</v>
      </c>
      <c r="AM130" s="6" t="s">
        <v>45</v>
      </c>
      <c r="AN130" s="6" t="s">
        <v>34</v>
      </c>
      <c r="AO130" s="6" t="s">
        <v>35</v>
      </c>
      <c r="AP130" s="6" t="s">
        <v>36</v>
      </c>
      <c r="AQ130" s="6" t="s">
        <v>37</v>
      </c>
      <c r="AR130" s="6" t="s">
        <v>38</v>
      </c>
      <c r="AS130" s="6" t="s">
        <v>39</v>
      </c>
      <c r="AT130" s="6" t="s">
        <v>40</v>
      </c>
      <c r="AU130" s="6" t="s">
        <v>41</v>
      </c>
      <c r="AV130" s="6" t="s">
        <v>42</v>
      </c>
      <c r="AW130" s="6" t="s">
        <v>43</v>
      </c>
      <c r="AX130" s="6" t="s">
        <v>44</v>
      </c>
      <c r="AY130" s="6" t="s">
        <v>45</v>
      </c>
      <c r="AZ130" s="6" t="s">
        <v>34</v>
      </c>
      <c r="BA130" s="6" t="s">
        <v>35</v>
      </c>
      <c r="BB130" s="6" t="s">
        <v>36</v>
      </c>
      <c r="BC130" s="6" t="s">
        <v>37</v>
      </c>
      <c r="BD130" s="6" t="s">
        <v>38</v>
      </c>
      <c r="BE130" s="6" t="s">
        <v>39</v>
      </c>
      <c r="BF130" s="6" t="s">
        <v>40</v>
      </c>
      <c r="BG130" s="6" t="s">
        <v>41</v>
      </c>
      <c r="BH130" s="6" t="s">
        <v>42</v>
      </c>
      <c r="BI130" s="6" t="s">
        <v>43</v>
      </c>
      <c r="BJ130" s="6" t="s">
        <v>44</v>
      </c>
      <c r="BK130" s="6" t="s">
        <v>45</v>
      </c>
      <c r="BL130" s="6" t="s">
        <v>34</v>
      </c>
      <c r="BM130" s="6" t="s">
        <v>35</v>
      </c>
      <c r="BN130" s="6" t="s">
        <v>36</v>
      </c>
      <c r="BO130" s="6" t="s">
        <v>37</v>
      </c>
      <c r="BP130" s="6" t="s">
        <v>38</v>
      </c>
      <c r="BQ130" s="6" t="s">
        <v>39</v>
      </c>
      <c r="BR130" s="6" t="s">
        <v>40</v>
      </c>
      <c r="BS130" s="6" t="s">
        <v>41</v>
      </c>
      <c r="BT130" s="6" t="s">
        <v>42</v>
      </c>
      <c r="BU130" s="6" t="s">
        <v>43</v>
      </c>
      <c r="BV130" s="6" t="s">
        <v>44</v>
      </c>
      <c r="BW130" s="6" t="s">
        <v>45</v>
      </c>
      <c r="BX130" s="6" t="s">
        <v>34</v>
      </c>
      <c r="BY130" s="6" t="s">
        <v>35</v>
      </c>
      <c r="BZ130" s="6" t="s">
        <v>36</v>
      </c>
      <c r="CA130" s="6" t="s">
        <v>37</v>
      </c>
      <c r="CB130" s="6" t="s">
        <v>38</v>
      </c>
      <c r="CC130" s="6" t="s">
        <v>39</v>
      </c>
      <c r="CD130" s="6" t="s">
        <v>40</v>
      </c>
      <c r="CE130" s="6" t="s">
        <v>41</v>
      </c>
      <c r="CF130" s="6" t="s">
        <v>42</v>
      </c>
      <c r="CG130" s="6" t="s">
        <v>43</v>
      </c>
      <c r="CH130" s="6" t="s">
        <v>44</v>
      </c>
      <c r="CI130" s="6" t="s">
        <v>45</v>
      </c>
    </row>
    <row r="131" spans="1:87">
      <c r="B131" s="499" t="s">
        <v>187</v>
      </c>
      <c r="C131" s="499" t="s">
        <v>188</v>
      </c>
      <c r="D131" s="7">
        <v>1</v>
      </c>
      <c r="E131" s="7">
        <v>1</v>
      </c>
      <c r="F131" s="7">
        <v>1</v>
      </c>
      <c r="G131" s="7">
        <v>1</v>
      </c>
      <c r="H131" s="7">
        <v>1</v>
      </c>
      <c r="I131" s="7">
        <v>1</v>
      </c>
      <c r="J131" s="7">
        <v>1</v>
      </c>
      <c r="K131" s="7">
        <v>1</v>
      </c>
      <c r="L131" s="7">
        <v>1</v>
      </c>
      <c r="M131" s="7">
        <v>1</v>
      </c>
      <c r="N131" s="7">
        <v>1</v>
      </c>
      <c r="O131" s="7">
        <v>1</v>
      </c>
      <c r="P131" s="7">
        <v>0</v>
      </c>
      <c r="Q131" s="7">
        <v>0</v>
      </c>
      <c r="R131" s="7">
        <v>0</v>
      </c>
      <c r="S131" s="7">
        <v>0</v>
      </c>
      <c r="T131" s="7">
        <v>0</v>
      </c>
      <c r="U131" s="7">
        <v>0</v>
      </c>
      <c r="V131" s="7">
        <v>0</v>
      </c>
      <c r="W131" s="7">
        <v>0</v>
      </c>
      <c r="X131" s="7">
        <v>0</v>
      </c>
      <c r="Y131" s="7">
        <v>0</v>
      </c>
      <c r="Z131" s="7">
        <v>0</v>
      </c>
      <c r="AA131" s="7">
        <v>0</v>
      </c>
      <c r="AB131" s="7">
        <v>0</v>
      </c>
      <c r="AC131" s="7">
        <v>0</v>
      </c>
      <c r="AD131" s="7">
        <v>0</v>
      </c>
      <c r="AE131" s="7">
        <v>0</v>
      </c>
      <c r="AF131" s="7">
        <v>0</v>
      </c>
      <c r="AG131" s="7">
        <v>0</v>
      </c>
      <c r="AH131" s="7">
        <v>0</v>
      </c>
      <c r="AI131" s="7">
        <v>0</v>
      </c>
      <c r="AJ131" s="7">
        <v>0</v>
      </c>
      <c r="AK131" s="7">
        <v>0</v>
      </c>
      <c r="AL131" s="7">
        <v>0</v>
      </c>
      <c r="AM131" s="7">
        <v>0</v>
      </c>
      <c r="AN131" s="7">
        <v>0</v>
      </c>
      <c r="AO131" s="7">
        <v>0</v>
      </c>
      <c r="AP131" s="7">
        <v>0</v>
      </c>
      <c r="AQ131" s="7">
        <v>0</v>
      </c>
      <c r="AR131" s="7">
        <v>0</v>
      </c>
      <c r="AS131" s="7">
        <v>0</v>
      </c>
      <c r="AT131" s="7">
        <v>0</v>
      </c>
      <c r="AU131" s="7">
        <v>0</v>
      </c>
      <c r="AV131" s="7">
        <v>0</v>
      </c>
      <c r="AW131" s="7">
        <v>0</v>
      </c>
      <c r="AX131" s="7">
        <v>0</v>
      </c>
      <c r="AY131" s="7">
        <v>0</v>
      </c>
      <c r="AZ131" s="7">
        <v>0</v>
      </c>
      <c r="BA131" s="7">
        <v>0</v>
      </c>
      <c r="BB131" s="7">
        <v>0</v>
      </c>
      <c r="BC131" s="7">
        <v>0</v>
      </c>
      <c r="BD131" s="7">
        <v>0</v>
      </c>
      <c r="BE131" s="7">
        <v>0</v>
      </c>
      <c r="BF131" s="7">
        <v>0</v>
      </c>
      <c r="BG131" s="7">
        <v>0</v>
      </c>
      <c r="BH131" s="7">
        <v>0</v>
      </c>
      <c r="BI131" s="7">
        <v>0</v>
      </c>
      <c r="BJ131" s="7">
        <v>0</v>
      </c>
      <c r="BK131" s="7">
        <v>0</v>
      </c>
      <c r="BL131" s="7">
        <v>1</v>
      </c>
      <c r="BM131" s="7">
        <v>1</v>
      </c>
      <c r="BN131" s="7">
        <v>1</v>
      </c>
      <c r="BO131" s="7">
        <v>1</v>
      </c>
      <c r="BP131" s="7">
        <v>1</v>
      </c>
      <c r="BQ131" s="7">
        <v>1</v>
      </c>
      <c r="BR131" s="7">
        <v>1</v>
      </c>
      <c r="BS131" s="7">
        <v>1</v>
      </c>
      <c r="BT131" s="7">
        <v>1</v>
      </c>
      <c r="BU131" s="7">
        <v>1</v>
      </c>
      <c r="BV131" s="7">
        <v>1</v>
      </c>
      <c r="BW131" s="7">
        <v>1</v>
      </c>
      <c r="BX131" s="7">
        <v>0</v>
      </c>
      <c r="BY131" s="7">
        <v>0</v>
      </c>
      <c r="BZ131" s="7">
        <v>0</v>
      </c>
      <c r="CA131" s="7">
        <v>0</v>
      </c>
      <c r="CB131" s="7">
        <v>0</v>
      </c>
      <c r="CC131" s="7">
        <v>0</v>
      </c>
      <c r="CD131" s="7">
        <v>0</v>
      </c>
      <c r="CE131" s="7">
        <v>0</v>
      </c>
      <c r="CF131" s="7">
        <v>0</v>
      </c>
      <c r="CG131" s="7">
        <v>0</v>
      </c>
      <c r="CH131" s="7">
        <v>0</v>
      </c>
      <c r="CI131" s="7">
        <v>0</v>
      </c>
    </row>
    <row r="132" spans="1:87">
      <c r="B132" s="499" t="s">
        <v>82</v>
      </c>
      <c r="C132" s="499" t="s">
        <v>67</v>
      </c>
      <c r="D132" s="7">
        <v>1</v>
      </c>
      <c r="E132" s="7">
        <v>1</v>
      </c>
      <c r="F132" s="7">
        <v>1</v>
      </c>
      <c r="G132" s="7">
        <v>1</v>
      </c>
      <c r="H132" s="7">
        <v>1</v>
      </c>
      <c r="I132" s="7">
        <v>1</v>
      </c>
      <c r="J132" s="7">
        <v>1</v>
      </c>
      <c r="K132" s="7">
        <v>1</v>
      </c>
      <c r="L132" s="7">
        <v>1</v>
      </c>
      <c r="M132" s="7">
        <v>1</v>
      </c>
      <c r="N132" s="7">
        <v>1</v>
      </c>
      <c r="O132" s="7">
        <v>1</v>
      </c>
      <c r="P132" s="7">
        <v>0</v>
      </c>
      <c r="Q132" s="7">
        <v>0</v>
      </c>
      <c r="R132" s="7">
        <v>0</v>
      </c>
      <c r="S132" s="7">
        <v>0</v>
      </c>
      <c r="T132" s="7">
        <v>0</v>
      </c>
      <c r="U132" s="7">
        <v>0</v>
      </c>
      <c r="V132" s="7">
        <v>0</v>
      </c>
      <c r="W132" s="7">
        <v>0</v>
      </c>
      <c r="X132" s="7">
        <v>0</v>
      </c>
      <c r="Y132" s="7">
        <v>0</v>
      </c>
      <c r="Z132" s="7">
        <v>0</v>
      </c>
      <c r="AA132" s="7">
        <v>0</v>
      </c>
      <c r="AB132" s="7">
        <v>0</v>
      </c>
      <c r="AC132" s="7">
        <v>0</v>
      </c>
      <c r="AD132" s="7">
        <v>0</v>
      </c>
      <c r="AE132" s="7">
        <v>0</v>
      </c>
      <c r="AF132" s="7">
        <v>0</v>
      </c>
      <c r="AG132" s="7">
        <v>0</v>
      </c>
      <c r="AH132" s="7">
        <v>0</v>
      </c>
      <c r="AI132" s="7">
        <v>0</v>
      </c>
      <c r="AJ132" s="7">
        <v>0</v>
      </c>
      <c r="AK132" s="7">
        <v>0</v>
      </c>
      <c r="AL132" s="7">
        <v>0</v>
      </c>
      <c r="AM132" s="7">
        <v>0</v>
      </c>
      <c r="AN132" s="7">
        <v>0</v>
      </c>
      <c r="AO132" s="7">
        <v>0</v>
      </c>
      <c r="AP132" s="7">
        <v>0</v>
      </c>
      <c r="AQ132" s="7">
        <v>0</v>
      </c>
      <c r="AR132" s="7">
        <v>0</v>
      </c>
      <c r="AS132" s="7">
        <v>0</v>
      </c>
      <c r="AT132" s="7">
        <v>0</v>
      </c>
      <c r="AU132" s="7">
        <v>0</v>
      </c>
      <c r="AV132" s="7">
        <v>0</v>
      </c>
      <c r="AW132" s="7">
        <v>0</v>
      </c>
      <c r="AX132" s="7">
        <v>0</v>
      </c>
      <c r="AY132" s="7">
        <v>0</v>
      </c>
      <c r="AZ132" s="7">
        <v>0</v>
      </c>
      <c r="BA132" s="7">
        <v>0</v>
      </c>
      <c r="BB132" s="7">
        <v>0</v>
      </c>
      <c r="BC132" s="7">
        <v>0</v>
      </c>
      <c r="BD132" s="7">
        <v>0</v>
      </c>
      <c r="BE132" s="7">
        <v>0</v>
      </c>
      <c r="BF132" s="7">
        <v>0</v>
      </c>
      <c r="BG132" s="7">
        <v>0</v>
      </c>
      <c r="BH132" s="7">
        <v>0</v>
      </c>
      <c r="BI132" s="7">
        <v>0</v>
      </c>
      <c r="BJ132" s="7">
        <v>0</v>
      </c>
      <c r="BK132" s="7">
        <v>0</v>
      </c>
      <c r="BL132" s="7">
        <v>1</v>
      </c>
      <c r="BM132" s="7">
        <v>1</v>
      </c>
      <c r="BN132" s="7">
        <v>1</v>
      </c>
      <c r="BO132" s="7">
        <v>1</v>
      </c>
      <c r="BP132" s="7">
        <v>1</v>
      </c>
      <c r="BQ132" s="7">
        <v>1</v>
      </c>
      <c r="BR132" s="7">
        <v>1</v>
      </c>
      <c r="BS132" s="7">
        <v>1</v>
      </c>
      <c r="BT132" s="7">
        <v>1</v>
      </c>
      <c r="BU132" s="7">
        <v>1</v>
      </c>
      <c r="BV132" s="7">
        <v>1</v>
      </c>
      <c r="BW132" s="7">
        <v>1</v>
      </c>
      <c r="BX132" s="7">
        <v>0</v>
      </c>
      <c r="BY132" s="7">
        <v>0</v>
      </c>
      <c r="BZ132" s="7">
        <v>0</v>
      </c>
      <c r="CA132" s="7">
        <v>0</v>
      </c>
      <c r="CB132" s="7">
        <v>0</v>
      </c>
      <c r="CC132" s="7">
        <v>0</v>
      </c>
      <c r="CD132" s="7">
        <v>0</v>
      </c>
      <c r="CE132" s="7">
        <v>0</v>
      </c>
      <c r="CF132" s="7">
        <v>0</v>
      </c>
      <c r="CG132" s="7">
        <v>0</v>
      </c>
      <c r="CH132" s="7">
        <v>0</v>
      </c>
      <c r="CI132" s="7">
        <v>0</v>
      </c>
    </row>
    <row r="133" spans="1:87">
      <c r="B133" s="499" t="s">
        <v>84</v>
      </c>
      <c r="C133" s="499" t="s">
        <v>63</v>
      </c>
      <c r="D133" s="7">
        <v>1</v>
      </c>
      <c r="E133" s="7">
        <v>1</v>
      </c>
      <c r="F133" s="7">
        <v>1</v>
      </c>
      <c r="G133" s="7">
        <v>1</v>
      </c>
      <c r="H133" s="7">
        <v>1</v>
      </c>
      <c r="I133" s="7">
        <v>1</v>
      </c>
      <c r="J133" s="7">
        <v>1</v>
      </c>
      <c r="K133" s="7">
        <v>1</v>
      </c>
      <c r="L133" s="7">
        <v>1</v>
      </c>
      <c r="M133" s="7">
        <v>1</v>
      </c>
      <c r="N133" s="7">
        <v>1</v>
      </c>
      <c r="O133" s="7">
        <v>1</v>
      </c>
      <c r="P133" s="7">
        <v>0</v>
      </c>
      <c r="Q133" s="7">
        <v>0</v>
      </c>
      <c r="R133" s="7">
        <v>0</v>
      </c>
      <c r="S133" s="7">
        <v>0</v>
      </c>
      <c r="T133" s="7">
        <v>0</v>
      </c>
      <c r="U133" s="7">
        <v>0</v>
      </c>
      <c r="V133" s="7">
        <v>0</v>
      </c>
      <c r="W133" s="7">
        <v>0</v>
      </c>
      <c r="X133" s="7">
        <v>0</v>
      </c>
      <c r="Y133" s="7">
        <v>0</v>
      </c>
      <c r="Z133" s="7">
        <v>0</v>
      </c>
      <c r="AA133" s="7">
        <v>0</v>
      </c>
      <c r="AB133" s="7">
        <v>0</v>
      </c>
      <c r="AC133" s="7">
        <v>0</v>
      </c>
      <c r="AD133" s="7">
        <v>0</v>
      </c>
      <c r="AE133" s="7">
        <v>0</v>
      </c>
      <c r="AF133" s="7">
        <v>0</v>
      </c>
      <c r="AG133" s="7">
        <v>0</v>
      </c>
      <c r="AH133" s="7">
        <v>0</v>
      </c>
      <c r="AI133" s="7">
        <v>0</v>
      </c>
      <c r="AJ133" s="7">
        <v>0</v>
      </c>
      <c r="AK133" s="7">
        <v>0</v>
      </c>
      <c r="AL133" s="7">
        <v>0</v>
      </c>
      <c r="AM133" s="7">
        <v>0</v>
      </c>
      <c r="AN133" s="7">
        <v>0</v>
      </c>
      <c r="AO133" s="7">
        <v>0</v>
      </c>
      <c r="AP133" s="7">
        <v>0</v>
      </c>
      <c r="AQ133" s="7">
        <v>0</v>
      </c>
      <c r="AR133" s="7">
        <v>0</v>
      </c>
      <c r="AS133" s="7">
        <v>0</v>
      </c>
      <c r="AT133" s="7">
        <v>0</v>
      </c>
      <c r="AU133" s="7">
        <v>0</v>
      </c>
      <c r="AV133" s="7">
        <v>0</v>
      </c>
      <c r="AW133" s="7">
        <v>0</v>
      </c>
      <c r="AX133" s="7">
        <v>0</v>
      </c>
      <c r="AY133" s="7">
        <v>0</v>
      </c>
      <c r="AZ133" s="7">
        <v>0</v>
      </c>
      <c r="BA133" s="7">
        <v>0</v>
      </c>
      <c r="BB133" s="7">
        <v>0</v>
      </c>
      <c r="BC133" s="7">
        <v>0</v>
      </c>
      <c r="BD133" s="7">
        <v>0</v>
      </c>
      <c r="BE133" s="7">
        <v>0</v>
      </c>
      <c r="BF133" s="7">
        <v>0</v>
      </c>
      <c r="BG133" s="7">
        <v>0</v>
      </c>
      <c r="BH133" s="7">
        <v>0</v>
      </c>
      <c r="BI133" s="7">
        <v>0</v>
      </c>
      <c r="BJ133" s="7">
        <v>0</v>
      </c>
      <c r="BK133" s="7">
        <v>0</v>
      </c>
      <c r="BL133" s="7">
        <v>1</v>
      </c>
      <c r="BM133" s="7">
        <v>1</v>
      </c>
      <c r="BN133" s="7">
        <v>1</v>
      </c>
      <c r="BO133" s="7">
        <v>1</v>
      </c>
      <c r="BP133" s="7">
        <v>1</v>
      </c>
      <c r="BQ133" s="7">
        <v>1</v>
      </c>
      <c r="BR133" s="7">
        <v>1</v>
      </c>
      <c r="BS133" s="7">
        <v>1</v>
      </c>
      <c r="BT133" s="7">
        <v>1</v>
      </c>
      <c r="BU133" s="7">
        <v>1</v>
      </c>
      <c r="BV133" s="7">
        <v>1</v>
      </c>
      <c r="BW133" s="7">
        <v>1</v>
      </c>
      <c r="BX133" s="7">
        <v>0</v>
      </c>
      <c r="BY133" s="7">
        <v>0</v>
      </c>
      <c r="BZ133" s="7">
        <v>0</v>
      </c>
      <c r="CA133" s="7">
        <v>0</v>
      </c>
      <c r="CB133" s="7">
        <v>0</v>
      </c>
      <c r="CC133" s="7">
        <v>0</v>
      </c>
      <c r="CD133" s="7">
        <v>0</v>
      </c>
      <c r="CE133" s="7">
        <v>0</v>
      </c>
      <c r="CF133" s="7">
        <v>0</v>
      </c>
      <c r="CG133" s="7">
        <v>0</v>
      </c>
      <c r="CH133" s="7">
        <v>0</v>
      </c>
      <c r="CI133" s="7">
        <v>0</v>
      </c>
    </row>
    <row r="134" spans="1:87">
      <c r="B134" s="499" t="s">
        <v>86</v>
      </c>
      <c r="C134" s="499" t="s">
        <v>64</v>
      </c>
      <c r="D134" s="7">
        <v>1</v>
      </c>
      <c r="E134" s="7">
        <v>1</v>
      </c>
      <c r="F134" s="7">
        <v>1</v>
      </c>
      <c r="G134" s="7">
        <v>1</v>
      </c>
      <c r="H134" s="7">
        <v>1</v>
      </c>
      <c r="I134" s="7">
        <v>1</v>
      </c>
      <c r="J134" s="7">
        <v>1</v>
      </c>
      <c r="K134" s="7">
        <v>1</v>
      </c>
      <c r="L134" s="7">
        <v>1</v>
      </c>
      <c r="M134" s="7">
        <v>1</v>
      </c>
      <c r="N134" s="7">
        <v>1</v>
      </c>
      <c r="O134" s="7">
        <v>1</v>
      </c>
      <c r="P134" s="7">
        <v>0</v>
      </c>
      <c r="Q134" s="7">
        <v>0</v>
      </c>
      <c r="R134" s="7">
        <v>0</v>
      </c>
      <c r="S134" s="7">
        <v>0</v>
      </c>
      <c r="T134" s="7">
        <v>0</v>
      </c>
      <c r="U134" s="7">
        <v>0</v>
      </c>
      <c r="V134" s="7">
        <v>0</v>
      </c>
      <c r="W134" s="7">
        <v>0</v>
      </c>
      <c r="X134" s="7">
        <v>0</v>
      </c>
      <c r="Y134" s="7">
        <v>0</v>
      </c>
      <c r="Z134" s="7">
        <v>0</v>
      </c>
      <c r="AA134" s="7">
        <v>0</v>
      </c>
      <c r="AB134" s="7">
        <v>0</v>
      </c>
      <c r="AC134" s="7">
        <v>0</v>
      </c>
      <c r="AD134" s="7">
        <v>0</v>
      </c>
      <c r="AE134" s="7">
        <v>0</v>
      </c>
      <c r="AF134" s="7">
        <v>0</v>
      </c>
      <c r="AG134" s="7">
        <v>0</v>
      </c>
      <c r="AH134" s="7">
        <v>0</v>
      </c>
      <c r="AI134" s="7">
        <v>0</v>
      </c>
      <c r="AJ134" s="7">
        <v>0</v>
      </c>
      <c r="AK134" s="7">
        <v>0</v>
      </c>
      <c r="AL134" s="7">
        <v>0</v>
      </c>
      <c r="AM134" s="7">
        <v>0</v>
      </c>
      <c r="AN134" s="7">
        <v>0</v>
      </c>
      <c r="AO134" s="7">
        <v>0</v>
      </c>
      <c r="AP134" s="7">
        <v>0</v>
      </c>
      <c r="AQ134" s="7">
        <v>0</v>
      </c>
      <c r="AR134" s="7">
        <v>0</v>
      </c>
      <c r="AS134" s="7">
        <v>0</v>
      </c>
      <c r="AT134" s="7">
        <v>0</v>
      </c>
      <c r="AU134" s="7">
        <v>0</v>
      </c>
      <c r="AV134" s="7">
        <v>0</v>
      </c>
      <c r="AW134" s="7">
        <v>0</v>
      </c>
      <c r="AX134" s="7">
        <v>0</v>
      </c>
      <c r="AY134" s="7">
        <v>0</v>
      </c>
      <c r="AZ134" s="7">
        <v>0</v>
      </c>
      <c r="BA134" s="7">
        <v>0</v>
      </c>
      <c r="BB134" s="7">
        <v>0</v>
      </c>
      <c r="BC134" s="7">
        <v>0</v>
      </c>
      <c r="BD134" s="7">
        <v>0</v>
      </c>
      <c r="BE134" s="7">
        <v>0</v>
      </c>
      <c r="BF134" s="7">
        <v>0</v>
      </c>
      <c r="BG134" s="7">
        <v>0</v>
      </c>
      <c r="BH134" s="7">
        <v>0</v>
      </c>
      <c r="BI134" s="7">
        <v>0</v>
      </c>
      <c r="BJ134" s="7">
        <v>0</v>
      </c>
      <c r="BK134" s="7">
        <v>0</v>
      </c>
      <c r="BL134" s="7">
        <v>1</v>
      </c>
      <c r="BM134" s="7">
        <v>1</v>
      </c>
      <c r="BN134" s="7">
        <v>1</v>
      </c>
      <c r="BO134" s="7">
        <v>1</v>
      </c>
      <c r="BP134" s="7">
        <v>1</v>
      </c>
      <c r="BQ134" s="7">
        <v>1</v>
      </c>
      <c r="BR134" s="7">
        <v>1</v>
      </c>
      <c r="BS134" s="7">
        <v>1</v>
      </c>
      <c r="BT134" s="7">
        <v>1</v>
      </c>
      <c r="BU134" s="7">
        <v>1</v>
      </c>
      <c r="BV134" s="7">
        <v>1</v>
      </c>
      <c r="BW134" s="7">
        <v>1</v>
      </c>
      <c r="BX134" s="7">
        <v>0</v>
      </c>
      <c r="BY134" s="7">
        <v>0</v>
      </c>
      <c r="BZ134" s="7">
        <v>0</v>
      </c>
      <c r="CA134" s="7">
        <v>0</v>
      </c>
      <c r="CB134" s="7">
        <v>0</v>
      </c>
      <c r="CC134" s="7">
        <v>0</v>
      </c>
      <c r="CD134" s="7">
        <v>0</v>
      </c>
      <c r="CE134" s="7">
        <v>0</v>
      </c>
      <c r="CF134" s="7">
        <v>0</v>
      </c>
      <c r="CG134" s="7">
        <v>0</v>
      </c>
      <c r="CH134" s="7">
        <v>0</v>
      </c>
      <c r="CI134" s="7">
        <v>0</v>
      </c>
    </row>
    <row r="135" spans="1:87">
      <c r="B135" s="499" t="s">
        <v>88</v>
      </c>
      <c r="C135" s="499" t="s">
        <v>65</v>
      </c>
      <c r="D135" s="7">
        <v>1</v>
      </c>
      <c r="E135" s="7">
        <v>1</v>
      </c>
      <c r="F135" s="7">
        <v>1</v>
      </c>
      <c r="G135" s="7">
        <v>1</v>
      </c>
      <c r="H135" s="7">
        <v>1</v>
      </c>
      <c r="I135" s="7">
        <v>1</v>
      </c>
      <c r="J135" s="7">
        <v>1</v>
      </c>
      <c r="K135" s="7">
        <v>1</v>
      </c>
      <c r="L135" s="7">
        <v>1</v>
      </c>
      <c r="M135" s="7">
        <v>1</v>
      </c>
      <c r="N135" s="7">
        <v>1</v>
      </c>
      <c r="O135" s="7">
        <v>1</v>
      </c>
      <c r="P135" s="7">
        <v>0</v>
      </c>
      <c r="Q135" s="7">
        <v>0</v>
      </c>
      <c r="R135" s="7">
        <v>0</v>
      </c>
      <c r="S135" s="7">
        <v>0</v>
      </c>
      <c r="T135" s="7">
        <v>0</v>
      </c>
      <c r="U135" s="7">
        <v>0</v>
      </c>
      <c r="V135" s="7">
        <v>0</v>
      </c>
      <c r="W135" s="7">
        <v>0</v>
      </c>
      <c r="X135" s="7">
        <v>0</v>
      </c>
      <c r="Y135" s="7">
        <v>0</v>
      </c>
      <c r="Z135" s="7">
        <v>0</v>
      </c>
      <c r="AA135" s="7">
        <v>0</v>
      </c>
      <c r="AB135" s="7">
        <v>0</v>
      </c>
      <c r="AC135" s="7">
        <v>0</v>
      </c>
      <c r="AD135" s="7">
        <v>0</v>
      </c>
      <c r="AE135" s="7">
        <v>0</v>
      </c>
      <c r="AF135" s="7">
        <v>0</v>
      </c>
      <c r="AG135" s="7">
        <v>0</v>
      </c>
      <c r="AH135" s="7">
        <v>0</v>
      </c>
      <c r="AI135" s="7">
        <v>0</v>
      </c>
      <c r="AJ135" s="7">
        <v>0</v>
      </c>
      <c r="AK135" s="7">
        <v>0</v>
      </c>
      <c r="AL135" s="7">
        <v>0</v>
      </c>
      <c r="AM135" s="7">
        <v>0</v>
      </c>
      <c r="AN135" s="7">
        <v>0</v>
      </c>
      <c r="AO135" s="7">
        <v>0</v>
      </c>
      <c r="AP135" s="7">
        <v>0</v>
      </c>
      <c r="AQ135" s="7">
        <v>0</v>
      </c>
      <c r="AR135" s="7">
        <v>0</v>
      </c>
      <c r="AS135" s="7">
        <v>0</v>
      </c>
      <c r="AT135" s="7">
        <v>0</v>
      </c>
      <c r="AU135" s="7">
        <v>0</v>
      </c>
      <c r="AV135" s="7">
        <v>0</v>
      </c>
      <c r="AW135" s="7">
        <v>0</v>
      </c>
      <c r="AX135" s="7">
        <v>0</v>
      </c>
      <c r="AY135" s="7">
        <v>0</v>
      </c>
      <c r="AZ135" s="7">
        <v>0</v>
      </c>
      <c r="BA135" s="7">
        <v>0</v>
      </c>
      <c r="BB135" s="7">
        <v>0</v>
      </c>
      <c r="BC135" s="7">
        <v>0</v>
      </c>
      <c r="BD135" s="7">
        <v>0</v>
      </c>
      <c r="BE135" s="7">
        <v>0</v>
      </c>
      <c r="BF135" s="7">
        <v>0</v>
      </c>
      <c r="BG135" s="7">
        <v>0</v>
      </c>
      <c r="BH135" s="7">
        <v>0</v>
      </c>
      <c r="BI135" s="7">
        <v>0</v>
      </c>
      <c r="BJ135" s="7">
        <v>0</v>
      </c>
      <c r="BK135" s="7">
        <v>0</v>
      </c>
      <c r="BL135" s="7">
        <v>1</v>
      </c>
      <c r="BM135" s="7">
        <v>1</v>
      </c>
      <c r="BN135" s="7">
        <v>1</v>
      </c>
      <c r="BO135" s="7">
        <v>1</v>
      </c>
      <c r="BP135" s="7">
        <v>1</v>
      </c>
      <c r="BQ135" s="7">
        <v>1</v>
      </c>
      <c r="BR135" s="7">
        <v>1</v>
      </c>
      <c r="BS135" s="7">
        <v>1</v>
      </c>
      <c r="BT135" s="7">
        <v>1</v>
      </c>
      <c r="BU135" s="7">
        <v>1</v>
      </c>
      <c r="BV135" s="7">
        <v>1</v>
      </c>
      <c r="BW135" s="7">
        <v>1</v>
      </c>
      <c r="BX135" s="7">
        <v>0</v>
      </c>
      <c r="BY135" s="7">
        <v>0</v>
      </c>
      <c r="BZ135" s="7">
        <v>0</v>
      </c>
      <c r="CA135" s="7">
        <v>0</v>
      </c>
      <c r="CB135" s="7">
        <v>0</v>
      </c>
      <c r="CC135" s="7">
        <v>0</v>
      </c>
      <c r="CD135" s="7">
        <v>0</v>
      </c>
      <c r="CE135" s="7">
        <v>0</v>
      </c>
      <c r="CF135" s="7">
        <v>0</v>
      </c>
      <c r="CG135" s="7">
        <v>0</v>
      </c>
      <c r="CH135" s="7">
        <v>0</v>
      </c>
      <c r="CI135" s="7">
        <v>0</v>
      </c>
    </row>
    <row r="138" spans="1:87">
      <c r="A138" s="1" t="s">
        <v>189</v>
      </c>
    </row>
    <row r="139" spans="1:87">
      <c r="B139" s="6"/>
      <c r="C139" s="6" t="s">
        <v>190</v>
      </c>
      <c r="D139" s="6" t="s">
        <v>176</v>
      </c>
      <c r="E139" s="6" t="s">
        <v>177</v>
      </c>
      <c r="F139" s="6" t="s">
        <v>178</v>
      </c>
      <c r="G139" s="6" t="s">
        <v>12</v>
      </c>
      <c r="H139" s="6" t="s">
        <v>191</v>
      </c>
      <c r="I139" s="6" t="s">
        <v>192</v>
      </c>
      <c r="K139" s="50" t="s">
        <v>12</v>
      </c>
    </row>
    <row r="140" spans="1:87">
      <c r="A140" s="627" t="s">
        <v>1069</v>
      </c>
      <c r="B140" s="499" t="s">
        <v>193</v>
      </c>
      <c r="C140" s="609">
        <f>1-IF(A141=1,S.AdRvr!S13,IF(A141=2,S.AdRvr!S14,S.AdRvr!S7))</f>
        <v>0.37333333333333341</v>
      </c>
      <c r="D140" s="7">
        <v>0</v>
      </c>
      <c r="E140" s="7">
        <v>0</v>
      </c>
      <c r="F140" s="7">
        <v>0</v>
      </c>
      <c r="G140" s="608">
        <f>S.AdRvr!S8</f>
        <v>6.6583281184793924E-2</v>
      </c>
      <c r="H140" s="7">
        <v>0</v>
      </c>
      <c r="I140" s="7">
        <v>0</v>
      </c>
      <c r="K140" s="608">
        <f>S.AdRvr!S8</f>
        <v>6.6583281184793924E-2</v>
      </c>
      <c r="L140" s="499" t="s">
        <v>1065</v>
      </c>
    </row>
    <row r="141" spans="1:87">
      <c r="A141" s="628">
        <v>3</v>
      </c>
      <c r="B141" s="499" t="s">
        <v>194</v>
      </c>
      <c r="C141" s="7">
        <v>0</v>
      </c>
      <c r="D141" s="7">
        <v>0</v>
      </c>
      <c r="E141" s="7">
        <v>0</v>
      </c>
      <c r="F141" s="7">
        <v>0</v>
      </c>
      <c r="G141" s="7">
        <v>0</v>
      </c>
      <c r="H141" s="7">
        <v>0</v>
      </c>
      <c r="I141" s="7">
        <v>0</v>
      </c>
      <c r="K141" s="7">
        <v>0</v>
      </c>
    </row>
    <row r="145" spans="1:12">
      <c r="A145" s="1" t="s">
        <v>195</v>
      </c>
      <c r="B145" s="1"/>
      <c r="C145" s="1"/>
    </row>
    <row r="146" spans="1:12">
      <c r="B146" s="6" t="s">
        <v>196</v>
      </c>
      <c r="C146" s="6"/>
      <c r="D146" s="6"/>
      <c r="E146" s="6"/>
      <c r="F146" s="6"/>
    </row>
    <row r="147" spans="1:12">
      <c r="B147" s="499" t="s">
        <v>63</v>
      </c>
      <c r="C147" s="499" t="s">
        <v>64</v>
      </c>
      <c r="D147" s="499" t="s">
        <v>197</v>
      </c>
      <c r="E147" s="499" t="s">
        <v>66</v>
      </c>
    </row>
    <row r="148" spans="1:12">
      <c r="B148" s="7">
        <v>0</v>
      </c>
      <c r="C148" s="7">
        <v>0</v>
      </c>
      <c r="D148" s="7">
        <v>0</v>
      </c>
      <c r="E148" s="7">
        <v>0</v>
      </c>
    </row>
    <row r="151" spans="1:12">
      <c r="A151" s="1" t="s">
        <v>198</v>
      </c>
    </row>
    <row r="152" spans="1:12">
      <c r="B152" s="6" t="s">
        <v>199</v>
      </c>
      <c r="C152" s="6" t="s">
        <v>200</v>
      </c>
      <c r="D152" s="6" t="s">
        <v>188</v>
      </c>
      <c r="E152" s="6" t="s">
        <v>67</v>
      </c>
      <c r="F152" s="6" t="s">
        <v>63</v>
      </c>
      <c r="G152" s="6" t="s">
        <v>197</v>
      </c>
      <c r="H152" s="6" t="s">
        <v>66</v>
      </c>
      <c r="I152" s="6" t="s">
        <v>201</v>
      </c>
    </row>
    <row r="153" spans="1:12">
      <c r="B153" s="499" t="s">
        <v>202</v>
      </c>
      <c r="C153" s="499" t="s">
        <v>203</v>
      </c>
      <c r="D153" s="7">
        <v>1</v>
      </c>
      <c r="E153" s="7">
        <v>1</v>
      </c>
      <c r="F153" s="7">
        <v>1</v>
      </c>
      <c r="G153" s="7">
        <v>1</v>
      </c>
      <c r="H153" s="7">
        <v>1</v>
      </c>
      <c r="I153" s="7">
        <v>1</v>
      </c>
      <c r="J153" s="5" t="s">
        <v>204</v>
      </c>
      <c r="K153" s="5"/>
      <c r="L153" s="5"/>
    </row>
    <row r="154" spans="1:12">
      <c r="B154" s="499" t="s">
        <v>205</v>
      </c>
      <c r="C154" s="499" t="s">
        <v>206</v>
      </c>
      <c r="D154" s="7">
        <v>1</v>
      </c>
      <c r="E154" s="7">
        <v>1</v>
      </c>
      <c r="F154" s="7">
        <v>1</v>
      </c>
      <c r="G154" s="7">
        <v>1</v>
      </c>
      <c r="H154" s="7">
        <v>1</v>
      </c>
      <c r="I154" s="7">
        <v>1</v>
      </c>
      <c r="J154" s="5" t="s">
        <v>207</v>
      </c>
      <c r="K154" s="5"/>
      <c r="L154" s="5"/>
    </row>
    <row r="155" spans="1:12">
      <c r="B155" s="499" t="s">
        <v>208</v>
      </c>
      <c r="C155" s="499" t="s">
        <v>209</v>
      </c>
      <c r="D155" s="7">
        <v>1</v>
      </c>
      <c r="E155" s="7">
        <v>1</v>
      </c>
      <c r="F155" s="7">
        <v>1</v>
      </c>
      <c r="G155" s="7">
        <v>1</v>
      </c>
      <c r="H155" s="7">
        <v>1</v>
      </c>
      <c r="I155" s="7">
        <v>1</v>
      </c>
      <c r="J155" s="5" t="s">
        <v>210</v>
      </c>
      <c r="K155" s="5"/>
      <c r="L155" s="5"/>
    </row>
    <row r="156" spans="1:12">
      <c r="B156" s="499" t="s">
        <v>211</v>
      </c>
      <c r="C156" s="499" t="s">
        <v>212</v>
      </c>
      <c r="D156" s="7">
        <v>1</v>
      </c>
      <c r="E156" s="7">
        <v>1</v>
      </c>
      <c r="F156" s="7">
        <v>1</v>
      </c>
      <c r="G156" s="7">
        <v>1</v>
      </c>
      <c r="H156" s="7">
        <v>1</v>
      </c>
      <c r="I156" s="7">
        <v>1</v>
      </c>
    </row>
    <row r="157" spans="1:12">
      <c r="B157" s="499" t="s">
        <v>213</v>
      </c>
      <c r="C157" s="499" t="s">
        <v>214</v>
      </c>
      <c r="D157" s="7">
        <v>1</v>
      </c>
      <c r="E157" s="7">
        <v>1</v>
      </c>
      <c r="F157" s="7">
        <v>1</v>
      </c>
      <c r="G157" s="7">
        <v>1</v>
      </c>
      <c r="H157" s="7">
        <v>1</v>
      </c>
      <c r="I157" s="7">
        <v>1</v>
      </c>
    </row>
    <row r="158" spans="1:12">
      <c r="B158" s="499" t="s">
        <v>215</v>
      </c>
      <c r="C158" s="499" t="s">
        <v>216</v>
      </c>
      <c r="D158" s="7">
        <v>1</v>
      </c>
      <c r="E158" s="7">
        <v>1</v>
      </c>
      <c r="F158" s="7">
        <v>1</v>
      </c>
      <c r="G158" s="7">
        <v>1</v>
      </c>
      <c r="H158" s="7">
        <v>1</v>
      </c>
      <c r="I158" s="7">
        <v>1</v>
      </c>
    </row>
    <row r="159" spans="1:12">
      <c r="B159" s="499" t="s">
        <v>217</v>
      </c>
      <c r="C159" s="499" t="s">
        <v>218</v>
      </c>
      <c r="D159" s="7">
        <v>1</v>
      </c>
      <c r="E159" s="7">
        <v>1</v>
      </c>
      <c r="F159" s="7">
        <v>1</v>
      </c>
      <c r="G159" s="7">
        <v>1</v>
      </c>
      <c r="H159" s="7">
        <v>1</v>
      </c>
      <c r="I159" s="7">
        <v>1</v>
      </c>
    </row>
    <row r="160" spans="1:12">
      <c r="B160" s="499" t="s">
        <v>219</v>
      </c>
      <c r="C160" s="499" t="s">
        <v>220</v>
      </c>
      <c r="D160" s="7">
        <v>1</v>
      </c>
      <c r="E160" s="7">
        <v>1</v>
      </c>
      <c r="F160" s="7">
        <v>1</v>
      </c>
      <c r="G160" s="7">
        <v>1</v>
      </c>
      <c r="H160" s="7">
        <v>1</v>
      </c>
      <c r="I160" s="7">
        <v>1</v>
      </c>
    </row>
    <row r="161" spans="1:13">
      <c r="B161" s="499" t="s">
        <v>221</v>
      </c>
      <c r="C161" s="499" t="s">
        <v>222</v>
      </c>
      <c r="D161" s="7">
        <v>1</v>
      </c>
      <c r="E161" s="7">
        <v>1</v>
      </c>
      <c r="F161" s="7">
        <v>1</v>
      </c>
      <c r="G161" s="7">
        <v>1</v>
      </c>
      <c r="H161" s="7">
        <v>1</v>
      </c>
      <c r="I161" s="7">
        <v>1</v>
      </c>
    </row>
    <row r="162" spans="1:13">
      <c r="B162" s="499" t="s">
        <v>223</v>
      </c>
      <c r="C162" s="499" t="s">
        <v>224</v>
      </c>
      <c r="D162" s="7">
        <v>1</v>
      </c>
      <c r="E162" s="7">
        <v>1</v>
      </c>
      <c r="F162" s="7">
        <v>1</v>
      </c>
      <c r="G162" s="7">
        <v>1</v>
      </c>
      <c r="H162" s="7">
        <v>1</v>
      </c>
      <c r="I162" s="7">
        <v>1</v>
      </c>
    </row>
    <row r="163" spans="1:13">
      <c r="B163" s="499" t="s">
        <v>225</v>
      </c>
      <c r="C163" s="499" t="s">
        <v>226</v>
      </c>
      <c r="D163" s="7">
        <v>1</v>
      </c>
      <c r="E163" s="7">
        <v>1</v>
      </c>
      <c r="F163" s="7">
        <v>1</v>
      </c>
      <c r="G163" s="7">
        <v>1</v>
      </c>
      <c r="H163" s="7">
        <v>1</v>
      </c>
      <c r="I163" s="7">
        <v>1</v>
      </c>
    </row>
    <row r="166" spans="1:13">
      <c r="A166" s="1" t="s">
        <v>227</v>
      </c>
      <c r="B166" s="1"/>
      <c r="C166" s="1"/>
      <c r="D166" s="1"/>
      <c r="E166" s="1"/>
    </row>
    <row r="167" spans="1:13">
      <c r="B167" s="13"/>
      <c r="C167" s="13"/>
      <c r="D167" s="13" t="s">
        <v>228</v>
      </c>
      <c r="E167" s="13"/>
      <c r="F167" s="13"/>
      <c r="G167" s="13"/>
      <c r="H167" s="13"/>
      <c r="I167" s="13"/>
      <c r="J167" s="13"/>
      <c r="K167" s="13"/>
      <c r="L167" s="13"/>
      <c r="M167" s="13"/>
    </row>
    <row r="168" spans="1:13">
      <c r="B168" s="6" t="s">
        <v>199</v>
      </c>
      <c r="C168" s="6" t="s">
        <v>200</v>
      </c>
      <c r="D168" s="6">
        <v>1</v>
      </c>
      <c r="E168" s="6">
        <v>2</v>
      </c>
      <c r="F168" s="6">
        <v>3</v>
      </c>
      <c r="G168" s="6">
        <v>4</v>
      </c>
      <c r="H168" s="6">
        <v>5</v>
      </c>
      <c r="I168" s="6">
        <v>6</v>
      </c>
      <c r="J168" s="6">
        <v>7</v>
      </c>
      <c r="K168" s="6">
        <v>8</v>
      </c>
      <c r="L168" s="6">
        <v>9</v>
      </c>
      <c r="M168" s="6">
        <v>10</v>
      </c>
    </row>
    <row r="169" spans="1:13">
      <c r="B169" s="499" t="s">
        <v>202</v>
      </c>
      <c r="C169" s="499" t="s">
        <v>203</v>
      </c>
      <c r="D169" s="267">
        <f>f!C11</f>
        <v>4090.9228635271579</v>
      </c>
      <c r="E169" s="267">
        <f>f!C12</f>
        <v>7021.3100064774535</v>
      </c>
      <c r="F169" s="267">
        <f>f!C13</f>
        <v>10170.074024482548</v>
      </c>
      <c r="G169" s="267">
        <f>f!C13</f>
        <v>10170.074024482548</v>
      </c>
      <c r="H169" s="267">
        <f>f!C13</f>
        <v>10170.074024482548</v>
      </c>
      <c r="I169" s="267">
        <f>f!C13</f>
        <v>10170.074024482548</v>
      </c>
      <c r="J169" s="267">
        <f>f!C13</f>
        <v>10170.074024482548</v>
      </c>
      <c r="K169" s="267">
        <f>f!C13</f>
        <v>10170.074024482548</v>
      </c>
      <c r="L169" s="267">
        <f>f!C13</f>
        <v>10170.074024482548</v>
      </c>
      <c r="M169" s="267">
        <f>f!C13</f>
        <v>10170.074024482548</v>
      </c>
    </row>
    <row r="170" spans="1:13">
      <c r="B170" s="499" t="s">
        <v>205</v>
      </c>
      <c r="C170" s="499" t="s">
        <v>206</v>
      </c>
      <c r="D170" s="7">
        <v>4000</v>
      </c>
      <c r="E170" s="7">
        <v>7000</v>
      </c>
      <c r="F170" s="7">
        <v>10000</v>
      </c>
      <c r="G170" s="7">
        <v>10000</v>
      </c>
      <c r="H170" s="7">
        <v>10000</v>
      </c>
      <c r="I170" s="7">
        <v>10000</v>
      </c>
      <c r="J170" s="7">
        <v>10000</v>
      </c>
      <c r="K170" s="7">
        <v>10000</v>
      </c>
      <c r="L170" s="7">
        <v>10000</v>
      </c>
      <c r="M170" s="7">
        <v>10000</v>
      </c>
    </row>
    <row r="171" spans="1:13">
      <c r="B171" s="499" t="s">
        <v>208</v>
      </c>
      <c r="C171" s="499" t="s">
        <v>209</v>
      </c>
      <c r="D171" s="7">
        <v>4000</v>
      </c>
      <c r="E171" s="7">
        <v>7000</v>
      </c>
      <c r="F171" s="7">
        <v>10000</v>
      </c>
      <c r="G171" s="7">
        <v>10000</v>
      </c>
      <c r="H171" s="7">
        <v>10000</v>
      </c>
      <c r="I171" s="7">
        <v>10000</v>
      </c>
      <c r="J171" s="7">
        <v>10000</v>
      </c>
      <c r="K171" s="7">
        <v>10000</v>
      </c>
      <c r="L171" s="7">
        <v>10000</v>
      </c>
      <c r="M171" s="7">
        <v>10000</v>
      </c>
    </row>
    <row r="172" spans="1:13">
      <c r="B172" s="499" t="s">
        <v>211</v>
      </c>
      <c r="C172" s="499" t="s">
        <v>212</v>
      </c>
      <c r="D172" s="7">
        <v>4000</v>
      </c>
      <c r="E172" s="7">
        <v>7000</v>
      </c>
      <c r="F172" s="7">
        <v>10000</v>
      </c>
      <c r="G172" s="7">
        <v>10000</v>
      </c>
      <c r="H172" s="7">
        <v>10000</v>
      </c>
      <c r="I172" s="7">
        <v>10000</v>
      </c>
      <c r="J172" s="7">
        <v>10000</v>
      </c>
      <c r="K172" s="7">
        <v>10000</v>
      </c>
      <c r="L172" s="7">
        <v>10000</v>
      </c>
      <c r="M172" s="7">
        <v>10000</v>
      </c>
    </row>
    <row r="173" spans="1:13">
      <c r="B173" s="499" t="s">
        <v>213</v>
      </c>
      <c r="C173" s="499" t="s">
        <v>214</v>
      </c>
      <c r="D173" s="7">
        <v>4000</v>
      </c>
      <c r="E173" s="7">
        <v>7000</v>
      </c>
      <c r="F173" s="7">
        <v>10000</v>
      </c>
      <c r="G173" s="7">
        <v>10000</v>
      </c>
      <c r="H173" s="7">
        <v>10000</v>
      </c>
      <c r="I173" s="7">
        <v>10000</v>
      </c>
      <c r="J173" s="7">
        <v>10000</v>
      </c>
      <c r="K173" s="7">
        <v>10000</v>
      </c>
      <c r="L173" s="7">
        <v>10000</v>
      </c>
      <c r="M173" s="7">
        <v>10000</v>
      </c>
    </row>
    <row r="174" spans="1:13">
      <c r="B174" s="499" t="s">
        <v>215</v>
      </c>
      <c r="C174" s="499" t="s">
        <v>216</v>
      </c>
      <c r="D174" s="7">
        <v>4000</v>
      </c>
      <c r="E174" s="7">
        <v>7000</v>
      </c>
      <c r="F174" s="7">
        <v>10000</v>
      </c>
      <c r="G174" s="7">
        <v>10000</v>
      </c>
      <c r="H174" s="7">
        <v>10000</v>
      </c>
      <c r="I174" s="7">
        <v>10000</v>
      </c>
      <c r="J174" s="7">
        <v>10000</v>
      </c>
      <c r="K174" s="7">
        <v>10000</v>
      </c>
      <c r="L174" s="7">
        <v>10000</v>
      </c>
      <c r="M174" s="7">
        <v>10000</v>
      </c>
    </row>
    <row r="175" spans="1:13">
      <c r="B175" s="499" t="s">
        <v>217</v>
      </c>
      <c r="C175" s="499" t="s">
        <v>218</v>
      </c>
      <c r="D175" s="7">
        <v>4000</v>
      </c>
      <c r="E175" s="7">
        <v>7000</v>
      </c>
      <c r="F175" s="7">
        <v>10000</v>
      </c>
      <c r="G175" s="7">
        <v>10000</v>
      </c>
      <c r="H175" s="7">
        <v>10000</v>
      </c>
      <c r="I175" s="7">
        <v>10000</v>
      </c>
      <c r="J175" s="7">
        <v>10000</v>
      </c>
      <c r="K175" s="7">
        <v>10000</v>
      </c>
      <c r="L175" s="7">
        <v>10000</v>
      </c>
      <c r="M175" s="7">
        <v>10000</v>
      </c>
    </row>
    <row r="176" spans="1:13">
      <c r="B176" s="499" t="s">
        <v>219</v>
      </c>
      <c r="C176" s="499" t="s">
        <v>220</v>
      </c>
      <c r="D176" s="7">
        <v>4000</v>
      </c>
      <c r="E176" s="7">
        <v>7000</v>
      </c>
      <c r="F176" s="7">
        <v>10000</v>
      </c>
      <c r="G176" s="7">
        <v>10000</v>
      </c>
      <c r="H176" s="7">
        <v>10000</v>
      </c>
      <c r="I176" s="7">
        <v>10000</v>
      </c>
      <c r="J176" s="7">
        <v>10000</v>
      </c>
      <c r="K176" s="7">
        <v>10000</v>
      </c>
      <c r="L176" s="7">
        <v>10000</v>
      </c>
      <c r="M176" s="7">
        <v>10000</v>
      </c>
    </row>
    <row r="177" spans="1:23">
      <c r="B177" s="499" t="s">
        <v>221</v>
      </c>
      <c r="C177" s="499" t="s">
        <v>222</v>
      </c>
      <c r="D177" s="7">
        <v>4000</v>
      </c>
      <c r="E177" s="7">
        <v>7000</v>
      </c>
      <c r="F177" s="7">
        <v>10000</v>
      </c>
      <c r="G177" s="7">
        <v>10000</v>
      </c>
      <c r="H177" s="7">
        <v>10000</v>
      </c>
      <c r="I177" s="7">
        <v>10000</v>
      </c>
      <c r="J177" s="7">
        <v>10000</v>
      </c>
      <c r="K177" s="7">
        <v>10000</v>
      </c>
      <c r="L177" s="7">
        <v>10000</v>
      </c>
      <c r="M177" s="7">
        <v>10000</v>
      </c>
    </row>
    <row r="178" spans="1:23">
      <c r="B178" s="499" t="s">
        <v>223</v>
      </c>
      <c r="C178" s="499" t="s">
        <v>224</v>
      </c>
      <c r="D178" s="7">
        <v>4000</v>
      </c>
      <c r="E178" s="7">
        <v>7000</v>
      </c>
      <c r="F178" s="7">
        <v>10000</v>
      </c>
      <c r="G178" s="7">
        <v>10000</v>
      </c>
      <c r="H178" s="7">
        <v>10000</v>
      </c>
      <c r="I178" s="7">
        <v>10000</v>
      </c>
      <c r="J178" s="7">
        <v>10000</v>
      </c>
      <c r="K178" s="7">
        <v>10000</v>
      </c>
      <c r="L178" s="7">
        <v>10000</v>
      </c>
      <c r="M178" s="7">
        <v>10000</v>
      </c>
    </row>
    <row r="179" spans="1:23">
      <c r="B179" s="499" t="s">
        <v>225</v>
      </c>
      <c r="C179" s="499" t="s">
        <v>226</v>
      </c>
      <c r="D179" s="7">
        <v>4000</v>
      </c>
      <c r="E179" s="7">
        <v>7000</v>
      </c>
      <c r="F179" s="7">
        <v>10000</v>
      </c>
      <c r="G179" s="7">
        <v>10000</v>
      </c>
      <c r="H179" s="7">
        <v>10000</v>
      </c>
      <c r="I179" s="7">
        <v>10000</v>
      </c>
      <c r="J179" s="7">
        <v>10000</v>
      </c>
      <c r="K179" s="7">
        <v>10000</v>
      </c>
      <c r="L179" s="7">
        <v>10000</v>
      </c>
      <c r="M179" s="7">
        <v>10000</v>
      </c>
    </row>
    <row r="182" spans="1:23">
      <c r="A182" s="1" t="s">
        <v>229</v>
      </c>
      <c r="D182" s="499" t="s">
        <v>230</v>
      </c>
      <c r="E182" s="499" t="s">
        <v>230</v>
      </c>
      <c r="F182" s="499" t="s">
        <v>230</v>
      </c>
      <c r="G182" s="499" t="s">
        <v>230</v>
      </c>
      <c r="H182" s="499" t="s">
        <v>230</v>
      </c>
      <c r="I182" s="499" t="s">
        <v>230</v>
      </c>
      <c r="J182" s="499" t="s">
        <v>230</v>
      </c>
      <c r="K182" s="499" t="s">
        <v>230</v>
      </c>
      <c r="L182" s="499" t="s">
        <v>230</v>
      </c>
      <c r="M182" s="499" t="s">
        <v>230</v>
      </c>
      <c r="N182" s="499" t="s">
        <v>231</v>
      </c>
      <c r="O182" s="499" t="s">
        <v>231</v>
      </c>
      <c r="P182" s="499" t="s">
        <v>231</v>
      </c>
      <c r="Q182" s="499" t="s">
        <v>231</v>
      </c>
      <c r="R182" s="499" t="s">
        <v>231</v>
      </c>
      <c r="S182" s="499" t="s">
        <v>231</v>
      </c>
      <c r="T182" s="499" t="s">
        <v>231</v>
      </c>
      <c r="U182" s="499" t="s">
        <v>231</v>
      </c>
      <c r="V182" s="499" t="s">
        <v>231</v>
      </c>
      <c r="W182" s="499" t="s">
        <v>231</v>
      </c>
    </row>
    <row r="183" spans="1:23">
      <c r="A183" s="14" t="s">
        <v>232</v>
      </c>
      <c r="D183" s="499" t="s">
        <v>233</v>
      </c>
      <c r="N183" s="499" t="s">
        <v>233</v>
      </c>
    </row>
    <row r="184" spans="1:23">
      <c r="B184" s="6" t="s">
        <v>199</v>
      </c>
      <c r="C184" s="6" t="s">
        <v>200</v>
      </c>
      <c r="D184" s="6">
        <v>1</v>
      </c>
      <c r="E184" s="6">
        <v>2</v>
      </c>
      <c r="F184" s="6">
        <v>3</v>
      </c>
      <c r="G184" s="6">
        <v>4</v>
      </c>
      <c r="H184" s="6">
        <v>5</v>
      </c>
      <c r="I184" s="6">
        <v>6</v>
      </c>
      <c r="J184" s="6">
        <v>7</v>
      </c>
      <c r="K184" s="6">
        <v>8</v>
      </c>
      <c r="L184" s="6">
        <v>9</v>
      </c>
      <c r="M184" s="6">
        <v>10</v>
      </c>
      <c r="N184" s="6">
        <v>1</v>
      </c>
      <c r="O184" s="6">
        <v>2</v>
      </c>
      <c r="P184" s="6">
        <v>3</v>
      </c>
      <c r="Q184" s="6">
        <v>4</v>
      </c>
      <c r="R184" s="6">
        <v>5</v>
      </c>
      <c r="S184" s="6">
        <v>6</v>
      </c>
      <c r="T184" s="6">
        <v>7</v>
      </c>
      <c r="U184" s="6">
        <v>8</v>
      </c>
      <c r="V184" s="6">
        <v>9</v>
      </c>
      <c r="W184" s="6">
        <v>10</v>
      </c>
    </row>
    <row r="185" spans="1:23">
      <c r="B185" s="499" t="s">
        <v>202</v>
      </c>
      <c r="C185" s="499" t="s">
        <v>203</v>
      </c>
      <c r="D185" s="264">
        <f>S.kelt!A27</f>
        <v>5.4227206260661485E-2</v>
      </c>
      <c r="E185" s="264">
        <f>S.kelt!B27</f>
        <v>5.3478870814264355E-2</v>
      </c>
      <c r="F185" s="264">
        <f>S.kelt!C27</f>
        <v>5.3478870814264355E-2</v>
      </c>
      <c r="G185" s="269">
        <v>0</v>
      </c>
      <c r="H185" s="269">
        <v>0</v>
      </c>
      <c r="I185" s="269">
        <v>0</v>
      </c>
      <c r="J185" s="7">
        <v>0</v>
      </c>
      <c r="K185" s="7">
        <v>0</v>
      </c>
      <c r="L185" s="7">
        <v>0</v>
      </c>
      <c r="M185" s="7">
        <v>0</v>
      </c>
      <c r="N185" s="264">
        <f>S.kelt!A27</f>
        <v>5.4227206260661485E-2</v>
      </c>
      <c r="O185" s="264">
        <f>S.kelt!B27</f>
        <v>5.3478870814264355E-2</v>
      </c>
      <c r="P185" s="264">
        <f>S.kelt!C27</f>
        <v>5.3478870814264355E-2</v>
      </c>
      <c r="Q185" s="269">
        <v>0</v>
      </c>
      <c r="R185" s="269">
        <v>0</v>
      </c>
      <c r="S185" s="269">
        <v>0</v>
      </c>
      <c r="T185" s="7">
        <v>0</v>
      </c>
      <c r="U185" s="7">
        <v>0</v>
      </c>
      <c r="V185" s="7">
        <v>0</v>
      </c>
      <c r="W185" s="7">
        <v>0</v>
      </c>
    </row>
    <row r="186" spans="1:23">
      <c r="B186" s="499" t="s">
        <v>205</v>
      </c>
      <c r="C186" s="499" t="s">
        <v>206</v>
      </c>
      <c r="D186" s="7">
        <v>0</v>
      </c>
      <c r="E186" s="7">
        <v>0</v>
      </c>
      <c r="F186" s="7">
        <v>0</v>
      </c>
      <c r="G186" s="7">
        <v>0</v>
      </c>
      <c r="H186" s="7">
        <v>0</v>
      </c>
      <c r="I186" s="7">
        <v>0</v>
      </c>
      <c r="J186" s="7">
        <v>0</v>
      </c>
      <c r="K186" s="7">
        <v>0</v>
      </c>
      <c r="L186" s="7">
        <v>0</v>
      </c>
      <c r="M186" s="7">
        <v>0</v>
      </c>
      <c r="N186" s="7">
        <v>0</v>
      </c>
      <c r="O186" s="7">
        <v>0</v>
      </c>
      <c r="P186" s="7">
        <v>0</v>
      </c>
      <c r="Q186" s="7">
        <v>0</v>
      </c>
      <c r="R186" s="7">
        <v>0</v>
      </c>
      <c r="S186" s="7">
        <v>0</v>
      </c>
      <c r="T186" s="7">
        <v>0</v>
      </c>
      <c r="U186" s="7">
        <v>0</v>
      </c>
      <c r="V186" s="7">
        <v>0</v>
      </c>
      <c r="W186" s="7">
        <v>0</v>
      </c>
    </row>
    <row r="187" spans="1:23">
      <c r="B187" s="499" t="s">
        <v>208</v>
      </c>
      <c r="C187" s="499" t="s">
        <v>209</v>
      </c>
      <c r="D187" s="7">
        <v>0</v>
      </c>
      <c r="E187" s="7">
        <v>0</v>
      </c>
      <c r="F187" s="7">
        <v>0</v>
      </c>
      <c r="G187" s="7">
        <v>0</v>
      </c>
      <c r="H187" s="7">
        <v>0</v>
      </c>
      <c r="I187" s="7">
        <v>0</v>
      </c>
      <c r="J187" s="7">
        <v>0</v>
      </c>
      <c r="K187" s="7">
        <v>0</v>
      </c>
      <c r="L187" s="7">
        <v>0</v>
      </c>
      <c r="M187" s="7">
        <v>0</v>
      </c>
      <c r="N187" s="7">
        <v>0</v>
      </c>
      <c r="O187" s="7">
        <v>0</v>
      </c>
      <c r="P187" s="7">
        <v>0</v>
      </c>
      <c r="Q187" s="7">
        <v>0</v>
      </c>
      <c r="R187" s="7">
        <v>0</v>
      </c>
      <c r="S187" s="7">
        <v>0</v>
      </c>
      <c r="T187" s="7">
        <v>0</v>
      </c>
      <c r="U187" s="7">
        <v>0</v>
      </c>
      <c r="V187" s="7">
        <v>0</v>
      </c>
      <c r="W187" s="7">
        <v>0</v>
      </c>
    </row>
    <row r="188" spans="1:23">
      <c r="B188" s="499" t="s">
        <v>211</v>
      </c>
      <c r="C188" s="499" t="s">
        <v>212</v>
      </c>
      <c r="D188" s="7">
        <v>0</v>
      </c>
      <c r="E188" s="7">
        <v>0</v>
      </c>
      <c r="F188" s="7">
        <v>0</v>
      </c>
      <c r="G188" s="7">
        <v>0</v>
      </c>
      <c r="H188" s="7">
        <v>0</v>
      </c>
      <c r="I188" s="7">
        <v>0</v>
      </c>
      <c r="J188" s="7">
        <v>0</v>
      </c>
      <c r="K188" s="7">
        <v>0</v>
      </c>
      <c r="L188" s="7">
        <v>0</v>
      </c>
      <c r="M188" s="7">
        <v>0</v>
      </c>
      <c r="N188" s="7">
        <v>0</v>
      </c>
      <c r="O188" s="7">
        <v>0</v>
      </c>
      <c r="P188" s="7">
        <v>0</v>
      </c>
      <c r="Q188" s="7">
        <v>0</v>
      </c>
      <c r="R188" s="7">
        <v>0</v>
      </c>
      <c r="S188" s="7">
        <v>0</v>
      </c>
      <c r="T188" s="7">
        <v>0</v>
      </c>
      <c r="U188" s="7">
        <v>0</v>
      </c>
      <c r="V188" s="7">
        <v>0</v>
      </c>
      <c r="W188" s="7">
        <v>0</v>
      </c>
    </row>
    <row r="189" spans="1:23">
      <c r="B189" s="499" t="s">
        <v>213</v>
      </c>
      <c r="C189" s="499" t="s">
        <v>214</v>
      </c>
      <c r="D189" s="7">
        <v>0</v>
      </c>
      <c r="E189" s="7">
        <v>0</v>
      </c>
      <c r="F189" s="7">
        <v>0</v>
      </c>
      <c r="G189" s="7">
        <v>0</v>
      </c>
      <c r="H189" s="7">
        <v>0</v>
      </c>
      <c r="I189" s="7">
        <v>0</v>
      </c>
      <c r="J189" s="7">
        <v>0</v>
      </c>
      <c r="K189" s="7">
        <v>0</v>
      </c>
      <c r="L189" s="7">
        <v>0</v>
      </c>
      <c r="M189" s="7">
        <v>0</v>
      </c>
      <c r="N189" s="7">
        <v>0</v>
      </c>
      <c r="O189" s="7">
        <v>0</v>
      </c>
      <c r="P189" s="7">
        <v>0</v>
      </c>
      <c r="Q189" s="7">
        <v>0</v>
      </c>
      <c r="R189" s="7">
        <v>0</v>
      </c>
      <c r="S189" s="7">
        <v>0</v>
      </c>
      <c r="T189" s="7">
        <v>0</v>
      </c>
      <c r="U189" s="7">
        <v>0</v>
      </c>
      <c r="V189" s="7">
        <v>0</v>
      </c>
      <c r="W189" s="7">
        <v>0</v>
      </c>
    </row>
    <row r="190" spans="1:23">
      <c r="B190" s="499" t="s">
        <v>215</v>
      </c>
      <c r="C190" s="499" t="s">
        <v>216</v>
      </c>
      <c r="D190" s="7">
        <v>0</v>
      </c>
      <c r="E190" s="7">
        <v>0</v>
      </c>
      <c r="F190" s="7">
        <v>0</v>
      </c>
      <c r="G190" s="7">
        <v>0</v>
      </c>
      <c r="H190" s="7">
        <v>0</v>
      </c>
      <c r="I190" s="7">
        <v>0</v>
      </c>
      <c r="J190" s="7">
        <v>0</v>
      </c>
      <c r="K190" s="7">
        <v>0</v>
      </c>
      <c r="L190" s="7">
        <v>0</v>
      </c>
      <c r="M190" s="7">
        <v>0</v>
      </c>
      <c r="N190" s="7">
        <v>0</v>
      </c>
      <c r="O190" s="7">
        <v>0</v>
      </c>
      <c r="P190" s="7">
        <v>0</v>
      </c>
      <c r="Q190" s="7">
        <v>0</v>
      </c>
      <c r="R190" s="7">
        <v>0</v>
      </c>
      <c r="S190" s="7">
        <v>0</v>
      </c>
      <c r="T190" s="7">
        <v>0</v>
      </c>
      <c r="U190" s="7">
        <v>0</v>
      </c>
      <c r="V190" s="7">
        <v>0</v>
      </c>
      <c r="W190" s="7">
        <v>0</v>
      </c>
    </row>
    <row r="191" spans="1:23">
      <c r="B191" s="499" t="s">
        <v>217</v>
      </c>
      <c r="C191" s="499" t="s">
        <v>218</v>
      </c>
      <c r="D191" s="7">
        <v>0</v>
      </c>
      <c r="E191" s="7">
        <v>0</v>
      </c>
      <c r="F191" s="7">
        <v>0</v>
      </c>
      <c r="G191" s="7">
        <v>0</v>
      </c>
      <c r="H191" s="7">
        <v>0</v>
      </c>
      <c r="I191" s="7">
        <v>0</v>
      </c>
      <c r="J191" s="7">
        <v>0</v>
      </c>
      <c r="K191" s="7">
        <v>0</v>
      </c>
      <c r="L191" s="7">
        <v>0</v>
      </c>
      <c r="M191" s="7">
        <v>0</v>
      </c>
      <c r="N191" s="7">
        <v>0</v>
      </c>
      <c r="O191" s="7">
        <v>0</v>
      </c>
      <c r="P191" s="7">
        <v>0</v>
      </c>
      <c r="Q191" s="7">
        <v>0</v>
      </c>
      <c r="R191" s="7">
        <v>0</v>
      </c>
      <c r="S191" s="7">
        <v>0</v>
      </c>
      <c r="T191" s="7">
        <v>0</v>
      </c>
      <c r="U191" s="7">
        <v>0</v>
      </c>
      <c r="V191" s="7">
        <v>0</v>
      </c>
      <c r="W191" s="7">
        <v>0</v>
      </c>
    </row>
    <row r="192" spans="1:23">
      <c r="B192" s="499" t="s">
        <v>219</v>
      </c>
      <c r="C192" s="499" t="s">
        <v>220</v>
      </c>
      <c r="D192" s="7">
        <v>0</v>
      </c>
      <c r="E192" s="7">
        <v>0</v>
      </c>
      <c r="F192" s="7">
        <v>0</v>
      </c>
      <c r="G192" s="7">
        <v>0</v>
      </c>
      <c r="H192" s="7">
        <v>0</v>
      </c>
      <c r="I192" s="7">
        <v>0</v>
      </c>
      <c r="J192" s="7">
        <v>0</v>
      </c>
      <c r="K192" s="7">
        <v>0</v>
      </c>
      <c r="L192" s="7">
        <v>0</v>
      </c>
      <c r="M192" s="7">
        <v>0</v>
      </c>
      <c r="N192" s="7">
        <v>0</v>
      </c>
      <c r="O192" s="7">
        <v>0</v>
      </c>
      <c r="P192" s="7">
        <v>0</v>
      </c>
      <c r="Q192" s="7">
        <v>0</v>
      </c>
      <c r="R192" s="7">
        <v>0</v>
      </c>
      <c r="S192" s="7">
        <v>0</v>
      </c>
      <c r="T192" s="7">
        <v>0</v>
      </c>
      <c r="U192" s="7">
        <v>0</v>
      </c>
      <c r="V192" s="7">
        <v>0</v>
      </c>
      <c r="W192" s="7">
        <v>0</v>
      </c>
    </row>
    <row r="193" spans="1:23">
      <c r="B193" s="499" t="s">
        <v>221</v>
      </c>
      <c r="C193" s="499" t="s">
        <v>222</v>
      </c>
      <c r="D193" s="7">
        <v>0</v>
      </c>
      <c r="E193" s="7">
        <v>0</v>
      </c>
      <c r="F193" s="7">
        <v>0</v>
      </c>
      <c r="G193" s="7">
        <v>0</v>
      </c>
      <c r="H193" s="7">
        <v>0</v>
      </c>
      <c r="I193" s="7">
        <v>0</v>
      </c>
      <c r="J193" s="7">
        <v>0</v>
      </c>
      <c r="K193" s="7">
        <v>0</v>
      </c>
      <c r="L193" s="7">
        <v>0</v>
      </c>
      <c r="M193" s="7">
        <v>0</v>
      </c>
      <c r="N193" s="7">
        <v>0</v>
      </c>
      <c r="O193" s="7">
        <v>0</v>
      </c>
      <c r="P193" s="7">
        <v>0</v>
      </c>
      <c r="Q193" s="7">
        <v>0</v>
      </c>
      <c r="R193" s="7">
        <v>0</v>
      </c>
      <c r="S193" s="7">
        <v>0</v>
      </c>
      <c r="T193" s="7">
        <v>0</v>
      </c>
      <c r="U193" s="7">
        <v>0</v>
      </c>
      <c r="V193" s="7">
        <v>0</v>
      </c>
      <c r="W193" s="7">
        <v>0</v>
      </c>
    </row>
    <row r="194" spans="1:23">
      <c r="B194" s="499" t="s">
        <v>223</v>
      </c>
      <c r="C194" s="499" t="s">
        <v>224</v>
      </c>
      <c r="D194" s="7">
        <v>0</v>
      </c>
      <c r="E194" s="7">
        <v>0</v>
      </c>
      <c r="F194" s="7">
        <v>0</v>
      </c>
      <c r="G194" s="7">
        <v>0</v>
      </c>
      <c r="H194" s="7">
        <v>0</v>
      </c>
      <c r="I194" s="7">
        <v>0</v>
      </c>
      <c r="J194" s="7">
        <v>0</v>
      </c>
      <c r="K194" s="7">
        <v>0</v>
      </c>
      <c r="L194" s="7">
        <v>0</v>
      </c>
      <c r="M194" s="7">
        <v>0</v>
      </c>
      <c r="N194" s="7">
        <v>0</v>
      </c>
      <c r="O194" s="7">
        <v>0</v>
      </c>
      <c r="P194" s="7">
        <v>0</v>
      </c>
      <c r="Q194" s="7">
        <v>0</v>
      </c>
      <c r="R194" s="7">
        <v>0</v>
      </c>
      <c r="S194" s="7">
        <v>0</v>
      </c>
      <c r="T194" s="7">
        <v>0</v>
      </c>
      <c r="U194" s="7">
        <v>0</v>
      </c>
      <c r="V194" s="7">
        <v>0</v>
      </c>
      <c r="W194" s="7">
        <v>0</v>
      </c>
    </row>
    <row r="195" spans="1:23">
      <c r="B195" s="499" t="s">
        <v>225</v>
      </c>
      <c r="C195" s="499" t="s">
        <v>226</v>
      </c>
      <c r="D195" s="7">
        <v>0</v>
      </c>
      <c r="E195" s="7">
        <v>0</v>
      </c>
      <c r="F195" s="7">
        <v>0</v>
      </c>
      <c r="G195" s="7">
        <v>0</v>
      </c>
      <c r="H195" s="7">
        <v>0</v>
      </c>
      <c r="I195" s="7">
        <v>0</v>
      </c>
      <c r="J195" s="7">
        <v>0</v>
      </c>
      <c r="K195" s="7">
        <v>0</v>
      </c>
      <c r="L195" s="7">
        <v>0</v>
      </c>
      <c r="M195" s="7">
        <v>0</v>
      </c>
      <c r="N195" s="7">
        <v>0</v>
      </c>
      <c r="O195" s="7">
        <v>0</v>
      </c>
      <c r="P195" s="7">
        <v>0</v>
      </c>
      <c r="Q195" s="7">
        <v>0</v>
      </c>
      <c r="R195" s="7">
        <v>0</v>
      </c>
      <c r="S195" s="7">
        <v>0</v>
      </c>
      <c r="T195" s="7">
        <v>0</v>
      </c>
      <c r="U195" s="7">
        <v>0</v>
      </c>
      <c r="V195" s="7">
        <v>0</v>
      </c>
      <c r="W195" s="7">
        <v>0</v>
      </c>
    </row>
    <row r="197" spans="1:23">
      <c r="A197" s="1" t="s">
        <v>234</v>
      </c>
      <c r="D197" s="499" t="s">
        <v>230</v>
      </c>
      <c r="E197" s="499" t="s">
        <v>230</v>
      </c>
      <c r="F197" s="499" t="s">
        <v>230</v>
      </c>
      <c r="G197" s="499" t="s">
        <v>230</v>
      </c>
      <c r="H197" s="499" t="s">
        <v>230</v>
      </c>
      <c r="I197" s="499" t="s">
        <v>230</v>
      </c>
      <c r="J197" s="499" t="s">
        <v>230</v>
      </c>
      <c r="K197" s="499" t="s">
        <v>230</v>
      </c>
      <c r="L197" s="499" t="s">
        <v>230</v>
      </c>
      <c r="M197" s="499" t="s">
        <v>230</v>
      </c>
      <c r="N197" s="499" t="s">
        <v>231</v>
      </c>
      <c r="O197" s="499" t="s">
        <v>231</v>
      </c>
      <c r="P197" s="499" t="s">
        <v>231</v>
      </c>
      <c r="Q197" s="499" t="s">
        <v>231</v>
      </c>
      <c r="R197" s="499" t="s">
        <v>231</v>
      </c>
      <c r="S197" s="499" t="s">
        <v>231</v>
      </c>
      <c r="T197" s="499" t="s">
        <v>231</v>
      </c>
      <c r="U197" s="499" t="s">
        <v>231</v>
      </c>
      <c r="V197" s="499" t="s">
        <v>231</v>
      </c>
      <c r="W197" s="499" t="s">
        <v>231</v>
      </c>
    </row>
    <row r="198" spans="1:23">
      <c r="A198" s="14" t="s">
        <v>235</v>
      </c>
      <c r="D198" s="499" t="s">
        <v>236</v>
      </c>
      <c r="N198" s="499" t="s">
        <v>236</v>
      </c>
    </row>
    <row r="199" spans="1:23">
      <c r="B199" s="6" t="s">
        <v>199</v>
      </c>
      <c r="C199" s="6" t="s">
        <v>200</v>
      </c>
      <c r="D199" s="6">
        <v>1</v>
      </c>
      <c r="E199" s="6">
        <v>2</v>
      </c>
      <c r="F199" s="6">
        <v>3</v>
      </c>
      <c r="G199" s="6">
        <v>4</v>
      </c>
      <c r="H199" s="6">
        <v>5</v>
      </c>
      <c r="I199" s="6">
        <v>6</v>
      </c>
      <c r="J199" s="6">
        <v>7</v>
      </c>
      <c r="K199" s="6">
        <v>8</v>
      </c>
      <c r="L199" s="6">
        <v>9</v>
      </c>
      <c r="M199" s="6">
        <v>10</v>
      </c>
      <c r="N199" s="6">
        <v>1</v>
      </c>
      <c r="O199" s="6">
        <v>2</v>
      </c>
      <c r="P199" s="6">
        <v>3</v>
      </c>
      <c r="Q199" s="6">
        <v>4</v>
      </c>
      <c r="R199" s="6">
        <v>5</v>
      </c>
      <c r="S199" s="6">
        <v>6</v>
      </c>
      <c r="T199" s="6">
        <v>7</v>
      </c>
      <c r="U199" s="6">
        <v>8</v>
      </c>
      <c r="V199" s="6">
        <v>9</v>
      </c>
      <c r="W199" s="6">
        <v>10</v>
      </c>
    </row>
    <row r="200" spans="1:23">
      <c r="B200" s="499" t="s">
        <v>202</v>
      </c>
      <c r="C200" s="499" t="s">
        <v>203</v>
      </c>
      <c r="D200" s="264">
        <f>S.kelt!A39*C104</f>
        <v>0.31909795995575668</v>
      </c>
      <c r="E200" s="264">
        <f>S.kelt!A39*C104</f>
        <v>0.31909795995575668</v>
      </c>
      <c r="F200" s="264">
        <f>S.kelt!A39*C104</f>
        <v>0.31909795995575668</v>
      </c>
      <c r="G200" s="264">
        <f>S.kelt!A39*C104</f>
        <v>0.31909795995575668</v>
      </c>
      <c r="H200" s="264">
        <f>S.kelt!A39*C104</f>
        <v>0.31909795995575668</v>
      </c>
      <c r="I200" s="264">
        <f>S.kelt!A39*C104</f>
        <v>0.31909795995575668</v>
      </c>
      <c r="J200" s="7">
        <v>0</v>
      </c>
      <c r="K200" s="7">
        <v>0</v>
      </c>
      <c r="L200" s="7">
        <v>0</v>
      </c>
      <c r="M200" s="7">
        <v>0</v>
      </c>
      <c r="N200" s="264">
        <f>S.kelt!A39*C104</f>
        <v>0.31909795995575668</v>
      </c>
      <c r="O200" s="264">
        <f>S.kelt!A39*C104</f>
        <v>0.31909795995575668</v>
      </c>
      <c r="P200" s="264">
        <f>S.kelt!A39*C104</f>
        <v>0.31909795995575668</v>
      </c>
      <c r="Q200" s="264">
        <f>S.kelt!A39*C104</f>
        <v>0.31909795995575668</v>
      </c>
      <c r="R200" s="264">
        <f>S.kelt!A39*C104</f>
        <v>0.31909795995575668</v>
      </c>
      <c r="S200" s="264">
        <f>S.kelt!A39*C104</f>
        <v>0.31909795995575668</v>
      </c>
      <c r="T200" s="7">
        <v>0</v>
      </c>
      <c r="U200" s="7">
        <v>0</v>
      </c>
      <c r="V200" s="7">
        <v>0</v>
      </c>
      <c r="W200" s="7">
        <v>0</v>
      </c>
    </row>
    <row r="201" spans="1:23">
      <c r="B201" s="499" t="s">
        <v>205</v>
      </c>
      <c r="C201" s="499" t="s">
        <v>206</v>
      </c>
      <c r="D201" s="7">
        <v>0</v>
      </c>
      <c r="E201" s="7">
        <v>0</v>
      </c>
      <c r="F201" s="7">
        <v>0</v>
      </c>
      <c r="G201" s="7">
        <v>0</v>
      </c>
      <c r="H201" s="7">
        <v>0</v>
      </c>
      <c r="I201" s="7">
        <v>0</v>
      </c>
      <c r="J201" s="7">
        <v>0</v>
      </c>
      <c r="K201" s="7">
        <v>0</v>
      </c>
      <c r="L201" s="7">
        <v>0</v>
      </c>
      <c r="M201" s="7">
        <v>0</v>
      </c>
      <c r="N201" s="7">
        <v>0</v>
      </c>
      <c r="O201" s="7">
        <v>0</v>
      </c>
      <c r="P201" s="7">
        <v>0</v>
      </c>
      <c r="Q201" s="7">
        <v>0</v>
      </c>
      <c r="R201" s="7">
        <v>0</v>
      </c>
      <c r="S201" s="7">
        <v>0</v>
      </c>
      <c r="T201" s="7">
        <v>0</v>
      </c>
      <c r="U201" s="7">
        <v>0</v>
      </c>
      <c r="V201" s="7">
        <v>0</v>
      </c>
      <c r="W201" s="7">
        <v>0</v>
      </c>
    </row>
    <row r="202" spans="1:23">
      <c r="B202" s="499" t="s">
        <v>208</v>
      </c>
      <c r="C202" s="499" t="s">
        <v>209</v>
      </c>
      <c r="D202" s="7">
        <v>0</v>
      </c>
      <c r="E202" s="7">
        <v>0</v>
      </c>
      <c r="F202" s="7">
        <v>0</v>
      </c>
      <c r="G202" s="7">
        <v>0</v>
      </c>
      <c r="H202" s="7">
        <v>0</v>
      </c>
      <c r="I202" s="7">
        <v>0</v>
      </c>
      <c r="J202" s="7">
        <v>0</v>
      </c>
      <c r="K202" s="7">
        <v>0</v>
      </c>
      <c r="L202" s="7">
        <v>0</v>
      </c>
      <c r="M202" s="7">
        <v>0</v>
      </c>
      <c r="N202" s="7">
        <v>0</v>
      </c>
      <c r="O202" s="7">
        <v>0</v>
      </c>
      <c r="P202" s="7">
        <v>0</v>
      </c>
      <c r="Q202" s="7">
        <v>0</v>
      </c>
      <c r="R202" s="7">
        <v>0</v>
      </c>
      <c r="S202" s="7">
        <v>0</v>
      </c>
      <c r="T202" s="7">
        <v>0</v>
      </c>
      <c r="U202" s="7">
        <v>0</v>
      </c>
      <c r="V202" s="7">
        <v>0</v>
      </c>
      <c r="W202" s="7">
        <v>0</v>
      </c>
    </row>
    <row r="203" spans="1:23">
      <c r="B203" s="499" t="s">
        <v>211</v>
      </c>
      <c r="C203" s="499" t="s">
        <v>212</v>
      </c>
      <c r="D203" s="7">
        <v>0</v>
      </c>
      <c r="E203" s="7">
        <v>0</v>
      </c>
      <c r="F203" s="7">
        <v>0</v>
      </c>
      <c r="G203" s="7">
        <v>0</v>
      </c>
      <c r="H203" s="7">
        <v>0</v>
      </c>
      <c r="I203" s="7">
        <v>0</v>
      </c>
      <c r="J203" s="7">
        <v>0</v>
      </c>
      <c r="K203" s="7">
        <v>0</v>
      </c>
      <c r="L203" s="7">
        <v>0</v>
      </c>
      <c r="M203" s="7">
        <v>0</v>
      </c>
      <c r="N203" s="7">
        <v>0</v>
      </c>
      <c r="O203" s="7">
        <v>0</v>
      </c>
      <c r="P203" s="7">
        <v>0</v>
      </c>
      <c r="Q203" s="7">
        <v>0</v>
      </c>
      <c r="R203" s="7">
        <v>0</v>
      </c>
      <c r="S203" s="7">
        <v>0</v>
      </c>
      <c r="T203" s="7">
        <v>0</v>
      </c>
      <c r="U203" s="7">
        <v>0</v>
      </c>
      <c r="V203" s="7">
        <v>0</v>
      </c>
      <c r="W203" s="7">
        <v>0</v>
      </c>
    </row>
    <row r="204" spans="1:23">
      <c r="B204" s="499" t="s">
        <v>213</v>
      </c>
      <c r="C204" s="499" t="s">
        <v>214</v>
      </c>
      <c r="D204" s="7">
        <v>0</v>
      </c>
      <c r="E204" s="7">
        <v>0</v>
      </c>
      <c r="F204" s="7">
        <v>0</v>
      </c>
      <c r="G204" s="7">
        <v>0</v>
      </c>
      <c r="H204" s="7">
        <v>0</v>
      </c>
      <c r="I204" s="7">
        <v>0</v>
      </c>
      <c r="J204" s="7">
        <v>0</v>
      </c>
      <c r="K204" s="7">
        <v>0</v>
      </c>
      <c r="L204" s="7">
        <v>0</v>
      </c>
      <c r="M204" s="7">
        <v>0</v>
      </c>
      <c r="N204" s="7">
        <v>0</v>
      </c>
      <c r="O204" s="7">
        <v>0</v>
      </c>
      <c r="P204" s="7">
        <v>0</v>
      </c>
      <c r="Q204" s="7">
        <v>0</v>
      </c>
      <c r="R204" s="7">
        <v>0</v>
      </c>
      <c r="S204" s="7">
        <v>0</v>
      </c>
      <c r="T204" s="7">
        <v>0</v>
      </c>
      <c r="U204" s="7">
        <v>0</v>
      </c>
      <c r="V204" s="7">
        <v>0</v>
      </c>
      <c r="W204" s="7">
        <v>0</v>
      </c>
    </row>
    <row r="205" spans="1:23">
      <c r="B205" s="499" t="s">
        <v>215</v>
      </c>
      <c r="C205" s="499" t="s">
        <v>216</v>
      </c>
      <c r="D205" s="7">
        <v>0</v>
      </c>
      <c r="E205" s="7">
        <v>0</v>
      </c>
      <c r="F205" s="7">
        <v>0</v>
      </c>
      <c r="G205" s="7">
        <v>0</v>
      </c>
      <c r="H205" s="7">
        <v>0</v>
      </c>
      <c r="I205" s="7">
        <v>0</v>
      </c>
      <c r="J205" s="7">
        <v>0</v>
      </c>
      <c r="K205" s="7">
        <v>0</v>
      </c>
      <c r="L205" s="7">
        <v>0</v>
      </c>
      <c r="M205" s="7">
        <v>0</v>
      </c>
      <c r="N205" s="7">
        <v>0</v>
      </c>
      <c r="O205" s="7">
        <v>0</v>
      </c>
      <c r="P205" s="7">
        <v>0</v>
      </c>
      <c r="Q205" s="7">
        <v>0</v>
      </c>
      <c r="R205" s="7">
        <v>0</v>
      </c>
      <c r="S205" s="7">
        <v>0</v>
      </c>
      <c r="T205" s="7">
        <v>0</v>
      </c>
      <c r="U205" s="7">
        <v>0</v>
      </c>
      <c r="V205" s="7">
        <v>0</v>
      </c>
      <c r="W205" s="7">
        <v>0</v>
      </c>
    </row>
    <row r="206" spans="1:23">
      <c r="B206" s="499" t="s">
        <v>217</v>
      </c>
      <c r="C206" s="499" t="s">
        <v>218</v>
      </c>
      <c r="D206" s="7">
        <v>0</v>
      </c>
      <c r="E206" s="7">
        <v>0</v>
      </c>
      <c r="F206" s="7">
        <v>0</v>
      </c>
      <c r="G206" s="7">
        <v>0</v>
      </c>
      <c r="H206" s="7">
        <v>0</v>
      </c>
      <c r="I206" s="7">
        <v>0</v>
      </c>
      <c r="J206" s="7">
        <v>0</v>
      </c>
      <c r="K206" s="7">
        <v>0</v>
      </c>
      <c r="L206" s="7">
        <v>0</v>
      </c>
      <c r="M206" s="7">
        <v>0</v>
      </c>
      <c r="N206" s="7">
        <v>0</v>
      </c>
      <c r="O206" s="7">
        <v>0</v>
      </c>
      <c r="P206" s="7">
        <v>0</v>
      </c>
      <c r="Q206" s="7">
        <v>0</v>
      </c>
      <c r="R206" s="7">
        <v>0</v>
      </c>
      <c r="S206" s="7">
        <v>0</v>
      </c>
      <c r="T206" s="7">
        <v>0</v>
      </c>
      <c r="U206" s="7">
        <v>0</v>
      </c>
      <c r="V206" s="7">
        <v>0</v>
      </c>
      <c r="W206" s="7">
        <v>0</v>
      </c>
    </row>
    <row r="207" spans="1:23">
      <c r="B207" s="499" t="s">
        <v>219</v>
      </c>
      <c r="C207" s="499" t="s">
        <v>220</v>
      </c>
      <c r="D207" s="7">
        <v>0</v>
      </c>
      <c r="E207" s="7">
        <v>0</v>
      </c>
      <c r="F207" s="7">
        <v>0</v>
      </c>
      <c r="G207" s="7">
        <v>0</v>
      </c>
      <c r="H207" s="7">
        <v>0</v>
      </c>
      <c r="I207" s="7">
        <v>0</v>
      </c>
      <c r="J207" s="7">
        <v>0</v>
      </c>
      <c r="K207" s="7">
        <v>0</v>
      </c>
      <c r="L207" s="7">
        <v>0</v>
      </c>
      <c r="M207" s="7">
        <v>0</v>
      </c>
      <c r="N207" s="7">
        <v>0</v>
      </c>
      <c r="O207" s="7">
        <v>0</v>
      </c>
      <c r="P207" s="7">
        <v>0</v>
      </c>
      <c r="Q207" s="7">
        <v>0</v>
      </c>
      <c r="R207" s="7">
        <v>0</v>
      </c>
      <c r="S207" s="7">
        <v>0</v>
      </c>
      <c r="T207" s="7">
        <v>0</v>
      </c>
      <c r="U207" s="7">
        <v>0</v>
      </c>
      <c r="V207" s="7">
        <v>0</v>
      </c>
      <c r="W207" s="7">
        <v>0</v>
      </c>
    </row>
    <row r="208" spans="1:23">
      <c r="B208" s="499" t="s">
        <v>221</v>
      </c>
      <c r="C208" s="499" t="s">
        <v>222</v>
      </c>
      <c r="D208" s="7">
        <v>0</v>
      </c>
      <c r="E208" s="7">
        <v>0</v>
      </c>
      <c r="F208" s="7">
        <v>0</v>
      </c>
      <c r="G208" s="7">
        <v>0</v>
      </c>
      <c r="H208" s="7">
        <v>0</v>
      </c>
      <c r="I208" s="7">
        <v>0</v>
      </c>
      <c r="J208" s="7">
        <v>0</v>
      </c>
      <c r="K208" s="7">
        <v>0</v>
      </c>
      <c r="L208" s="7">
        <v>0</v>
      </c>
      <c r="M208" s="7">
        <v>0</v>
      </c>
      <c r="N208" s="7">
        <v>0</v>
      </c>
      <c r="O208" s="7">
        <v>0</v>
      </c>
      <c r="P208" s="7">
        <v>0</v>
      </c>
      <c r="Q208" s="7">
        <v>0</v>
      </c>
      <c r="R208" s="7">
        <v>0</v>
      </c>
      <c r="S208" s="7">
        <v>0</v>
      </c>
      <c r="T208" s="7">
        <v>0</v>
      </c>
      <c r="U208" s="7">
        <v>0</v>
      </c>
      <c r="V208" s="7">
        <v>0</v>
      </c>
      <c r="W208" s="7">
        <v>0</v>
      </c>
    </row>
    <row r="209" spans="2:23">
      <c r="B209" s="499" t="s">
        <v>223</v>
      </c>
      <c r="C209" s="499" t="s">
        <v>224</v>
      </c>
      <c r="D209" s="7">
        <v>0</v>
      </c>
      <c r="E209" s="7">
        <v>0</v>
      </c>
      <c r="F209" s="7">
        <v>0</v>
      </c>
      <c r="G209" s="7">
        <v>0</v>
      </c>
      <c r="H209" s="7">
        <v>0</v>
      </c>
      <c r="I209" s="7">
        <v>0</v>
      </c>
      <c r="J209" s="7">
        <v>0</v>
      </c>
      <c r="K209" s="7">
        <v>0</v>
      </c>
      <c r="L209" s="7">
        <v>0</v>
      </c>
      <c r="M209" s="7">
        <v>0</v>
      </c>
      <c r="N209" s="7">
        <v>0</v>
      </c>
      <c r="O209" s="7">
        <v>0</v>
      </c>
      <c r="P209" s="7">
        <v>0</v>
      </c>
      <c r="Q209" s="7">
        <v>0</v>
      </c>
      <c r="R209" s="7">
        <v>0</v>
      </c>
      <c r="S209" s="7">
        <v>0</v>
      </c>
      <c r="T209" s="7">
        <v>0</v>
      </c>
      <c r="U209" s="7">
        <v>0</v>
      </c>
      <c r="V209" s="7">
        <v>0</v>
      </c>
      <c r="W209" s="7">
        <v>0</v>
      </c>
    </row>
    <row r="210" spans="2:23">
      <c r="B210" s="499" t="s">
        <v>225</v>
      </c>
      <c r="C210" s="499" t="s">
        <v>226</v>
      </c>
      <c r="D210" s="7">
        <v>0</v>
      </c>
      <c r="E210" s="7">
        <v>0</v>
      </c>
      <c r="F210" s="7">
        <v>0</v>
      </c>
      <c r="G210" s="7">
        <v>0</v>
      </c>
      <c r="H210" s="7">
        <v>0</v>
      </c>
      <c r="I210" s="7">
        <v>0</v>
      </c>
      <c r="J210" s="7">
        <v>0</v>
      </c>
      <c r="K210" s="7">
        <v>0</v>
      </c>
      <c r="L210" s="7">
        <v>0</v>
      </c>
      <c r="M210" s="7">
        <v>0</v>
      </c>
      <c r="N210" s="7">
        <v>0</v>
      </c>
      <c r="O210" s="7">
        <v>0</v>
      </c>
      <c r="P210" s="7">
        <v>0</v>
      </c>
      <c r="Q210" s="7">
        <v>0</v>
      </c>
      <c r="R210" s="7">
        <v>0</v>
      </c>
      <c r="S210" s="7">
        <v>0</v>
      </c>
      <c r="T210" s="7">
        <v>0</v>
      </c>
      <c r="U210" s="7">
        <v>0</v>
      </c>
      <c r="V210" s="7">
        <v>0</v>
      </c>
      <c r="W210" s="7">
        <v>0</v>
      </c>
    </row>
  </sheetData>
  <conditionalFormatting sqref="E80:H95">
    <cfRule type="cellIs" dxfId="28" priority="26" operator="equal">
      <formula>999999</formula>
    </cfRule>
  </conditionalFormatting>
  <conditionalFormatting sqref="D83:H83">
    <cfRule type="cellIs" dxfId="27" priority="25" operator="equal">
      <formula>-99</formula>
    </cfRule>
  </conditionalFormatting>
  <conditionalFormatting sqref="F101">
    <cfRule type="cellIs" dxfId="26" priority="24" operator="equal">
      <formula>999999</formula>
    </cfRule>
  </conditionalFormatting>
  <conditionalFormatting sqref="G101">
    <cfRule type="cellIs" dxfId="25" priority="23" operator="equal">
      <formula>999999</formula>
    </cfRule>
  </conditionalFormatting>
  <conditionalFormatting sqref="F102:G107">
    <cfRule type="cellIs" dxfId="24" priority="22" operator="equal">
      <formula>999999</formula>
    </cfRule>
  </conditionalFormatting>
  <conditionalFormatting sqref="F108:G110">
    <cfRule type="cellIs" dxfId="23" priority="21" operator="equal">
      <formula>999999</formula>
    </cfRule>
  </conditionalFormatting>
  <conditionalFormatting sqref="D101">
    <cfRule type="cellIs" dxfId="22" priority="20" operator="equal">
      <formula>999999</formula>
    </cfRule>
  </conditionalFormatting>
  <conditionalFormatting sqref="D102:D107">
    <cfRule type="cellIs" dxfId="21" priority="19" operator="equal">
      <formula>999999</formula>
    </cfRule>
  </conditionalFormatting>
  <conditionalFormatting sqref="D108:D110">
    <cfRule type="cellIs" dxfId="20" priority="18" operator="equal">
      <formula>999999</formula>
    </cfRule>
  </conditionalFormatting>
  <conditionalFormatting sqref="E108:E110">
    <cfRule type="cellIs" dxfId="19" priority="17" operator="equal">
      <formula>999999</formula>
    </cfRule>
  </conditionalFormatting>
  <conditionalFormatting sqref="K108:N110">
    <cfRule type="cellIs" dxfId="18" priority="16" operator="equal">
      <formula>999999</formula>
    </cfRule>
  </conditionalFormatting>
  <conditionalFormatting sqref="R108:U110">
    <cfRule type="cellIs" dxfId="17" priority="15" operator="equal">
      <formula>999999</formula>
    </cfRule>
  </conditionalFormatting>
  <conditionalFormatting sqref="R101:R107">
    <cfRule type="cellIs" dxfId="16" priority="14" operator="equal">
      <formula>999999</formula>
    </cfRule>
  </conditionalFormatting>
  <conditionalFormatting sqref="T101:U107">
    <cfRule type="cellIs" dxfId="15" priority="13" operator="equal">
      <formula>999999</formula>
    </cfRule>
  </conditionalFormatting>
  <conditionalFormatting sqref="K101:K107">
    <cfRule type="cellIs" dxfId="14" priority="12" operator="equal">
      <formula>999999</formula>
    </cfRule>
  </conditionalFormatting>
  <conditionalFormatting sqref="M101:N107">
    <cfRule type="cellIs" dxfId="13" priority="11" operator="equal">
      <formula>999999</formula>
    </cfRule>
  </conditionalFormatting>
  <conditionalFormatting sqref="I83:J83">
    <cfRule type="cellIs" dxfId="12" priority="10" operator="equal">
      <formula>999999</formula>
    </cfRule>
  </conditionalFormatting>
  <conditionalFormatting sqref="I83:J83">
    <cfRule type="cellIs" dxfId="11" priority="9" operator="equal">
      <formula>-99</formula>
    </cfRule>
  </conditionalFormatting>
  <conditionalFormatting sqref="E116:E125">
    <cfRule type="cellIs" dxfId="10" priority="8" operator="equal">
      <formula>999999</formula>
    </cfRule>
  </conditionalFormatting>
  <conditionalFormatting sqref="G116:H125">
    <cfRule type="cellIs" dxfId="9" priority="5" operator="equal">
      <formula>999999</formula>
    </cfRule>
  </conditionalFormatting>
  <conditionalFormatting sqref="F116:F125">
    <cfRule type="cellIs" dxfId="8" priority="4" operator="equal">
      <formula>999999</formula>
    </cfRule>
  </conditionalFormatting>
  <conditionalFormatting sqref="J123:M125">
    <cfRule type="cellIs" dxfId="7" priority="3" operator="equal">
      <formula>999999</formula>
    </cfRule>
  </conditionalFormatting>
  <conditionalFormatting sqref="J116:J122">
    <cfRule type="cellIs" dxfId="6" priority="2" operator="equal">
      <formula>999999</formula>
    </cfRule>
  </conditionalFormatting>
  <conditionalFormatting sqref="L116:M122">
    <cfRule type="cellIs" dxfId="5" priority="1" operator="equal">
      <formula>999999</formula>
    </cfRule>
  </conditionalFormatting>
  <pageMargins left="0.7" right="0.7" top="0.75" bottom="0.75" header="0.3" footer="0.3"/>
  <pageSetup orientation="portrait" horizontalDpi="360" verticalDpi="36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4" tint="0.39997558519241921"/>
  </sheetPr>
  <dimension ref="A1:AB14"/>
  <sheetViews>
    <sheetView tabSelected="1" workbookViewId="0">
      <selection activeCell="C2" sqref="C2:AB2"/>
    </sheetView>
  </sheetViews>
  <sheetFormatPr defaultRowHeight="14.4"/>
  <cols>
    <col min="3" max="11" width="10.33203125" customWidth="1"/>
    <col min="12" max="18" width="8.6640625" bestFit="1" customWidth="1"/>
    <col min="19" max="21" width="12.88671875" customWidth="1"/>
    <col min="22" max="25" width="11.6640625" bestFit="1" customWidth="1"/>
  </cols>
  <sheetData>
    <row r="1" spans="1:28" s="299" customFormat="1">
      <c r="A1" s="299" t="s">
        <v>238</v>
      </c>
      <c r="B1" s="299" t="s">
        <v>239</v>
      </c>
      <c r="C1" s="299" t="s">
        <v>67</v>
      </c>
      <c r="D1" s="299" t="s">
        <v>63</v>
      </c>
      <c r="E1" s="299" t="s">
        <v>64</v>
      </c>
      <c r="F1" s="299" t="s">
        <v>240</v>
      </c>
      <c r="G1" s="299" t="s">
        <v>66</v>
      </c>
      <c r="H1" s="299" t="s">
        <v>241</v>
      </c>
      <c r="I1" s="299" t="s">
        <v>242</v>
      </c>
      <c r="J1" s="299" t="s">
        <v>243</v>
      </c>
      <c r="K1" s="299" t="s">
        <v>244</v>
      </c>
      <c r="L1" s="299" t="s">
        <v>245</v>
      </c>
      <c r="M1" s="299" t="s">
        <v>246</v>
      </c>
      <c r="N1" s="299" t="s">
        <v>247</v>
      </c>
      <c r="O1" s="299" t="s">
        <v>248</v>
      </c>
      <c r="P1" s="299" t="s">
        <v>249</v>
      </c>
      <c r="Q1" s="299" t="s">
        <v>250</v>
      </c>
      <c r="R1" s="299" t="s">
        <v>251</v>
      </c>
      <c r="S1" s="299" t="s">
        <v>252</v>
      </c>
      <c r="T1" s="299" t="s">
        <v>253</v>
      </c>
      <c r="U1" s="299" t="s">
        <v>254</v>
      </c>
      <c r="V1" s="299" t="s">
        <v>255</v>
      </c>
      <c r="W1" s="299" t="s">
        <v>256</v>
      </c>
      <c r="X1" s="299" t="s">
        <v>257</v>
      </c>
      <c r="Y1" s="299" t="s">
        <v>258</v>
      </c>
      <c r="Z1" s="299" t="s">
        <v>259</v>
      </c>
      <c r="AA1" s="299" t="s">
        <v>260</v>
      </c>
      <c r="AB1" s="299" t="s">
        <v>261</v>
      </c>
    </row>
    <row r="2" spans="1:28" s="299" customFormat="1">
      <c r="A2" s="299" t="s">
        <v>2</v>
      </c>
      <c r="B2" s="299" t="s">
        <v>262</v>
      </c>
      <c r="C2" s="268">
        <f>AVERAGE(S.egg!L4:L9)*D14</f>
        <v>79290541.549580768</v>
      </c>
      <c r="D2" s="268">
        <f>C2*'InputFile (determ)'!D81</f>
        <v>79290541.549580768</v>
      </c>
      <c r="E2" s="268">
        <f>D2*'InputFile (determ)'!D82</f>
        <v>10640207.76465071</v>
      </c>
      <c r="F2" s="268">
        <f>SUM(S2:U2)</f>
        <v>7120772.5160750682</v>
      </c>
      <c r="G2" s="268">
        <f>E2*'InputFile (determ)'!C101*'InputFile (determ)'!H101+S2*('InputFile (determ)'!H102)*'InputFile (determ)'!C102+T2*('InputFile (determ)'!H103)*'InputFile (determ)'!C103</f>
        <v>1940535.8489106358</v>
      </c>
      <c r="H2" s="268">
        <f>G2</f>
        <v>1940535.8489106358</v>
      </c>
      <c r="I2" s="268">
        <f>H2*'InputFile (determ)'!D86</f>
        <v>156938.41111083652</v>
      </c>
      <c r="J2" s="268">
        <f>I2*'InputFile (determ)'!C102</f>
        <v>53902.89589225479</v>
      </c>
      <c r="K2" s="268">
        <f>J2*'InputFile (determ)'!C102</f>
        <v>18513.773428732216</v>
      </c>
      <c r="L2" s="620">
        <v>0</v>
      </c>
      <c r="M2" s="620">
        <v>0</v>
      </c>
      <c r="N2" s="620">
        <v>0</v>
      </c>
      <c r="O2" s="620">
        <v>0</v>
      </c>
      <c r="P2" s="620">
        <v>0</v>
      </c>
      <c r="Q2" s="620">
        <v>0</v>
      </c>
      <c r="R2" s="620">
        <v>0</v>
      </c>
      <c r="S2" s="268">
        <f>E2*'InputFile (determ)'!C101</f>
        <v>5190807.9264090341</v>
      </c>
      <c r="T2" s="268">
        <f>S2*(1-'InputFile (determ)'!H101)*'InputFile (determ)'!C102</f>
        <v>1733446.9797086413</v>
      </c>
      <c r="U2" s="268">
        <f>T2*(1-'InputFile (determ)'!H102)*'InputFile (determ)'!C103</f>
        <v>196517.60995739218</v>
      </c>
      <c r="V2" s="621">
        <f>U2*0.5</f>
        <v>98258.804978696091</v>
      </c>
      <c r="W2" s="621">
        <f>V2*0.5</f>
        <v>49129.402489348045</v>
      </c>
      <c r="X2" s="621">
        <f>W2*0.5</f>
        <v>24564.701244674023</v>
      </c>
      <c r="Y2" s="620">
        <v>0</v>
      </c>
      <c r="Z2" s="620">
        <v>0</v>
      </c>
      <c r="AA2" s="620">
        <v>0</v>
      </c>
      <c r="AB2" s="620">
        <v>0</v>
      </c>
    </row>
    <row r="3" spans="1:28" s="299" customFormat="1">
      <c r="A3" s="299" t="s">
        <v>2</v>
      </c>
      <c r="B3" s="299" t="s">
        <v>205</v>
      </c>
      <c r="C3" s="299">
        <v>0</v>
      </c>
      <c r="D3" s="299">
        <v>0</v>
      </c>
      <c r="E3" s="299">
        <v>0</v>
      </c>
      <c r="F3" s="299">
        <v>0</v>
      </c>
      <c r="G3" s="299">
        <v>0</v>
      </c>
      <c r="H3" s="299">
        <v>0</v>
      </c>
      <c r="I3" s="299">
        <v>0</v>
      </c>
      <c r="J3" s="299">
        <v>0</v>
      </c>
      <c r="K3" s="299">
        <v>0</v>
      </c>
      <c r="L3" s="299">
        <v>0</v>
      </c>
      <c r="M3" s="299">
        <v>0</v>
      </c>
      <c r="N3" s="299">
        <v>0</v>
      </c>
      <c r="O3" s="299">
        <v>0</v>
      </c>
      <c r="P3" s="299">
        <v>0</v>
      </c>
      <c r="Q3" s="299">
        <v>0</v>
      </c>
      <c r="R3" s="299">
        <v>0</v>
      </c>
      <c r="S3" s="299">
        <v>0</v>
      </c>
      <c r="T3" s="299">
        <v>0</v>
      </c>
      <c r="U3" s="299">
        <v>0</v>
      </c>
      <c r="V3" s="299">
        <v>0</v>
      </c>
      <c r="W3" s="299">
        <v>0</v>
      </c>
      <c r="X3" s="299">
        <v>0</v>
      </c>
      <c r="Y3" s="299">
        <v>0</v>
      </c>
      <c r="Z3" s="299">
        <v>0</v>
      </c>
      <c r="AA3" s="299">
        <v>0</v>
      </c>
      <c r="AB3" s="299">
        <v>0</v>
      </c>
    </row>
    <row r="4" spans="1:28" s="299" customFormat="1">
      <c r="A4" s="299" t="s">
        <v>2</v>
      </c>
      <c r="B4" s="299" t="s">
        <v>208</v>
      </c>
      <c r="C4" s="299">
        <v>0</v>
      </c>
      <c r="D4" s="299">
        <v>0</v>
      </c>
      <c r="E4" s="299">
        <v>0</v>
      </c>
      <c r="F4" s="299">
        <v>0</v>
      </c>
      <c r="G4" s="299">
        <v>0</v>
      </c>
      <c r="H4" s="299">
        <v>0</v>
      </c>
      <c r="I4" s="299">
        <v>0</v>
      </c>
      <c r="J4" s="299">
        <v>0</v>
      </c>
      <c r="K4" s="299">
        <v>0</v>
      </c>
      <c r="L4" s="299">
        <v>0</v>
      </c>
      <c r="M4" s="299">
        <v>0</v>
      </c>
      <c r="N4" s="299">
        <v>0</v>
      </c>
      <c r="O4" s="299">
        <v>0</v>
      </c>
      <c r="P4" s="299">
        <v>0</v>
      </c>
      <c r="Q4" s="299">
        <v>0</v>
      </c>
      <c r="R4" s="299">
        <v>0</v>
      </c>
      <c r="S4" s="299">
        <v>0</v>
      </c>
      <c r="T4" s="299">
        <v>0</v>
      </c>
      <c r="U4" s="299">
        <v>0</v>
      </c>
      <c r="V4" s="299">
        <v>0</v>
      </c>
      <c r="W4" s="299">
        <v>0</v>
      </c>
      <c r="X4" s="299">
        <v>0</v>
      </c>
      <c r="Y4" s="299">
        <v>0</v>
      </c>
      <c r="Z4" s="299">
        <v>0</v>
      </c>
      <c r="AA4" s="299">
        <v>0</v>
      </c>
      <c r="AB4" s="299">
        <v>0</v>
      </c>
    </row>
    <row r="5" spans="1:28" s="299" customFormat="1">
      <c r="A5" s="299" t="s">
        <v>2</v>
      </c>
      <c r="B5" s="299" t="s">
        <v>211</v>
      </c>
      <c r="C5" s="299">
        <v>0</v>
      </c>
      <c r="D5" s="299">
        <v>0</v>
      </c>
      <c r="E5" s="299">
        <v>0</v>
      </c>
      <c r="F5" s="299">
        <v>0</v>
      </c>
      <c r="G5" s="299">
        <v>0</v>
      </c>
      <c r="H5" s="299">
        <v>0</v>
      </c>
      <c r="I5" s="299">
        <v>0</v>
      </c>
      <c r="J5" s="299">
        <v>0</v>
      </c>
      <c r="K5" s="299">
        <v>0</v>
      </c>
      <c r="L5" s="299">
        <v>0</v>
      </c>
      <c r="M5" s="299">
        <v>0</v>
      </c>
      <c r="N5" s="299">
        <v>0</v>
      </c>
      <c r="O5" s="299">
        <v>0</v>
      </c>
      <c r="P5" s="299">
        <v>0</v>
      </c>
      <c r="Q5" s="299">
        <v>0</v>
      </c>
      <c r="R5" s="299">
        <v>0</v>
      </c>
      <c r="S5" s="299">
        <v>0</v>
      </c>
      <c r="T5" s="299">
        <v>0</v>
      </c>
      <c r="U5" s="299">
        <v>0</v>
      </c>
      <c r="V5" s="299">
        <v>0</v>
      </c>
      <c r="W5" s="299">
        <v>0</v>
      </c>
      <c r="X5" s="299">
        <v>0</v>
      </c>
      <c r="Y5" s="299">
        <v>0</v>
      </c>
      <c r="Z5" s="299">
        <v>0</v>
      </c>
      <c r="AA5" s="299">
        <v>0</v>
      </c>
      <c r="AB5" s="299">
        <v>0</v>
      </c>
    </row>
    <row r="6" spans="1:28" s="299" customFormat="1">
      <c r="A6" s="299" t="s">
        <v>2</v>
      </c>
      <c r="B6" s="299" t="s">
        <v>213</v>
      </c>
      <c r="C6" s="299">
        <v>0</v>
      </c>
      <c r="D6" s="299">
        <v>0</v>
      </c>
      <c r="E6" s="299">
        <v>0</v>
      </c>
      <c r="F6" s="299">
        <v>0</v>
      </c>
      <c r="G6" s="299">
        <v>0</v>
      </c>
      <c r="H6" s="299">
        <v>0</v>
      </c>
      <c r="I6" s="299">
        <v>0</v>
      </c>
      <c r="J6" s="299">
        <v>0</v>
      </c>
      <c r="K6" s="299">
        <v>0</v>
      </c>
      <c r="L6" s="299">
        <v>0</v>
      </c>
      <c r="M6" s="299">
        <v>0</v>
      </c>
      <c r="N6" s="299">
        <v>0</v>
      </c>
      <c r="O6" s="299">
        <v>0</v>
      </c>
      <c r="P6" s="299">
        <v>0</v>
      </c>
      <c r="Q6" s="299">
        <v>0</v>
      </c>
      <c r="R6" s="299">
        <v>0</v>
      </c>
      <c r="S6" s="299">
        <v>0</v>
      </c>
      <c r="T6" s="299">
        <v>0</v>
      </c>
      <c r="U6" s="299">
        <v>0</v>
      </c>
      <c r="V6" s="299">
        <v>0</v>
      </c>
      <c r="W6" s="299">
        <v>0</v>
      </c>
      <c r="X6" s="299">
        <v>0</v>
      </c>
      <c r="Y6" s="299">
        <v>0</v>
      </c>
      <c r="Z6" s="299">
        <v>0</v>
      </c>
      <c r="AA6" s="299">
        <v>0</v>
      </c>
      <c r="AB6" s="299">
        <v>0</v>
      </c>
    </row>
    <row r="7" spans="1:28" s="299" customFormat="1">
      <c r="A7" s="299" t="s">
        <v>2</v>
      </c>
      <c r="B7" s="299" t="s">
        <v>215</v>
      </c>
      <c r="C7" s="299">
        <v>0</v>
      </c>
      <c r="D7" s="299">
        <v>0</v>
      </c>
      <c r="E7" s="299">
        <v>0</v>
      </c>
      <c r="F7" s="299">
        <v>0</v>
      </c>
      <c r="G7" s="299">
        <v>0</v>
      </c>
      <c r="H7" s="299">
        <v>0</v>
      </c>
      <c r="I7" s="299">
        <v>0</v>
      </c>
      <c r="J7" s="299">
        <v>0</v>
      </c>
      <c r="K7" s="299">
        <v>0</v>
      </c>
      <c r="L7" s="299">
        <v>0</v>
      </c>
      <c r="M7" s="299">
        <v>0</v>
      </c>
      <c r="N7" s="299">
        <v>0</v>
      </c>
      <c r="O7" s="299">
        <v>0</v>
      </c>
      <c r="P7" s="299">
        <v>0</v>
      </c>
      <c r="Q7" s="299">
        <v>0</v>
      </c>
      <c r="R7" s="299">
        <v>0</v>
      </c>
      <c r="S7" s="299">
        <v>0</v>
      </c>
      <c r="T7" s="299">
        <v>0</v>
      </c>
      <c r="U7" s="299">
        <v>0</v>
      </c>
      <c r="V7" s="299">
        <v>0</v>
      </c>
      <c r="W7" s="299">
        <v>0</v>
      </c>
      <c r="X7" s="299">
        <v>0</v>
      </c>
      <c r="Y7" s="299">
        <v>0</v>
      </c>
      <c r="Z7" s="299">
        <v>0</v>
      </c>
      <c r="AA7" s="299">
        <v>0</v>
      </c>
      <c r="AB7" s="299">
        <v>0</v>
      </c>
    </row>
    <row r="8" spans="1:28" s="299" customFormat="1">
      <c r="A8" s="299" t="s">
        <v>2</v>
      </c>
      <c r="B8" s="299" t="s">
        <v>217</v>
      </c>
      <c r="C8" s="299">
        <v>0</v>
      </c>
      <c r="D8" s="299">
        <v>0</v>
      </c>
      <c r="E8" s="299">
        <v>0</v>
      </c>
      <c r="F8" s="299">
        <v>0</v>
      </c>
      <c r="G8" s="299">
        <v>0</v>
      </c>
      <c r="H8" s="299">
        <v>0</v>
      </c>
      <c r="I8" s="299">
        <v>0</v>
      </c>
      <c r="J8" s="299">
        <v>0</v>
      </c>
      <c r="K8" s="299">
        <v>0</v>
      </c>
      <c r="L8" s="299">
        <v>0</v>
      </c>
      <c r="M8" s="299">
        <v>0</v>
      </c>
      <c r="N8" s="299">
        <v>0</v>
      </c>
      <c r="O8" s="299">
        <v>0</v>
      </c>
      <c r="P8" s="299">
        <v>0</v>
      </c>
      <c r="Q8" s="299">
        <v>0</v>
      </c>
      <c r="R8" s="299">
        <v>0</v>
      </c>
      <c r="S8" s="299">
        <v>0</v>
      </c>
      <c r="T8" s="299">
        <v>0</v>
      </c>
      <c r="U8" s="299">
        <v>0</v>
      </c>
      <c r="V8" s="299">
        <v>0</v>
      </c>
      <c r="W8" s="299">
        <v>0</v>
      </c>
      <c r="X8" s="299">
        <v>0</v>
      </c>
      <c r="Y8" s="299">
        <v>0</v>
      </c>
      <c r="Z8" s="299">
        <v>0</v>
      </c>
      <c r="AA8" s="299">
        <v>0</v>
      </c>
      <c r="AB8" s="299">
        <v>0</v>
      </c>
    </row>
    <row r="9" spans="1:28" s="299" customFormat="1">
      <c r="A9" s="299" t="s">
        <v>2</v>
      </c>
      <c r="B9" s="299" t="s">
        <v>219</v>
      </c>
      <c r="C9" s="299">
        <v>0</v>
      </c>
      <c r="D9" s="299">
        <v>0</v>
      </c>
      <c r="E9" s="299">
        <v>0</v>
      </c>
      <c r="F9" s="299">
        <v>0</v>
      </c>
      <c r="G9" s="299">
        <v>0</v>
      </c>
      <c r="H9" s="299">
        <v>0</v>
      </c>
      <c r="I9" s="299">
        <v>0</v>
      </c>
      <c r="J9" s="299">
        <v>0</v>
      </c>
      <c r="K9" s="299">
        <v>0</v>
      </c>
      <c r="L9" s="299">
        <v>0</v>
      </c>
      <c r="M9" s="299">
        <v>0</v>
      </c>
      <c r="N9" s="299">
        <v>0</v>
      </c>
      <c r="O9" s="299">
        <v>0</v>
      </c>
      <c r="P9" s="299">
        <v>0</v>
      </c>
      <c r="Q9" s="299">
        <v>0</v>
      </c>
      <c r="R9" s="299">
        <v>0</v>
      </c>
      <c r="S9" s="299">
        <v>0</v>
      </c>
      <c r="T9" s="299">
        <v>0</v>
      </c>
      <c r="U9" s="299">
        <v>0</v>
      </c>
      <c r="V9" s="299">
        <v>0</v>
      </c>
      <c r="W9" s="299">
        <v>0</v>
      </c>
      <c r="X9" s="299">
        <v>0</v>
      </c>
      <c r="Y9" s="299">
        <v>0</v>
      </c>
      <c r="Z9" s="299">
        <v>0</v>
      </c>
      <c r="AA9" s="299">
        <v>0</v>
      </c>
      <c r="AB9" s="299">
        <v>0</v>
      </c>
    </row>
    <row r="10" spans="1:28" s="299" customFormat="1">
      <c r="A10" s="299" t="s">
        <v>2</v>
      </c>
      <c r="B10" s="299" t="s">
        <v>221</v>
      </c>
      <c r="C10" s="299">
        <v>0</v>
      </c>
      <c r="D10" s="299">
        <v>0</v>
      </c>
      <c r="E10" s="299">
        <v>0</v>
      </c>
      <c r="F10" s="299">
        <v>0</v>
      </c>
      <c r="G10" s="299">
        <v>0</v>
      </c>
      <c r="H10" s="299">
        <v>0</v>
      </c>
      <c r="I10" s="299">
        <v>0</v>
      </c>
      <c r="J10" s="299">
        <v>0</v>
      </c>
      <c r="K10" s="299">
        <v>0</v>
      </c>
      <c r="L10" s="299">
        <v>0</v>
      </c>
      <c r="M10" s="299">
        <v>0</v>
      </c>
      <c r="N10" s="299">
        <v>0</v>
      </c>
      <c r="O10" s="299">
        <v>0</v>
      </c>
      <c r="P10" s="299">
        <v>0</v>
      </c>
      <c r="Q10" s="299">
        <v>0</v>
      </c>
      <c r="R10" s="299">
        <v>0</v>
      </c>
      <c r="S10" s="299">
        <v>0</v>
      </c>
      <c r="T10" s="299">
        <v>0</v>
      </c>
      <c r="U10" s="299">
        <v>0</v>
      </c>
      <c r="V10" s="299">
        <v>0</v>
      </c>
      <c r="W10" s="299">
        <v>0</v>
      </c>
      <c r="X10" s="299">
        <v>0</v>
      </c>
      <c r="Y10" s="299">
        <v>0</v>
      </c>
      <c r="Z10" s="299">
        <v>0</v>
      </c>
      <c r="AA10" s="299">
        <v>0</v>
      </c>
      <c r="AB10" s="299">
        <v>0</v>
      </c>
    </row>
    <row r="11" spans="1:28" s="299" customFormat="1">
      <c r="A11" s="299" t="s">
        <v>2</v>
      </c>
      <c r="B11" s="299" t="s">
        <v>223</v>
      </c>
      <c r="C11" s="299">
        <v>0</v>
      </c>
      <c r="D11" s="299">
        <v>0</v>
      </c>
      <c r="E11" s="299">
        <v>0</v>
      </c>
      <c r="F11" s="299">
        <v>0</v>
      </c>
      <c r="G11" s="299">
        <v>0</v>
      </c>
      <c r="H11" s="299">
        <v>0</v>
      </c>
      <c r="I11" s="299">
        <v>0</v>
      </c>
      <c r="J11" s="299">
        <v>0</v>
      </c>
      <c r="K11" s="299">
        <v>0</v>
      </c>
      <c r="L11" s="299">
        <v>0</v>
      </c>
      <c r="M11" s="299">
        <v>0</v>
      </c>
      <c r="N11" s="299">
        <v>0</v>
      </c>
      <c r="O11" s="299">
        <v>0</v>
      </c>
      <c r="P11" s="299">
        <v>0</v>
      </c>
      <c r="Q11" s="299">
        <v>0</v>
      </c>
      <c r="R11" s="299">
        <v>0</v>
      </c>
      <c r="S11" s="299">
        <v>0</v>
      </c>
      <c r="T11" s="299">
        <v>0</v>
      </c>
      <c r="U11" s="299">
        <v>0</v>
      </c>
      <c r="V11" s="299">
        <v>0</v>
      </c>
      <c r="W11" s="299">
        <v>0</v>
      </c>
      <c r="X11" s="299">
        <v>0</v>
      </c>
      <c r="Y11" s="299">
        <v>0</v>
      </c>
      <c r="Z11" s="299">
        <v>0</v>
      </c>
      <c r="AA11" s="299">
        <v>0</v>
      </c>
      <c r="AB11" s="299">
        <v>0</v>
      </c>
    </row>
    <row r="12" spans="1:28" s="299" customFormat="1">
      <c r="A12" s="299" t="s">
        <v>2</v>
      </c>
      <c r="B12" s="299" t="s">
        <v>225</v>
      </c>
      <c r="C12" s="299">
        <v>0</v>
      </c>
      <c r="D12" s="299">
        <v>0</v>
      </c>
      <c r="E12" s="299">
        <v>0</v>
      </c>
      <c r="F12" s="299">
        <v>0</v>
      </c>
      <c r="G12" s="299">
        <v>0</v>
      </c>
      <c r="H12" s="299">
        <v>0</v>
      </c>
      <c r="I12" s="299">
        <v>0</v>
      </c>
      <c r="J12" s="299">
        <v>0</v>
      </c>
      <c r="K12" s="299">
        <v>0</v>
      </c>
      <c r="L12" s="299">
        <v>0</v>
      </c>
      <c r="M12" s="299">
        <v>0</v>
      </c>
      <c r="N12" s="299">
        <v>0</v>
      </c>
      <c r="O12" s="299">
        <v>0</v>
      </c>
      <c r="P12" s="299">
        <v>0</v>
      </c>
      <c r="Q12" s="299">
        <v>0</v>
      </c>
      <c r="R12" s="299">
        <v>0</v>
      </c>
      <c r="S12" s="299">
        <v>0</v>
      </c>
      <c r="T12" s="299">
        <v>0</v>
      </c>
      <c r="U12" s="299">
        <v>0</v>
      </c>
      <c r="V12" s="299">
        <v>0</v>
      </c>
      <c r="W12" s="299">
        <v>0</v>
      </c>
      <c r="X12" s="299">
        <v>0</v>
      </c>
      <c r="Y12" s="299">
        <v>0</v>
      </c>
      <c r="Z12" s="299">
        <v>0</v>
      </c>
      <c r="AA12" s="299">
        <v>0</v>
      </c>
      <c r="AB12" s="299">
        <v>0</v>
      </c>
    </row>
    <row r="14" spans="1:28">
      <c r="D14">
        <v>10</v>
      </c>
      <c r="E14" t="s">
        <v>1140</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sheetPr>
  <dimension ref="A1:CI210"/>
  <sheetViews>
    <sheetView zoomScale="85" zoomScaleNormal="85" workbookViewId="0">
      <pane ySplit="3" topLeftCell="A52" activePane="bottomLeft" state="frozen"/>
      <selection pane="bottomLeft" activeCell="J63" sqref="J63"/>
    </sheetView>
  </sheetViews>
  <sheetFormatPr defaultColWidth="9.109375" defaultRowHeight="14.4"/>
  <cols>
    <col min="1" max="1" width="11.44140625" style="499" customWidth="1"/>
    <col min="2" max="3" width="9.109375" style="499"/>
    <col min="4" max="4" width="9.44140625" style="499" bestFit="1" customWidth="1"/>
    <col min="5" max="6" width="9.109375" style="499"/>
    <col min="7" max="7" width="10" style="499" bestFit="1" customWidth="1"/>
    <col min="8" max="8" width="9.109375" style="499"/>
    <col min="9" max="9" width="10" style="499" bestFit="1" customWidth="1"/>
    <col min="10" max="16384" width="9.109375" style="499"/>
  </cols>
  <sheetData>
    <row r="1" spans="1:20">
      <c r="A1" s="1" t="s">
        <v>0</v>
      </c>
    </row>
    <row r="2" spans="1:20" ht="15.6">
      <c r="B2" s="499" t="s">
        <v>1</v>
      </c>
      <c r="C2" s="2" t="s">
        <v>2</v>
      </c>
      <c r="D2" s="3"/>
      <c r="E2" s="3"/>
      <c r="T2" s="499">
        <f>S2*(1-'InputFile (sensi) (sigma)'!H101)*8</f>
        <v>0</v>
      </c>
    </row>
    <row r="3" spans="1:20">
      <c r="B3" s="416" t="s">
        <v>3</v>
      </c>
      <c r="C3" s="448" t="s">
        <v>844</v>
      </c>
      <c r="D3" s="416"/>
      <c r="E3" s="416"/>
      <c r="F3" s="416"/>
      <c r="G3" s="416"/>
      <c r="H3" s="416"/>
      <c r="I3" s="416"/>
      <c r="J3" s="416"/>
      <c r="K3" s="416"/>
      <c r="L3" s="416"/>
    </row>
    <row r="4" spans="1:20">
      <c r="B4" s="14" t="s">
        <v>4</v>
      </c>
    </row>
    <row r="7" spans="1:20">
      <c r="A7" s="1" t="s">
        <v>5</v>
      </c>
    </row>
    <row r="8" spans="1:20">
      <c r="A8" s="1" t="s">
        <v>6</v>
      </c>
    </row>
    <row r="9" spans="1:20">
      <c r="B9" s="6" t="s">
        <v>7</v>
      </c>
      <c r="C9" s="6" t="s">
        <v>8</v>
      </c>
      <c r="D9" s="6" t="s">
        <v>9</v>
      </c>
      <c r="E9" s="6" t="s">
        <v>10</v>
      </c>
      <c r="F9" s="6" t="s">
        <v>11</v>
      </c>
      <c r="G9" s="6" t="s">
        <v>12</v>
      </c>
      <c r="H9" s="6" t="s">
        <v>13</v>
      </c>
      <c r="I9" s="6" t="s">
        <v>14</v>
      </c>
    </row>
    <row r="10" spans="1:20">
      <c r="B10" s="7" t="s">
        <v>15</v>
      </c>
      <c r="C10" s="8">
        <v>645750</v>
      </c>
      <c r="D10" s="7">
        <v>0</v>
      </c>
      <c r="E10" s="7">
        <v>0</v>
      </c>
      <c r="F10" s="7">
        <v>0</v>
      </c>
      <c r="G10" s="7">
        <v>0</v>
      </c>
      <c r="H10" s="7">
        <v>0</v>
      </c>
      <c r="I10" s="7">
        <v>0</v>
      </c>
      <c r="J10" s="499" t="s">
        <v>16</v>
      </c>
    </row>
    <row r="11" spans="1:20">
      <c r="A11" s="499" t="s">
        <v>17</v>
      </c>
      <c r="B11" s="7" t="s">
        <v>18</v>
      </c>
      <c r="C11" s="7">
        <v>0</v>
      </c>
      <c r="D11" s="7">
        <v>0</v>
      </c>
      <c r="E11" s="7">
        <v>0</v>
      </c>
      <c r="F11" s="7">
        <v>0</v>
      </c>
      <c r="G11" s="7">
        <v>0</v>
      </c>
      <c r="H11" s="7">
        <v>0</v>
      </c>
      <c r="I11" s="7">
        <v>0</v>
      </c>
    </row>
    <row r="12" spans="1:20">
      <c r="B12" s="7" t="s">
        <v>19</v>
      </c>
      <c r="C12" s="7">
        <v>0</v>
      </c>
      <c r="D12" s="7">
        <v>0</v>
      </c>
      <c r="E12" s="7">
        <v>0</v>
      </c>
      <c r="F12" s="7">
        <v>0</v>
      </c>
      <c r="G12" s="7">
        <v>0</v>
      </c>
      <c r="H12" s="7">
        <v>0</v>
      </c>
      <c r="I12" s="7">
        <v>0</v>
      </c>
    </row>
    <row r="13" spans="1:20">
      <c r="B13" s="7" t="s">
        <v>20</v>
      </c>
      <c r="C13" s="7">
        <v>0</v>
      </c>
      <c r="D13" s="7">
        <v>0</v>
      </c>
      <c r="E13" s="7">
        <v>0</v>
      </c>
      <c r="F13" s="7">
        <v>0</v>
      </c>
      <c r="G13" s="7">
        <v>0</v>
      </c>
      <c r="H13" s="7">
        <v>0</v>
      </c>
      <c r="I13" s="7">
        <v>0</v>
      </c>
    </row>
    <row r="14" spans="1:20">
      <c r="B14" s="7" t="s">
        <v>21</v>
      </c>
      <c r="C14" s="7">
        <v>0</v>
      </c>
      <c r="D14" s="7">
        <v>0</v>
      </c>
      <c r="E14" s="7">
        <v>0</v>
      </c>
      <c r="F14" s="7">
        <v>0</v>
      </c>
      <c r="G14" s="7">
        <v>0</v>
      </c>
      <c r="H14" s="7">
        <v>0</v>
      </c>
      <c r="I14" s="7">
        <v>0</v>
      </c>
    </row>
    <row r="15" spans="1:20">
      <c r="B15" s="7" t="s">
        <v>22</v>
      </c>
      <c r="C15" s="7">
        <v>0</v>
      </c>
      <c r="D15" s="7">
        <v>0</v>
      </c>
      <c r="E15" s="7">
        <v>0</v>
      </c>
      <c r="F15" s="7">
        <v>0</v>
      </c>
      <c r="G15" s="7">
        <v>0</v>
      </c>
      <c r="H15" s="7">
        <v>0</v>
      </c>
      <c r="I15" s="7">
        <v>0</v>
      </c>
    </row>
    <row r="16" spans="1:20">
      <c r="B16" s="7" t="s">
        <v>23</v>
      </c>
      <c r="C16" s="7">
        <v>0</v>
      </c>
      <c r="D16" s="7">
        <v>0</v>
      </c>
      <c r="E16" s="7">
        <v>0</v>
      </c>
      <c r="F16" s="7">
        <v>0</v>
      </c>
      <c r="G16" s="7">
        <v>0</v>
      </c>
      <c r="H16" s="7">
        <v>0</v>
      </c>
      <c r="I16" s="7">
        <v>0</v>
      </c>
    </row>
    <row r="17" spans="1:31">
      <c r="B17" s="7" t="s">
        <v>24</v>
      </c>
      <c r="C17" s="7">
        <v>0</v>
      </c>
      <c r="D17" s="7">
        <v>0</v>
      </c>
      <c r="E17" s="7">
        <v>0</v>
      </c>
      <c r="F17" s="7">
        <v>0</v>
      </c>
      <c r="G17" s="7">
        <v>0</v>
      </c>
      <c r="H17" s="7">
        <v>0</v>
      </c>
      <c r="I17" s="7">
        <v>0</v>
      </c>
    </row>
    <row r="18" spans="1:31">
      <c r="B18" s="7" t="s">
        <v>25</v>
      </c>
      <c r="C18" s="7">
        <v>0</v>
      </c>
      <c r="D18" s="7">
        <v>0</v>
      </c>
      <c r="E18" s="7">
        <v>0</v>
      </c>
      <c r="F18" s="7">
        <v>0</v>
      </c>
      <c r="G18" s="7">
        <v>0</v>
      </c>
      <c r="H18" s="7">
        <v>0</v>
      </c>
      <c r="I18" s="7">
        <v>0</v>
      </c>
    </row>
    <row r="19" spans="1:31">
      <c r="B19" s="7" t="s">
        <v>26</v>
      </c>
      <c r="C19" s="7">
        <v>0</v>
      </c>
      <c r="D19" s="7">
        <v>0</v>
      </c>
      <c r="E19" s="7">
        <v>0</v>
      </c>
      <c r="F19" s="7">
        <v>0</v>
      </c>
      <c r="G19" s="7">
        <v>0</v>
      </c>
      <c r="H19" s="7">
        <v>0</v>
      </c>
      <c r="I19" s="7">
        <v>0</v>
      </c>
    </row>
    <row r="20" spans="1:31">
      <c r="B20" s="7" t="s">
        <v>27</v>
      </c>
      <c r="C20" s="7">
        <v>0</v>
      </c>
      <c r="D20" s="7">
        <v>0</v>
      </c>
      <c r="E20" s="7">
        <v>0</v>
      </c>
      <c r="F20" s="7">
        <v>0</v>
      </c>
      <c r="G20" s="7">
        <v>0</v>
      </c>
      <c r="H20" s="7">
        <v>0</v>
      </c>
      <c r="I20" s="7">
        <v>0</v>
      </c>
    </row>
    <row r="21" spans="1:31">
      <c r="B21" s="7" t="s">
        <v>28</v>
      </c>
      <c r="C21" s="7">
        <v>0</v>
      </c>
      <c r="D21" s="7">
        <v>0</v>
      </c>
      <c r="E21" s="7">
        <v>0</v>
      </c>
      <c r="F21" s="7">
        <v>0</v>
      </c>
      <c r="G21" s="7">
        <v>0</v>
      </c>
      <c r="H21" s="7">
        <v>0</v>
      </c>
      <c r="I21" s="7">
        <v>0</v>
      </c>
    </row>
    <row r="25" spans="1:31">
      <c r="A25" s="1" t="s">
        <v>29</v>
      </c>
      <c r="B25" s="1"/>
    </row>
    <row r="26" spans="1:31">
      <c r="A26" s="1"/>
      <c r="B26" s="1" t="s">
        <v>30</v>
      </c>
      <c r="O26" s="499" t="s">
        <v>31</v>
      </c>
      <c r="S26" s="499" t="s">
        <v>32</v>
      </c>
      <c r="AE26" s="499" t="s">
        <v>33</v>
      </c>
    </row>
    <row r="27" spans="1:31">
      <c r="B27" s="6" t="s">
        <v>7</v>
      </c>
      <c r="C27" s="6" t="s">
        <v>34</v>
      </c>
      <c r="D27" s="6" t="s">
        <v>35</v>
      </c>
      <c r="E27" s="6" t="s">
        <v>36</v>
      </c>
      <c r="F27" s="6" t="s">
        <v>37</v>
      </c>
      <c r="G27" s="6" t="s">
        <v>38</v>
      </c>
      <c r="H27" s="6" t="s">
        <v>39</v>
      </c>
      <c r="I27" s="6" t="s">
        <v>40</v>
      </c>
      <c r="J27" s="6" t="s">
        <v>41</v>
      </c>
      <c r="K27" s="6" t="s">
        <v>42</v>
      </c>
      <c r="L27" s="6" t="s">
        <v>43</v>
      </c>
      <c r="M27" s="6" t="s">
        <v>44</v>
      </c>
      <c r="N27" s="6" t="s">
        <v>45</v>
      </c>
      <c r="O27" s="6" t="s">
        <v>46</v>
      </c>
      <c r="P27" s="6" t="s">
        <v>47</v>
      </c>
      <c r="Q27" s="6" t="s">
        <v>48</v>
      </c>
      <c r="R27" s="6" t="s">
        <v>49</v>
      </c>
      <c r="S27" s="6" t="s">
        <v>34</v>
      </c>
      <c r="T27" s="6" t="s">
        <v>35</v>
      </c>
      <c r="U27" s="6" t="s">
        <v>36</v>
      </c>
      <c r="V27" s="6" t="s">
        <v>37</v>
      </c>
      <c r="W27" s="6" t="s">
        <v>38</v>
      </c>
      <c r="X27" s="6" t="s">
        <v>39</v>
      </c>
      <c r="Y27" s="6" t="s">
        <v>40</v>
      </c>
      <c r="Z27" s="6" t="s">
        <v>41</v>
      </c>
      <c r="AA27" s="6" t="s">
        <v>42</v>
      </c>
      <c r="AB27" s="6" t="s">
        <v>43</v>
      </c>
      <c r="AC27" s="6" t="s">
        <v>44</v>
      </c>
      <c r="AD27" s="6" t="s">
        <v>45</v>
      </c>
      <c r="AE27" s="6" t="s">
        <v>50</v>
      </c>
    </row>
    <row r="28" spans="1:31">
      <c r="B28" s="7" t="s">
        <v>15</v>
      </c>
      <c r="C28" s="8">
        <v>1</v>
      </c>
      <c r="D28" s="7">
        <v>0</v>
      </c>
      <c r="E28" s="7">
        <v>0</v>
      </c>
      <c r="F28" s="7">
        <v>0</v>
      </c>
      <c r="G28" s="7">
        <v>0</v>
      </c>
      <c r="H28" s="7">
        <v>0</v>
      </c>
      <c r="I28" s="7">
        <v>0</v>
      </c>
      <c r="J28" s="7">
        <v>0</v>
      </c>
      <c r="K28" s="7">
        <v>0</v>
      </c>
      <c r="L28" s="7">
        <v>0</v>
      </c>
      <c r="M28" s="7">
        <v>0</v>
      </c>
      <c r="N28" s="7">
        <v>0</v>
      </c>
      <c r="O28" s="7">
        <v>0</v>
      </c>
      <c r="P28" s="7">
        <v>0</v>
      </c>
      <c r="Q28" s="7">
        <v>0</v>
      </c>
      <c r="R28" s="7">
        <v>0</v>
      </c>
      <c r="S28" s="7">
        <v>0</v>
      </c>
      <c r="T28" s="7">
        <v>0</v>
      </c>
      <c r="U28" s="7">
        <v>0</v>
      </c>
      <c r="V28" s="7">
        <v>0</v>
      </c>
      <c r="W28" s="7">
        <v>0</v>
      </c>
      <c r="X28" s="7">
        <v>0</v>
      </c>
      <c r="Y28" s="7">
        <v>0</v>
      </c>
      <c r="Z28" s="7">
        <v>0</v>
      </c>
      <c r="AA28" s="7">
        <v>0</v>
      </c>
      <c r="AB28" s="7">
        <v>0</v>
      </c>
      <c r="AC28" s="7">
        <v>0</v>
      </c>
      <c r="AD28" s="7">
        <v>0</v>
      </c>
      <c r="AE28" s="7">
        <v>0</v>
      </c>
    </row>
    <row r="29" spans="1:31">
      <c r="B29" s="7" t="s">
        <v>18</v>
      </c>
      <c r="C29" s="7">
        <v>0</v>
      </c>
      <c r="D29" s="7">
        <v>0</v>
      </c>
      <c r="E29" s="7">
        <v>0</v>
      </c>
      <c r="F29" s="7">
        <v>0</v>
      </c>
      <c r="G29" s="7">
        <v>0</v>
      </c>
      <c r="H29" s="7">
        <v>0</v>
      </c>
      <c r="I29" s="7">
        <v>0</v>
      </c>
      <c r="J29" s="7">
        <v>0</v>
      </c>
      <c r="K29" s="7">
        <v>0</v>
      </c>
      <c r="L29" s="7">
        <v>0</v>
      </c>
      <c r="M29" s="7">
        <v>0</v>
      </c>
      <c r="N29" s="7">
        <v>0</v>
      </c>
      <c r="O29" s="7">
        <v>0</v>
      </c>
      <c r="P29" s="7">
        <v>0</v>
      </c>
      <c r="Q29" s="7">
        <v>0</v>
      </c>
      <c r="R29" s="7">
        <v>0</v>
      </c>
      <c r="S29" s="7">
        <v>0</v>
      </c>
      <c r="T29" s="7">
        <v>0</v>
      </c>
      <c r="U29" s="7">
        <v>0</v>
      </c>
      <c r="V29" s="7">
        <v>0</v>
      </c>
      <c r="W29" s="7">
        <v>0</v>
      </c>
      <c r="X29" s="7">
        <v>0</v>
      </c>
      <c r="Y29" s="7">
        <v>0</v>
      </c>
      <c r="Z29" s="7">
        <v>0</v>
      </c>
      <c r="AA29" s="7">
        <v>0</v>
      </c>
      <c r="AB29" s="7">
        <v>0</v>
      </c>
      <c r="AC29" s="7">
        <v>0</v>
      </c>
      <c r="AD29" s="7">
        <v>0</v>
      </c>
      <c r="AE29" s="7">
        <v>0</v>
      </c>
    </row>
    <row r="30" spans="1:31">
      <c r="B30" s="7" t="s">
        <v>19</v>
      </c>
      <c r="C30" s="7">
        <v>0</v>
      </c>
      <c r="D30" s="7">
        <v>0</v>
      </c>
      <c r="E30" s="7">
        <v>0</v>
      </c>
      <c r="F30" s="7">
        <v>0</v>
      </c>
      <c r="G30" s="7">
        <v>0</v>
      </c>
      <c r="H30" s="7">
        <v>0</v>
      </c>
      <c r="I30" s="7">
        <v>0</v>
      </c>
      <c r="J30" s="7">
        <v>0</v>
      </c>
      <c r="K30" s="7">
        <v>0</v>
      </c>
      <c r="L30" s="7">
        <v>0</v>
      </c>
      <c r="M30" s="7">
        <v>0</v>
      </c>
      <c r="N30" s="7">
        <v>0</v>
      </c>
      <c r="O30" s="7">
        <v>0</v>
      </c>
      <c r="P30" s="7">
        <v>0</v>
      </c>
      <c r="Q30" s="7">
        <v>0</v>
      </c>
      <c r="R30" s="7">
        <v>0</v>
      </c>
      <c r="S30" s="7">
        <v>0</v>
      </c>
      <c r="T30" s="7">
        <v>0</v>
      </c>
      <c r="U30" s="7">
        <v>0</v>
      </c>
      <c r="V30" s="7">
        <v>0</v>
      </c>
      <c r="W30" s="7">
        <v>0</v>
      </c>
      <c r="X30" s="7">
        <v>0</v>
      </c>
      <c r="Y30" s="7">
        <v>0</v>
      </c>
      <c r="Z30" s="7">
        <v>0</v>
      </c>
      <c r="AA30" s="7">
        <v>0</v>
      </c>
      <c r="AB30" s="7">
        <v>0</v>
      </c>
      <c r="AC30" s="7">
        <v>0</v>
      </c>
      <c r="AD30" s="7">
        <v>0</v>
      </c>
      <c r="AE30" s="7">
        <v>0</v>
      </c>
    </row>
    <row r="31" spans="1:31">
      <c r="B31" s="7" t="s">
        <v>20</v>
      </c>
      <c r="C31" s="7">
        <v>0</v>
      </c>
      <c r="D31" s="7">
        <v>0</v>
      </c>
      <c r="E31" s="7">
        <v>0</v>
      </c>
      <c r="F31" s="7">
        <v>0</v>
      </c>
      <c r="G31" s="7">
        <v>0</v>
      </c>
      <c r="H31" s="7">
        <v>0</v>
      </c>
      <c r="I31" s="7">
        <v>0</v>
      </c>
      <c r="J31" s="7">
        <v>0</v>
      </c>
      <c r="K31" s="7">
        <v>0</v>
      </c>
      <c r="L31" s="7">
        <v>0</v>
      </c>
      <c r="M31" s="7">
        <v>0</v>
      </c>
      <c r="N31" s="7">
        <v>0</v>
      </c>
      <c r="O31" s="7">
        <v>0</v>
      </c>
      <c r="P31" s="7">
        <v>0</v>
      </c>
      <c r="Q31" s="7">
        <v>0</v>
      </c>
      <c r="R31" s="7">
        <v>0</v>
      </c>
      <c r="S31" s="7">
        <v>0</v>
      </c>
      <c r="T31" s="7">
        <v>0</v>
      </c>
      <c r="U31" s="7">
        <v>0</v>
      </c>
      <c r="V31" s="7">
        <v>0</v>
      </c>
      <c r="W31" s="7">
        <v>0</v>
      </c>
      <c r="X31" s="7">
        <v>0</v>
      </c>
      <c r="Y31" s="7">
        <v>0</v>
      </c>
      <c r="Z31" s="7">
        <v>0</v>
      </c>
      <c r="AA31" s="7">
        <v>0</v>
      </c>
      <c r="AB31" s="7">
        <v>0</v>
      </c>
      <c r="AC31" s="7">
        <v>0</v>
      </c>
      <c r="AD31" s="7">
        <v>0</v>
      </c>
      <c r="AE31" s="7">
        <v>0</v>
      </c>
    </row>
    <row r="32" spans="1:31">
      <c r="B32" s="7" t="s">
        <v>21</v>
      </c>
      <c r="C32" s="7">
        <v>0</v>
      </c>
      <c r="D32" s="7">
        <v>0</v>
      </c>
      <c r="E32" s="7">
        <v>0</v>
      </c>
      <c r="F32" s="7">
        <v>0</v>
      </c>
      <c r="G32" s="7">
        <v>0</v>
      </c>
      <c r="H32" s="7">
        <v>0</v>
      </c>
      <c r="I32" s="7">
        <v>0</v>
      </c>
      <c r="J32" s="7">
        <v>0</v>
      </c>
      <c r="K32" s="7">
        <v>0</v>
      </c>
      <c r="L32" s="7">
        <v>0</v>
      </c>
      <c r="M32" s="7">
        <v>0</v>
      </c>
      <c r="N32" s="7">
        <v>0</v>
      </c>
      <c r="O32" s="7">
        <v>0</v>
      </c>
      <c r="P32" s="7">
        <v>0</v>
      </c>
      <c r="Q32" s="7">
        <v>0</v>
      </c>
      <c r="R32" s="7">
        <v>0</v>
      </c>
      <c r="S32" s="7">
        <v>0</v>
      </c>
      <c r="T32" s="7">
        <v>0</v>
      </c>
      <c r="U32" s="7">
        <v>0</v>
      </c>
      <c r="V32" s="7">
        <v>0</v>
      </c>
      <c r="W32" s="7">
        <v>0</v>
      </c>
      <c r="X32" s="7">
        <v>0</v>
      </c>
      <c r="Y32" s="7">
        <v>0</v>
      </c>
      <c r="Z32" s="7">
        <v>0</v>
      </c>
      <c r="AA32" s="7">
        <v>0</v>
      </c>
      <c r="AB32" s="7">
        <v>0</v>
      </c>
      <c r="AC32" s="7">
        <v>0</v>
      </c>
      <c r="AD32" s="7">
        <v>0</v>
      </c>
      <c r="AE32" s="7">
        <v>0</v>
      </c>
    </row>
    <row r="33" spans="1:40">
      <c r="B33" s="7" t="s">
        <v>22</v>
      </c>
      <c r="C33" s="7">
        <v>0</v>
      </c>
      <c r="D33" s="7">
        <v>0</v>
      </c>
      <c r="E33" s="7">
        <v>0</v>
      </c>
      <c r="F33" s="7">
        <v>0</v>
      </c>
      <c r="G33" s="7">
        <v>0</v>
      </c>
      <c r="H33" s="7">
        <v>0</v>
      </c>
      <c r="I33" s="7">
        <v>0</v>
      </c>
      <c r="J33" s="7">
        <v>0</v>
      </c>
      <c r="K33" s="7">
        <v>0</v>
      </c>
      <c r="L33" s="7">
        <v>0</v>
      </c>
      <c r="M33" s="7">
        <v>0</v>
      </c>
      <c r="N33" s="7">
        <v>0</v>
      </c>
      <c r="O33" s="7">
        <v>0</v>
      </c>
      <c r="P33" s="7">
        <v>0</v>
      </c>
      <c r="Q33" s="7">
        <v>0</v>
      </c>
      <c r="R33" s="7">
        <v>0</v>
      </c>
      <c r="S33" s="7">
        <v>0</v>
      </c>
      <c r="T33" s="7">
        <v>0</v>
      </c>
      <c r="U33" s="7">
        <v>0</v>
      </c>
      <c r="V33" s="7">
        <v>0</v>
      </c>
      <c r="W33" s="7">
        <v>0</v>
      </c>
      <c r="X33" s="7">
        <v>0</v>
      </c>
      <c r="Y33" s="7">
        <v>0</v>
      </c>
      <c r="Z33" s="7">
        <v>0</v>
      </c>
      <c r="AA33" s="7">
        <v>0</v>
      </c>
      <c r="AB33" s="7">
        <v>0</v>
      </c>
      <c r="AC33" s="7">
        <v>0</v>
      </c>
      <c r="AD33" s="7">
        <v>0</v>
      </c>
      <c r="AE33" s="7">
        <v>0</v>
      </c>
    </row>
    <row r="34" spans="1:40">
      <c r="B34" s="7" t="s">
        <v>23</v>
      </c>
      <c r="C34" s="7">
        <v>0</v>
      </c>
      <c r="D34" s="7">
        <v>0</v>
      </c>
      <c r="E34" s="7">
        <v>0</v>
      </c>
      <c r="F34" s="7">
        <v>0</v>
      </c>
      <c r="G34" s="7">
        <v>0</v>
      </c>
      <c r="H34" s="7">
        <v>0</v>
      </c>
      <c r="I34" s="7">
        <v>0</v>
      </c>
      <c r="J34" s="7">
        <v>0</v>
      </c>
      <c r="K34" s="7">
        <v>0</v>
      </c>
      <c r="L34" s="7">
        <v>0</v>
      </c>
      <c r="M34" s="7">
        <v>0</v>
      </c>
      <c r="N34" s="7">
        <v>0</v>
      </c>
      <c r="O34" s="7">
        <v>0</v>
      </c>
      <c r="P34" s="7">
        <v>0</v>
      </c>
      <c r="Q34" s="7">
        <v>0</v>
      </c>
      <c r="R34" s="7">
        <v>0</v>
      </c>
      <c r="S34" s="7">
        <v>0</v>
      </c>
      <c r="T34" s="7">
        <v>0</v>
      </c>
      <c r="U34" s="7">
        <v>0</v>
      </c>
      <c r="V34" s="7">
        <v>0</v>
      </c>
      <c r="W34" s="7">
        <v>0</v>
      </c>
      <c r="X34" s="7">
        <v>0</v>
      </c>
      <c r="Y34" s="7">
        <v>0</v>
      </c>
      <c r="Z34" s="7">
        <v>0</v>
      </c>
      <c r="AA34" s="7">
        <v>0</v>
      </c>
      <c r="AB34" s="7">
        <v>0</v>
      </c>
      <c r="AC34" s="7">
        <v>0</v>
      </c>
      <c r="AD34" s="7">
        <v>0</v>
      </c>
      <c r="AE34" s="7">
        <v>0</v>
      </c>
    </row>
    <row r="35" spans="1:40">
      <c r="B35" s="7" t="s">
        <v>24</v>
      </c>
      <c r="C35" s="7">
        <v>0</v>
      </c>
      <c r="D35" s="7">
        <v>0</v>
      </c>
      <c r="E35" s="7">
        <v>0</v>
      </c>
      <c r="F35" s="7">
        <v>0</v>
      </c>
      <c r="G35" s="7">
        <v>0</v>
      </c>
      <c r="H35" s="7">
        <v>0</v>
      </c>
      <c r="I35" s="7">
        <v>0</v>
      </c>
      <c r="J35" s="7">
        <v>0</v>
      </c>
      <c r="K35" s="7">
        <v>0</v>
      </c>
      <c r="L35" s="7">
        <v>0</v>
      </c>
      <c r="M35" s="7">
        <v>0</v>
      </c>
      <c r="N35" s="7">
        <v>0</v>
      </c>
      <c r="O35" s="7">
        <v>0</v>
      </c>
      <c r="P35" s="7">
        <v>0</v>
      </c>
      <c r="Q35" s="7">
        <v>0</v>
      </c>
      <c r="R35" s="7">
        <v>0</v>
      </c>
      <c r="S35" s="7">
        <v>0</v>
      </c>
      <c r="T35" s="7">
        <v>0</v>
      </c>
      <c r="U35" s="7">
        <v>0</v>
      </c>
      <c r="V35" s="7">
        <v>0</v>
      </c>
      <c r="W35" s="7">
        <v>0</v>
      </c>
      <c r="X35" s="7">
        <v>0</v>
      </c>
      <c r="Y35" s="7">
        <v>0</v>
      </c>
      <c r="Z35" s="7">
        <v>0</v>
      </c>
      <c r="AA35" s="7">
        <v>0</v>
      </c>
      <c r="AB35" s="7">
        <v>0</v>
      </c>
      <c r="AC35" s="7">
        <v>0</v>
      </c>
      <c r="AD35" s="7">
        <v>0</v>
      </c>
      <c r="AE35" s="7">
        <v>0</v>
      </c>
    </row>
    <row r="36" spans="1:40">
      <c r="B36" s="7" t="s">
        <v>25</v>
      </c>
      <c r="C36" s="7">
        <v>0</v>
      </c>
      <c r="D36" s="7">
        <v>0</v>
      </c>
      <c r="E36" s="7">
        <v>0</v>
      </c>
      <c r="F36" s="7">
        <v>0</v>
      </c>
      <c r="G36" s="7">
        <v>0</v>
      </c>
      <c r="H36" s="7">
        <v>0</v>
      </c>
      <c r="I36" s="7">
        <v>0</v>
      </c>
      <c r="J36" s="7">
        <v>0</v>
      </c>
      <c r="K36" s="7">
        <v>0</v>
      </c>
      <c r="L36" s="7">
        <v>0</v>
      </c>
      <c r="M36" s="7">
        <v>0</v>
      </c>
      <c r="N36" s="7">
        <v>0</v>
      </c>
      <c r="O36" s="7">
        <v>0</v>
      </c>
      <c r="P36" s="7">
        <v>0</v>
      </c>
      <c r="Q36" s="7">
        <v>0</v>
      </c>
      <c r="R36" s="7">
        <v>0</v>
      </c>
      <c r="S36" s="7">
        <v>0</v>
      </c>
      <c r="T36" s="7">
        <v>0</v>
      </c>
      <c r="U36" s="7">
        <v>0</v>
      </c>
      <c r="V36" s="7">
        <v>0</v>
      </c>
      <c r="W36" s="7">
        <v>0</v>
      </c>
      <c r="X36" s="7">
        <v>0</v>
      </c>
      <c r="Y36" s="7">
        <v>0</v>
      </c>
      <c r="Z36" s="7">
        <v>0</v>
      </c>
      <c r="AA36" s="7">
        <v>0</v>
      </c>
      <c r="AB36" s="7">
        <v>0</v>
      </c>
      <c r="AC36" s="7">
        <v>0</v>
      </c>
      <c r="AD36" s="7">
        <v>0</v>
      </c>
      <c r="AE36" s="7">
        <v>0</v>
      </c>
    </row>
    <row r="37" spans="1:40">
      <c r="B37" s="7" t="s">
        <v>26</v>
      </c>
      <c r="C37" s="7">
        <v>0</v>
      </c>
      <c r="D37" s="7">
        <v>0</v>
      </c>
      <c r="E37" s="7">
        <v>0</v>
      </c>
      <c r="F37" s="7">
        <v>0</v>
      </c>
      <c r="G37" s="7">
        <v>0</v>
      </c>
      <c r="H37" s="7">
        <v>0</v>
      </c>
      <c r="I37" s="7">
        <v>0</v>
      </c>
      <c r="J37" s="7">
        <v>0</v>
      </c>
      <c r="K37" s="7">
        <v>0</v>
      </c>
      <c r="L37" s="7">
        <v>0</v>
      </c>
      <c r="M37" s="7">
        <v>0</v>
      </c>
      <c r="N37" s="7">
        <v>0</v>
      </c>
      <c r="O37" s="7">
        <v>0</v>
      </c>
      <c r="P37" s="7">
        <v>0</v>
      </c>
      <c r="Q37" s="7">
        <v>0</v>
      </c>
      <c r="R37" s="7">
        <v>0</v>
      </c>
      <c r="S37" s="7">
        <v>0</v>
      </c>
      <c r="T37" s="7">
        <v>0</v>
      </c>
      <c r="U37" s="7">
        <v>0</v>
      </c>
      <c r="V37" s="7">
        <v>0</v>
      </c>
      <c r="W37" s="7">
        <v>0</v>
      </c>
      <c r="X37" s="7">
        <v>0</v>
      </c>
      <c r="Y37" s="7">
        <v>0</v>
      </c>
      <c r="Z37" s="7">
        <v>0</v>
      </c>
      <c r="AA37" s="7">
        <v>0</v>
      </c>
      <c r="AB37" s="7">
        <v>0</v>
      </c>
      <c r="AC37" s="7">
        <v>0</v>
      </c>
      <c r="AD37" s="7">
        <v>0</v>
      </c>
      <c r="AE37" s="7">
        <v>0</v>
      </c>
    </row>
    <row r="38" spans="1:40">
      <c r="B38" s="7" t="s">
        <v>27</v>
      </c>
      <c r="C38" s="7">
        <v>0</v>
      </c>
      <c r="D38" s="7">
        <v>0</v>
      </c>
      <c r="E38" s="7">
        <v>0</v>
      </c>
      <c r="F38" s="7">
        <v>0</v>
      </c>
      <c r="G38" s="7">
        <v>0</v>
      </c>
      <c r="H38" s="7">
        <v>0</v>
      </c>
      <c r="I38" s="7">
        <v>0</v>
      </c>
      <c r="J38" s="7">
        <v>0</v>
      </c>
      <c r="K38" s="7">
        <v>0</v>
      </c>
      <c r="L38" s="7">
        <v>0</v>
      </c>
      <c r="M38" s="7">
        <v>0</v>
      </c>
      <c r="N38" s="7">
        <v>0</v>
      </c>
      <c r="O38" s="7">
        <v>0</v>
      </c>
      <c r="P38" s="7">
        <v>0</v>
      </c>
      <c r="Q38" s="7">
        <v>0</v>
      </c>
      <c r="R38" s="7">
        <v>0</v>
      </c>
      <c r="S38" s="7">
        <v>0</v>
      </c>
      <c r="T38" s="7">
        <v>0</v>
      </c>
      <c r="U38" s="7">
        <v>0</v>
      </c>
      <c r="V38" s="7">
        <v>0</v>
      </c>
      <c r="W38" s="7">
        <v>0</v>
      </c>
      <c r="X38" s="7">
        <v>0</v>
      </c>
      <c r="Y38" s="7">
        <v>0</v>
      </c>
      <c r="Z38" s="7">
        <v>0</v>
      </c>
      <c r="AA38" s="7">
        <v>0</v>
      </c>
      <c r="AB38" s="7">
        <v>0</v>
      </c>
      <c r="AC38" s="7">
        <v>0</v>
      </c>
      <c r="AD38" s="7">
        <v>0</v>
      </c>
      <c r="AE38" s="7">
        <v>0</v>
      </c>
    </row>
    <row r="39" spans="1:40">
      <c r="B39" s="7" t="s">
        <v>28</v>
      </c>
      <c r="C39" s="7">
        <v>0</v>
      </c>
      <c r="D39" s="7">
        <v>0</v>
      </c>
      <c r="E39" s="7">
        <v>0</v>
      </c>
      <c r="F39" s="7">
        <v>0</v>
      </c>
      <c r="G39" s="7">
        <v>0</v>
      </c>
      <c r="H39" s="7">
        <v>0</v>
      </c>
      <c r="I39" s="7">
        <v>0</v>
      </c>
      <c r="J39" s="7">
        <v>0</v>
      </c>
      <c r="K39" s="7">
        <v>0</v>
      </c>
      <c r="L39" s="7">
        <v>0</v>
      </c>
      <c r="M39" s="7">
        <v>0</v>
      </c>
      <c r="N39" s="7">
        <v>0</v>
      </c>
      <c r="O39" s="7">
        <v>0</v>
      </c>
      <c r="P39" s="7">
        <v>0</v>
      </c>
      <c r="Q39" s="7">
        <v>0</v>
      </c>
      <c r="R39" s="7">
        <v>0</v>
      </c>
      <c r="S39" s="7">
        <v>0</v>
      </c>
      <c r="T39" s="7">
        <v>0</v>
      </c>
      <c r="U39" s="7">
        <v>0</v>
      </c>
      <c r="V39" s="7">
        <v>0</v>
      </c>
      <c r="W39" s="7">
        <v>0</v>
      </c>
      <c r="X39" s="7">
        <v>0</v>
      </c>
      <c r="Y39" s="7">
        <v>0</v>
      </c>
      <c r="Z39" s="7">
        <v>0</v>
      </c>
      <c r="AA39" s="7">
        <v>0</v>
      </c>
      <c r="AB39" s="7">
        <v>0</v>
      </c>
      <c r="AC39" s="7">
        <v>0</v>
      </c>
      <c r="AD39" s="7">
        <v>0</v>
      </c>
      <c r="AE39" s="7">
        <v>0</v>
      </c>
    </row>
    <row r="41" spans="1:40">
      <c r="A41" s="1" t="s">
        <v>51</v>
      </c>
      <c r="I41" s="16">
        <f>E45*C10</f>
        <v>2357633.25</v>
      </c>
      <c r="J41" s="16">
        <f>F45*C10</f>
        <v>1718340.75</v>
      </c>
    </row>
    <row r="42" spans="1:40">
      <c r="C42" s="499" t="s">
        <v>52</v>
      </c>
      <c r="H42" s="499" t="s">
        <v>53</v>
      </c>
      <c r="M42" s="499" t="s">
        <v>54</v>
      </c>
      <c r="R42" s="499" t="s">
        <v>55</v>
      </c>
      <c r="W42" s="499" t="s">
        <v>56</v>
      </c>
    </row>
    <row r="43" spans="1:40">
      <c r="C43" s="499" t="s">
        <v>57</v>
      </c>
      <c r="D43" s="499" t="s">
        <v>57</v>
      </c>
      <c r="E43" s="499" t="s">
        <v>57</v>
      </c>
      <c r="F43" s="499" t="s">
        <v>57</v>
      </c>
      <c r="G43" s="499" t="s">
        <v>57</v>
      </c>
      <c r="H43" s="499" t="s">
        <v>9</v>
      </c>
      <c r="I43" s="499" t="s">
        <v>9</v>
      </c>
      <c r="J43" s="499" t="s">
        <v>9</v>
      </c>
      <c r="K43" s="499" t="s">
        <v>9</v>
      </c>
      <c r="L43" s="499" t="s">
        <v>9</v>
      </c>
      <c r="M43" s="499" t="s">
        <v>10</v>
      </c>
      <c r="N43" s="499" t="s">
        <v>10</v>
      </c>
      <c r="O43" s="499" t="s">
        <v>10</v>
      </c>
      <c r="P43" s="499" t="s">
        <v>10</v>
      </c>
      <c r="Q43" s="499" t="s">
        <v>10</v>
      </c>
      <c r="R43" s="499" t="s">
        <v>11</v>
      </c>
      <c r="S43" s="499" t="s">
        <v>11</v>
      </c>
      <c r="T43" s="499" t="s">
        <v>11</v>
      </c>
      <c r="U43" s="499" t="s">
        <v>11</v>
      </c>
      <c r="V43" s="499" t="s">
        <v>11</v>
      </c>
      <c r="W43" s="499" t="s">
        <v>58</v>
      </c>
      <c r="X43" s="499" t="s">
        <v>58</v>
      </c>
      <c r="Y43" s="499" t="s">
        <v>58</v>
      </c>
      <c r="Z43" s="499" t="s">
        <v>58</v>
      </c>
      <c r="AA43" s="499" t="s">
        <v>58</v>
      </c>
      <c r="AB43" s="499" t="s">
        <v>59</v>
      </c>
      <c r="AG43" s="499" t="s">
        <v>60</v>
      </c>
    </row>
    <row r="44" spans="1:40">
      <c r="B44" s="6" t="s">
        <v>61</v>
      </c>
      <c r="C44" s="6" t="s">
        <v>62</v>
      </c>
      <c r="D44" s="6" t="s">
        <v>63</v>
      </c>
      <c r="E44" s="6" t="s">
        <v>64</v>
      </c>
      <c r="F44" s="6" t="s">
        <v>65</v>
      </c>
      <c r="G44" s="6" t="s">
        <v>66</v>
      </c>
      <c r="H44" s="6" t="s">
        <v>67</v>
      </c>
      <c r="I44" s="6" t="s">
        <v>63</v>
      </c>
      <c r="J44" s="6" t="s">
        <v>64</v>
      </c>
      <c r="K44" s="6" t="s">
        <v>65</v>
      </c>
      <c r="L44" s="6" t="s">
        <v>66</v>
      </c>
      <c r="M44" s="6" t="s">
        <v>67</v>
      </c>
      <c r="N44" s="6" t="s">
        <v>63</v>
      </c>
      <c r="O44" s="6" t="s">
        <v>64</v>
      </c>
      <c r="P44" s="6" t="s">
        <v>65</v>
      </c>
      <c r="Q44" s="6" t="s">
        <v>66</v>
      </c>
      <c r="R44" s="6" t="s">
        <v>67</v>
      </c>
      <c r="S44" s="6" t="s">
        <v>63</v>
      </c>
      <c r="T44" s="6" t="s">
        <v>64</v>
      </c>
      <c r="U44" s="6" t="s">
        <v>65</v>
      </c>
      <c r="V44" s="6" t="s">
        <v>66</v>
      </c>
      <c r="W44" s="6" t="s">
        <v>67</v>
      </c>
      <c r="X44" s="6" t="s">
        <v>63</v>
      </c>
      <c r="Y44" s="6" t="s">
        <v>64</v>
      </c>
      <c r="Z44" s="6" t="s">
        <v>65</v>
      </c>
      <c r="AA44" s="6" t="s">
        <v>66</v>
      </c>
      <c r="AB44" s="6" t="s">
        <v>67</v>
      </c>
      <c r="AC44" s="6" t="s">
        <v>63</v>
      </c>
      <c r="AD44" s="6" t="s">
        <v>64</v>
      </c>
      <c r="AE44" s="6" t="s">
        <v>65</v>
      </c>
      <c r="AF44" s="6" t="s">
        <v>66</v>
      </c>
      <c r="AG44" s="6" t="s">
        <v>67</v>
      </c>
      <c r="AH44" s="6" t="s">
        <v>63</v>
      </c>
      <c r="AI44" s="6" t="s">
        <v>64</v>
      </c>
      <c r="AJ44" s="6" t="s">
        <v>65</v>
      </c>
      <c r="AK44" s="6" t="s">
        <v>66</v>
      </c>
    </row>
    <row r="45" spans="1:40">
      <c r="A45" s="516" t="s">
        <v>838</v>
      </c>
      <c r="B45" s="499" t="s">
        <v>34</v>
      </c>
      <c r="C45" s="517">
        <f>AN46*AN48</f>
        <v>349.8</v>
      </c>
      <c r="D45" s="528">
        <v>1.0000000000000001E+50</v>
      </c>
      <c r="E45" s="517">
        <f>IF(A46=1,AO51,AO52)</f>
        <v>3.6509999999999998</v>
      </c>
      <c r="F45" s="517">
        <f>IF(A46=1,AP51,AP52)</f>
        <v>2.661</v>
      </c>
      <c r="G45" s="528">
        <v>1.0000000000000001E+50</v>
      </c>
      <c r="H45" s="7">
        <v>0</v>
      </c>
      <c r="I45" s="7">
        <v>0</v>
      </c>
      <c r="J45" s="7">
        <v>0</v>
      </c>
      <c r="K45" s="7">
        <v>0</v>
      </c>
      <c r="L45" s="7">
        <v>0</v>
      </c>
      <c r="M45" s="7">
        <v>0</v>
      </c>
      <c r="N45" s="7">
        <v>0</v>
      </c>
      <c r="O45" s="7">
        <v>0</v>
      </c>
      <c r="P45" s="7">
        <v>0</v>
      </c>
      <c r="Q45" s="7">
        <v>0</v>
      </c>
      <c r="R45" s="7">
        <v>0</v>
      </c>
      <c r="S45" s="7">
        <v>0</v>
      </c>
      <c r="T45" s="7">
        <v>0</v>
      </c>
      <c r="U45" s="7">
        <v>0</v>
      </c>
      <c r="V45" s="7">
        <v>0</v>
      </c>
      <c r="W45" s="7">
        <v>0</v>
      </c>
      <c r="X45" s="7">
        <v>0</v>
      </c>
      <c r="Y45" s="7">
        <v>0</v>
      </c>
      <c r="Z45" s="7">
        <v>0</v>
      </c>
      <c r="AA45" s="7">
        <v>0</v>
      </c>
      <c r="AB45" s="7">
        <v>0</v>
      </c>
      <c r="AC45" s="7">
        <v>0</v>
      </c>
      <c r="AD45" s="7">
        <v>0</v>
      </c>
      <c r="AE45" s="7">
        <v>0</v>
      </c>
      <c r="AF45" s="7">
        <v>0</v>
      </c>
      <c r="AG45" s="7">
        <v>0</v>
      </c>
      <c r="AH45" s="7">
        <v>0</v>
      </c>
      <c r="AI45" s="7">
        <v>0</v>
      </c>
      <c r="AJ45" s="7">
        <v>0</v>
      </c>
      <c r="AK45" s="7">
        <v>0</v>
      </c>
      <c r="AN45" s="516" t="s">
        <v>839</v>
      </c>
    </row>
    <row r="46" spans="1:40">
      <c r="A46" s="518">
        <v>1</v>
      </c>
      <c r="B46" s="499" t="s">
        <v>35</v>
      </c>
      <c r="C46" s="7">
        <v>0</v>
      </c>
      <c r="D46" s="7">
        <v>0</v>
      </c>
      <c r="E46" s="7">
        <v>0</v>
      </c>
      <c r="F46" s="7">
        <v>0</v>
      </c>
      <c r="G46" s="7">
        <v>0</v>
      </c>
      <c r="H46" s="7">
        <v>0</v>
      </c>
      <c r="I46" s="7">
        <v>0</v>
      </c>
      <c r="J46" s="7">
        <v>0</v>
      </c>
      <c r="K46" s="7">
        <v>0</v>
      </c>
      <c r="L46" s="7">
        <v>0</v>
      </c>
      <c r="M46" s="7">
        <v>0</v>
      </c>
      <c r="N46" s="7">
        <v>0</v>
      </c>
      <c r="O46" s="7">
        <v>0</v>
      </c>
      <c r="P46" s="7">
        <v>0</v>
      </c>
      <c r="Q46" s="7">
        <v>0</v>
      </c>
      <c r="R46" s="7">
        <v>0</v>
      </c>
      <c r="S46" s="7">
        <v>0</v>
      </c>
      <c r="T46" s="7">
        <v>0</v>
      </c>
      <c r="U46" s="7">
        <v>0</v>
      </c>
      <c r="V46" s="7">
        <v>0</v>
      </c>
      <c r="W46" s="7">
        <v>0</v>
      </c>
      <c r="X46" s="7">
        <v>0</v>
      </c>
      <c r="Y46" s="7">
        <v>0</v>
      </c>
      <c r="Z46" s="7">
        <v>0</v>
      </c>
      <c r="AA46" s="7">
        <v>0</v>
      </c>
      <c r="AB46" s="7">
        <v>0</v>
      </c>
      <c r="AC46" s="7">
        <v>0</v>
      </c>
      <c r="AD46" s="7">
        <v>0</v>
      </c>
      <c r="AE46" s="7">
        <v>0</v>
      </c>
      <c r="AF46" s="7">
        <v>0</v>
      </c>
      <c r="AG46" s="7">
        <v>0</v>
      </c>
      <c r="AH46" s="7">
        <v>0</v>
      </c>
      <c r="AI46" s="7">
        <v>0</v>
      </c>
      <c r="AJ46" s="7">
        <v>0</v>
      </c>
      <c r="AK46" s="7">
        <v>0</v>
      </c>
      <c r="AN46" s="518">
        <v>6.3600000000000004E-2</v>
      </c>
    </row>
    <row r="47" spans="1:40">
      <c r="B47" s="499" t="s">
        <v>36</v>
      </c>
      <c r="C47" s="7">
        <v>0</v>
      </c>
      <c r="D47" s="7">
        <v>0</v>
      </c>
      <c r="E47" s="7">
        <v>0</v>
      </c>
      <c r="F47" s="7">
        <v>0</v>
      </c>
      <c r="G47" s="7">
        <v>0</v>
      </c>
      <c r="H47" s="7">
        <v>0</v>
      </c>
      <c r="I47" s="7">
        <v>0</v>
      </c>
      <c r="J47" s="7">
        <v>0</v>
      </c>
      <c r="K47" s="7">
        <v>0</v>
      </c>
      <c r="L47" s="7">
        <v>0</v>
      </c>
      <c r="M47" s="7">
        <v>0</v>
      </c>
      <c r="N47" s="7">
        <v>0</v>
      </c>
      <c r="O47" s="7">
        <v>0</v>
      </c>
      <c r="P47" s="7">
        <v>0</v>
      </c>
      <c r="Q47" s="7">
        <v>0</v>
      </c>
      <c r="R47" s="7">
        <v>0</v>
      </c>
      <c r="S47" s="7">
        <v>0</v>
      </c>
      <c r="T47" s="7">
        <v>0</v>
      </c>
      <c r="U47" s="7">
        <v>0</v>
      </c>
      <c r="V47" s="7">
        <v>0</v>
      </c>
      <c r="W47" s="7">
        <v>0</v>
      </c>
      <c r="X47" s="7">
        <v>0</v>
      </c>
      <c r="Y47" s="7">
        <v>0</v>
      </c>
      <c r="Z47" s="7">
        <v>0</v>
      </c>
      <c r="AA47" s="7">
        <v>0</v>
      </c>
      <c r="AB47" s="7">
        <v>0</v>
      </c>
      <c r="AC47" s="7">
        <v>0</v>
      </c>
      <c r="AD47" s="7">
        <v>0</v>
      </c>
      <c r="AE47" s="7">
        <v>0</v>
      </c>
      <c r="AF47" s="7">
        <v>0</v>
      </c>
      <c r="AG47" s="7">
        <v>0</v>
      </c>
      <c r="AH47" s="7">
        <v>0</v>
      </c>
      <c r="AI47" s="7">
        <v>0</v>
      </c>
      <c r="AJ47" s="7">
        <v>0</v>
      </c>
      <c r="AK47" s="7">
        <v>0</v>
      </c>
      <c r="AN47" s="516" t="s">
        <v>840</v>
      </c>
    </row>
    <row r="48" spans="1:40">
      <c r="B48" s="499" t="s">
        <v>37</v>
      </c>
      <c r="C48" s="7">
        <v>0</v>
      </c>
      <c r="D48" s="7">
        <v>0</v>
      </c>
      <c r="E48" s="7">
        <v>0</v>
      </c>
      <c r="F48" s="7">
        <v>0</v>
      </c>
      <c r="G48" s="7">
        <v>0</v>
      </c>
      <c r="H48" s="7">
        <v>0</v>
      </c>
      <c r="I48" s="7">
        <v>0</v>
      </c>
      <c r="J48" s="7">
        <v>0</v>
      </c>
      <c r="K48" s="7">
        <v>0</v>
      </c>
      <c r="L48" s="7">
        <v>0</v>
      </c>
      <c r="M48" s="7">
        <v>0</v>
      </c>
      <c r="N48" s="7">
        <v>0</v>
      </c>
      <c r="O48" s="7">
        <v>0</v>
      </c>
      <c r="P48" s="7">
        <v>0</v>
      </c>
      <c r="Q48" s="7">
        <v>0</v>
      </c>
      <c r="R48" s="7">
        <v>0</v>
      </c>
      <c r="S48" s="7">
        <v>0</v>
      </c>
      <c r="T48" s="7">
        <v>0</v>
      </c>
      <c r="U48" s="7">
        <v>0</v>
      </c>
      <c r="V48" s="7">
        <v>0</v>
      </c>
      <c r="W48" s="7">
        <v>0</v>
      </c>
      <c r="X48" s="7">
        <v>0</v>
      </c>
      <c r="Y48" s="7">
        <v>0</v>
      </c>
      <c r="Z48" s="7">
        <v>0</v>
      </c>
      <c r="AA48" s="7">
        <v>0</v>
      </c>
      <c r="AB48" s="7">
        <v>0</v>
      </c>
      <c r="AC48" s="7">
        <v>0</v>
      </c>
      <c r="AD48" s="7">
        <v>0</v>
      </c>
      <c r="AE48" s="7">
        <v>0</v>
      </c>
      <c r="AF48" s="7">
        <v>0</v>
      </c>
      <c r="AG48" s="7">
        <v>0</v>
      </c>
      <c r="AH48" s="7">
        <v>0</v>
      </c>
      <c r="AI48" s="7">
        <v>0</v>
      </c>
      <c r="AJ48" s="7">
        <v>0</v>
      </c>
      <c r="AK48" s="7">
        <v>0</v>
      </c>
      <c r="AN48" s="518">
        <v>5500</v>
      </c>
    </row>
    <row r="49" spans="1:42">
      <c r="B49" s="499" t="s">
        <v>38</v>
      </c>
      <c r="C49" s="7">
        <v>0</v>
      </c>
      <c r="D49" s="7">
        <v>0</v>
      </c>
      <c r="E49" s="7">
        <v>0</v>
      </c>
      <c r="F49" s="7">
        <v>0</v>
      </c>
      <c r="G49" s="7">
        <v>0</v>
      </c>
      <c r="H49" s="7">
        <v>0</v>
      </c>
      <c r="I49" s="7">
        <v>0</v>
      </c>
      <c r="J49" s="7">
        <v>0</v>
      </c>
      <c r="K49" s="7">
        <v>0</v>
      </c>
      <c r="L49" s="7">
        <v>0</v>
      </c>
      <c r="M49" s="7">
        <v>0</v>
      </c>
      <c r="N49" s="7">
        <v>0</v>
      </c>
      <c r="O49" s="7">
        <v>0</v>
      </c>
      <c r="P49" s="7">
        <v>0</v>
      </c>
      <c r="Q49" s="7">
        <v>0</v>
      </c>
      <c r="R49" s="7">
        <v>0</v>
      </c>
      <c r="S49" s="7">
        <v>0</v>
      </c>
      <c r="T49" s="7">
        <v>0</v>
      </c>
      <c r="U49" s="7">
        <v>0</v>
      </c>
      <c r="V49" s="7">
        <v>0</v>
      </c>
      <c r="W49" s="7">
        <v>0</v>
      </c>
      <c r="X49" s="7">
        <v>0</v>
      </c>
      <c r="Y49" s="7">
        <v>0</v>
      </c>
      <c r="Z49" s="7">
        <v>0</v>
      </c>
      <c r="AA49" s="7">
        <v>0</v>
      </c>
      <c r="AB49" s="7">
        <v>0</v>
      </c>
      <c r="AC49" s="7">
        <v>0</v>
      </c>
      <c r="AD49" s="7">
        <v>0</v>
      </c>
      <c r="AE49" s="7">
        <v>0</v>
      </c>
      <c r="AF49" s="7">
        <v>0</v>
      </c>
      <c r="AG49" s="7">
        <v>0</v>
      </c>
      <c r="AH49" s="7">
        <v>0</v>
      </c>
      <c r="AI49" s="7">
        <v>0</v>
      </c>
      <c r="AJ49" s="7">
        <v>0</v>
      </c>
      <c r="AK49" s="7">
        <v>0</v>
      </c>
    </row>
    <row r="50" spans="1:42">
      <c r="B50" s="499" t="s">
        <v>39</v>
      </c>
      <c r="C50" s="7">
        <v>0</v>
      </c>
      <c r="D50" s="7">
        <v>0</v>
      </c>
      <c r="E50" s="7">
        <v>0</v>
      </c>
      <c r="F50" s="7">
        <v>0</v>
      </c>
      <c r="G50" s="7">
        <v>0</v>
      </c>
      <c r="H50" s="7">
        <v>0</v>
      </c>
      <c r="I50" s="7">
        <v>0</v>
      </c>
      <c r="J50" s="7">
        <v>0</v>
      </c>
      <c r="K50" s="7">
        <v>0</v>
      </c>
      <c r="L50" s="7">
        <v>0</v>
      </c>
      <c r="M50" s="7">
        <v>0</v>
      </c>
      <c r="N50" s="7">
        <v>0</v>
      </c>
      <c r="O50" s="7">
        <v>0</v>
      </c>
      <c r="P50" s="7">
        <v>0</v>
      </c>
      <c r="Q50" s="7">
        <v>0</v>
      </c>
      <c r="R50" s="7">
        <v>0</v>
      </c>
      <c r="S50" s="7">
        <v>0</v>
      </c>
      <c r="T50" s="7">
        <v>0</v>
      </c>
      <c r="U50" s="7">
        <v>0</v>
      </c>
      <c r="V50" s="7">
        <v>0</v>
      </c>
      <c r="W50" s="7">
        <v>0</v>
      </c>
      <c r="X50" s="7">
        <v>0</v>
      </c>
      <c r="Y50" s="7">
        <v>0</v>
      </c>
      <c r="Z50" s="7">
        <v>0</v>
      </c>
      <c r="AA50" s="7">
        <v>0</v>
      </c>
      <c r="AB50" s="7">
        <v>0</v>
      </c>
      <c r="AC50" s="7">
        <v>0</v>
      </c>
      <c r="AD50" s="7">
        <v>0</v>
      </c>
      <c r="AE50" s="7">
        <v>0</v>
      </c>
      <c r="AF50" s="7">
        <v>0</v>
      </c>
      <c r="AG50" s="7">
        <v>0</v>
      </c>
      <c r="AH50" s="7">
        <v>0</v>
      </c>
      <c r="AI50" s="7">
        <v>0</v>
      </c>
      <c r="AJ50" s="7">
        <v>0</v>
      </c>
      <c r="AK50" s="7">
        <v>0</v>
      </c>
      <c r="AN50" s="519" t="s">
        <v>841</v>
      </c>
      <c r="AO50" s="520" t="s">
        <v>68</v>
      </c>
      <c r="AP50" s="521" t="s">
        <v>69</v>
      </c>
    </row>
    <row r="51" spans="1:42">
      <c r="B51" s="499" t="s">
        <v>40</v>
      </c>
      <c r="C51" s="7">
        <v>0</v>
      </c>
      <c r="D51" s="7">
        <v>0</v>
      </c>
      <c r="E51" s="7">
        <v>0</v>
      </c>
      <c r="F51" s="7">
        <v>0</v>
      </c>
      <c r="G51" s="7">
        <v>0</v>
      </c>
      <c r="H51" s="7">
        <v>0</v>
      </c>
      <c r="I51" s="7">
        <v>0</v>
      </c>
      <c r="J51" s="7">
        <v>0</v>
      </c>
      <c r="K51" s="7">
        <v>0</v>
      </c>
      <c r="L51" s="7">
        <v>0</v>
      </c>
      <c r="M51" s="7">
        <v>0</v>
      </c>
      <c r="N51" s="7">
        <v>0</v>
      </c>
      <c r="O51" s="7">
        <v>0</v>
      </c>
      <c r="P51" s="7">
        <v>0</v>
      </c>
      <c r="Q51" s="7">
        <v>0</v>
      </c>
      <c r="R51" s="7">
        <v>0</v>
      </c>
      <c r="S51" s="7">
        <v>0</v>
      </c>
      <c r="T51" s="7">
        <v>0</v>
      </c>
      <c r="U51" s="7">
        <v>0</v>
      </c>
      <c r="V51" s="7">
        <v>0</v>
      </c>
      <c r="W51" s="7">
        <v>0</v>
      </c>
      <c r="X51" s="7">
        <v>0</v>
      </c>
      <c r="Y51" s="7">
        <v>0</v>
      </c>
      <c r="Z51" s="7">
        <v>0</v>
      </c>
      <c r="AA51" s="7">
        <v>0</v>
      </c>
      <c r="AB51" s="7">
        <v>0</v>
      </c>
      <c r="AC51" s="7">
        <v>0</v>
      </c>
      <c r="AD51" s="7">
        <v>0</v>
      </c>
      <c r="AE51" s="7">
        <v>0</v>
      </c>
      <c r="AF51" s="7">
        <v>0</v>
      </c>
      <c r="AG51" s="7">
        <v>0</v>
      </c>
      <c r="AH51" s="7">
        <v>0</v>
      </c>
      <c r="AI51" s="7">
        <v>0</v>
      </c>
      <c r="AJ51" s="7">
        <v>0</v>
      </c>
      <c r="AK51" s="7">
        <v>0</v>
      </c>
      <c r="AN51" s="522" t="s">
        <v>842</v>
      </c>
      <c r="AO51" s="523">
        <v>3.6509999999999998</v>
      </c>
      <c r="AP51" s="524">
        <v>2.661</v>
      </c>
    </row>
    <row r="52" spans="1:42">
      <c r="B52" s="499" t="s">
        <v>41</v>
      </c>
      <c r="C52" s="7">
        <v>0</v>
      </c>
      <c r="D52" s="7">
        <v>0</v>
      </c>
      <c r="E52" s="7">
        <v>0</v>
      </c>
      <c r="F52" s="7">
        <v>0</v>
      </c>
      <c r="G52" s="7">
        <v>0</v>
      </c>
      <c r="H52" s="7">
        <v>0</v>
      </c>
      <c r="I52" s="7">
        <v>0</v>
      </c>
      <c r="J52" s="7">
        <v>0</v>
      </c>
      <c r="K52" s="7">
        <v>0</v>
      </c>
      <c r="L52" s="7">
        <v>0</v>
      </c>
      <c r="M52" s="7">
        <v>0</v>
      </c>
      <c r="N52" s="7">
        <v>0</v>
      </c>
      <c r="O52" s="7">
        <v>0</v>
      </c>
      <c r="P52" s="7">
        <v>0</v>
      </c>
      <c r="Q52" s="7">
        <v>0</v>
      </c>
      <c r="R52" s="7">
        <v>0</v>
      </c>
      <c r="S52" s="7">
        <v>0</v>
      </c>
      <c r="T52" s="7">
        <v>0</v>
      </c>
      <c r="U52" s="7">
        <v>0</v>
      </c>
      <c r="V52" s="7">
        <v>0</v>
      </c>
      <c r="W52" s="7">
        <v>0</v>
      </c>
      <c r="X52" s="7">
        <v>0</v>
      </c>
      <c r="Y52" s="7">
        <v>0</v>
      </c>
      <c r="Z52" s="7">
        <v>0</v>
      </c>
      <c r="AA52" s="7">
        <v>0</v>
      </c>
      <c r="AB52" s="7">
        <v>0</v>
      </c>
      <c r="AC52" s="7">
        <v>0</v>
      </c>
      <c r="AD52" s="7">
        <v>0</v>
      </c>
      <c r="AE52" s="7">
        <v>0</v>
      </c>
      <c r="AF52" s="7">
        <v>0</v>
      </c>
      <c r="AG52" s="7">
        <v>0</v>
      </c>
      <c r="AH52" s="7">
        <v>0</v>
      </c>
      <c r="AI52" s="7">
        <v>0</v>
      </c>
      <c r="AJ52" s="7">
        <v>0</v>
      </c>
      <c r="AK52" s="7">
        <v>0</v>
      </c>
      <c r="AN52" s="525" t="s">
        <v>843</v>
      </c>
      <c r="AO52" s="526">
        <v>6.101</v>
      </c>
      <c r="AP52" s="527">
        <v>4.5979999999999999</v>
      </c>
    </row>
    <row r="53" spans="1:42">
      <c r="B53" s="499" t="s">
        <v>42</v>
      </c>
      <c r="C53" s="7">
        <v>0</v>
      </c>
      <c r="D53" s="7">
        <v>0</v>
      </c>
      <c r="E53" s="7">
        <v>0</v>
      </c>
      <c r="F53" s="7">
        <v>0</v>
      </c>
      <c r="G53" s="7">
        <v>0</v>
      </c>
      <c r="H53" s="7">
        <v>0</v>
      </c>
      <c r="I53" s="7">
        <v>0</v>
      </c>
      <c r="J53" s="7">
        <v>0</v>
      </c>
      <c r="K53" s="7">
        <v>0</v>
      </c>
      <c r="L53" s="7">
        <v>0</v>
      </c>
      <c r="M53" s="7">
        <v>0</v>
      </c>
      <c r="N53" s="7">
        <v>0</v>
      </c>
      <c r="O53" s="7">
        <v>0</v>
      </c>
      <c r="P53" s="7">
        <v>0</v>
      </c>
      <c r="Q53" s="7">
        <v>0</v>
      </c>
      <c r="R53" s="7">
        <v>0</v>
      </c>
      <c r="S53" s="7">
        <v>0</v>
      </c>
      <c r="T53" s="7">
        <v>0</v>
      </c>
      <c r="U53" s="7">
        <v>0</v>
      </c>
      <c r="V53" s="7">
        <v>0</v>
      </c>
      <c r="W53" s="7">
        <v>0</v>
      </c>
      <c r="X53" s="7">
        <v>0</v>
      </c>
      <c r="Y53" s="7">
        <v>0</v>
      </c>
      <c r="Z53" s="7">
        <v>0</v>
      </c>
      <c r="AA53" s="7">
        <v>0</v>
      </c>
      <c r="AB53" s="7">
        <v>0</v>
      </c>
      <c r="AC53" s="7">
        <v>0</v>
      </c>
      <c r="AD53" s="7">
        <v>0</v>
      </c>
      <c r="AE53" s="7">
        <v>0</v>
      </c>
      <c r="AF53" s="7">
        <v>0</v>
      </c>
      <c r="AG53" s="7">
        <v>0</v>
      </c>
      <c r="AH53" s="7">
        <v>0</v>
      </c>
      <c r="AI53" s="7">
        <v>0</v>
      </c>
      <c r="AJ53" s="7">
        <v>0</v>
      </c>
      <c r="AK53" s="7">
        <v>0</v>
      </c>
    </row>
    <row r="54" spans="1:42">
      <c r="B54" s="499" t="s">
        <v>43</v>
      </c>
      <c r="C54" s="7">
        <v>0</v>
      </c>
      <c r="D54" s="7">
        <v>0</v>
      </c>
      <c r="E54" s="7">
        <v>0</v>
      </c>
      <c r="F54" s="7">
        <v>0</v>
      </c>
      <c r="G54" s="7">
        <v>0</v>
      </c>
      <c r="H54" s="7">
        <v>0</v>
      </c>
      <c r="I54" s="7">
        <v>0</v>
      </c>
      <c r="J54" s="7">
        <v>0</v>
      </c>
      <c r="K54" s="7">
        <v>0</v>
      </c>
      <c r="L54" s="7">
        <v>0</v>
      </c>
      <c r="M54" s="7">
        <v>0</v>
      </c>
      <c r="N54" s="7">
        <v>0</v>
      </c>
      <c r="O54" s="7">
        <v>0</v>
      </c>
      <c r="P54" s="7">
        <v>0</v>
      </c>
      <c r="Q54" s="7">
        <v>0</v>
      </c>
      <c r="R54" s="7">
        <v>0</v>
      </c>
      <c r="S54" s="7">
        <v>0</v>
      </c>
      <c r="T54" s="7">
        <v>0</v>
      </c>
      <c r="U54" s="7">
        <v>0</v>
      </c>
      <c r="V54" s="7">
        <v>0</v>
      </c>
      <c r="W54" s="7">
        <v>0</v>
      </c>
      <c r="X54" s="7">
        <v>0</v>
      </c>
      <c r="Y54" s="7">
        <v>0</v>
      </c>
      <c r="Z54" s="7">
        <v>0</v>
      </c>
      <c r="AA54" s="7">
        <v>0</v>
      </c>
      <c r="AB54" s="7">
        <v>0</v>
      </c>
      <c r="AC54" s="7">
        <v>0</v>
      </c>
      <c r="AD54" s="7">
        <v>0</v>
      </c>
      <c r="AE54" s="7">
        <v>0</v>
      </c>
      <c r="AF54" s="7">
        <v>0</v>
      </c>
      <c r="AG54" s="7">
        <v>0</v>
      </c>
      <c r="AH54" s="7">
        <v>0</v>
      </c>
      <c r="AI54" s="7">
        <v>0</v>
      </c>
      <c r="AJ54" s="7">
        <v>0</v>
      </c>
      <c r="AK54" s="7">
        <v>0</v>
      </c>
    </row>
    <row r="55" spans="1:42">
      <c r="B55" s="499" t="s">
        <v>44</v>
      </c>
      <c r="C55" s="7">
        <v>0</v>
      </c>
      <c r="D55" s="7">
        <v>0</v>
      </c>
      <c r="E55" s="7">
        <v>0</v>
      </c>
      <c r="F55" s="7">
        <v>0</v>
      </c>
      <c r="G55" s="7">
        <v>0</v>
      </c>
      <c r="H55" s="7">
        <v>0</v>
      </c>
      <c r="I55" s="7">
        <v>0</v>
      </c>
      <c r="J55" s="7">
        <v>0</v>
      </c>
      <c r="K55" s="7">
        <v>0</v>
      </c>
      <c r="L55" s="7">
        <v>0</v>
      </c>
      <c r="M55" s="7">
        <v>0</v>
      </c>
      <c r="N55" s="7">
        <v>0</v>
      </c>
      <c r="O55" s="7">
        <v>0</v>
      </c>
      <c r="P55" s="7">
        <v>0</v>
      </c>
      <c r="Q55" s="7">
        <v>0</v>
      </c>
      <c r="R55" s="7">
        <v>0</v>
      </c>
      <c r="S55" s="7">
        <v>0</v>
      </c>
      <c r="T55" s="7">
        <v>0</v>
      </c>
      <c r="U55" s="7">
        <v>0</v>
      </c>
      <c r="V55" s="7">
        <v>0</v>
      </c>
      <c r="W55" s="7">
        <v>0</v>
      </c>
      <c r="X55" s="7">
        <v>0</v>
      </c>
      <c r="Y55" s="7">
        <v>0</v>
      </c>
      <c r="Z55" s="7">
        <v>0</v>
      </c>
      <c r="AA55" s="7">
        <v>0</v>
      </c>
      <c r="AB55" s="7">
        <v>0</v>
      </c>
      <c r="AC55" s="7">
        <v>0</v>
      </c>
      <c r="AD55" s="7">
        <v>0</v>
      </c>
      <c r="AE55" s="7">
        <v>0</v>
      </c>
      <c r="AF55" s="7">
        <v>0</v>
      </c>
      <c r="AG55" s="7">
        <v>0</v>
      </c>
      <c r="AH55" s="7">
        <v>0</v>
      </c>
      <c r="AI55" s="7">
        <v>0</v>
      </c>
      <c r="AJ55" s="7">
        <v>0</v>
      </c>
      <c r="AK55" s="7">
        <v>0</v>
      </c>
    </row>
    <row r="56" spans="1:42">
      <c r="B56" s="499" t="s">
        <v>45</v>
      </c>
      <c r="C56" s="7">
        <v>0</v>
      </c>
      <c r="D56" s="7">
        <v>0</v>
      </c>
      <c r="E56" s="7">
        <v>0</v>
      </c>
      <c r="F56" s="7">
        <v>0</v>
      </c>
      <c r="G56" s="7">
        <v>0</v>
      </c>
      <c r="H56" s="7">
        <v>0</v>
      </c>
      <c r="I56" s="7">
        <v>0</v>
      </c>
      <c r="J56" s="7">
        <v>0</v>
      </c>
      <c r="K56" s="7">
        <v>0</v>
      </c>
      <c r="L56" s="7">
        <v>0</v>
      </c>
      <c r="M56" s="7">
        <v>0</v>
      </c>
      <c r="N56" s="7">
        <v>0</v>
      </c>
      <c r="O56" s="7">
        <v>0</v>
      </c>
      <c r="P56" s="7">
        <v>0</v>
      </c>
      <c r="Q56" s="7">
        <v>0</v>
      </c>
      <c r="R56" s="7">
        <v>0</v>
      </c>
      <c r="S56" s="7">
        <v>0</v>
      </c>
      <c r="T56" s="7">
        <v>0</v>
      </c>
      <c r="U56" s="7">
        <v>0</v>
      </c>
      <c r="V56" s="7">
        <v>0</v>
      </c>
      <c r="W56" s="7">
        <v>0</v>
      </c>
      <c r="X56" s="7">
        <v>0</v>
      </c>
      <c r="Y56" s="7">
        <v>0</v>
      </c>
      <c r="Z56" s="7">
        <v>0</v>
      </c>
      <c r="AA56" s="7">
        <v>0</v>
      </c>
      <c r="AB56" s="7">
        <v>0</v>
      </c>
      <c r="AC56" s="7">
        <v>0</v>
      </c>
      <c r="AD56" s="7">
        <v>0</v>
      </c>
      <c r="AE56" s="7">
        <v>0</v>
      </c>
      <c r="AF56" s="7">
        <v>0</v>
      </c>
      <c r="AG56" s="7">
        <v>0</v>
      </c>
      <c r="AH56" s="7">
        <v>0</v>
      </c>
      <c r="AI56" s="7">
        <v>0</v>
      </c>
      <c r="AJ56" s="7">
        <v>0</v>
      </c>
      <c r="AK56" s="7">
        <v>0</v>
      </c>
    </row>
    <row r="59" spans="1:42">
      <c r="A59" s="1" t="s">
        <v>70</v>
      </c>
    </row>
    <row r="60" spans="1:42">
      <c r="C60" s="499" t="s">
        <v>52</v>
      </c>
      <c r="H60" s="499" t="s">
        <v>53</v>
      </c>
      <c r="M60" s="499" t="s">
        <v>54</v>
      </c>
      <c r="R60" s="499" t="s">
        <v>55</v>
      </c>
      <c r="W60" s="499" t="s">
        <v>71</v>
      </c>
    </row>
    <row r="61" spans="1:42">
      <c r="C61" s="499" t="s">
        <v>57</v>
      </c>
      <c r="D61" s="499" t="s">
        <v>57</v>
      </c>
      <c r="E61" s="499" t="s">
        <v>57</v>
      </c>
      <c r="F61" s="499" t="s">
        <v>57</v>
      </c>
      <c r="G61" s="499" t="s">
        <v>57</v>
      </c>
      <c r="H61" s="499" t="s">
        <v>9</v>
      </c>
      <c r="I61" s="499" t="s">
        <v>9</v>
      </c>
      <c r="J61" s="499" t="s">
        <v>9</v>
      </c>
      <c r="K61" s="499" t="s">
        <v>9</v>
      </c>
      <c r="L61" s="499" t="s">
        <v>9</v>
      </c>
      <c r="M61" s="499" t="s">
        <v>10</v>
      </c>
      <c r="N61" s="499" t="s">
        <v>10</v>
      </c>
      <c r="O61" s="499" t="s">
        <v>10</v>
      </c>
      <c r="P61" s="499" t="s">
        <v>10</v>
      </c>
      <c r="Q61" s="499" t="s">
        <v>10</v>
      </c>
      <c r="R61" s="499" t="s">
        <v>11</v>
      </c>
      <c r="S61" s="499" t="s">
        <v>11</v>
      </c>
      <c r="T61" s="499" t="s">
        <v>11</v>
      </c>
      <c r="U61" s="499" t="s">
        <v>11</v>
      </c>
      <c r="V61" s="499" t="s">
        <v>11</v>
      </c>
      <c r="W61" s="499" t="s">
        <v>58</v>
      </c>
      <c r="X61" s="499" t="s">
        <v>58</v>
      </c>
      <c r="Y61" s="499" t="s">
        <v>58</v>
      </c>
      <c r="Z61" s="499" t="s">
        <v>58</v>
      </c>
      <c r="AA61" s="499" t="s">
        <v>58</v>
      </c>
      <c r="AB61" s="499" t="s">
        <v>72</v>
      </c>
      <c r="AG61" s="499" t="s">
        <v>60</v>
      </c>
    </row>
    <row r="62" spans="1:42">
      <c r="B62" s="6" t="s">
        <v>7</v>
      </c>
      <c r="C62" s="6" t="s">
        <v>67</v>
      </c>
      <c r="D62" s="6" t="s">
        <v>63</v>
      </c>
      <c r="E62" s="6" t="s">
        <v>64</v>
      </c>
      <c r="F62" s="6" t="s">
        <v>65</v>
      </c>
      <c r="G62" s="6" t="s">
        <v>66</v>
      </c>
      <c r="H62" s="6" t="s">
        <v>67</v>
      </c>
      <c r="I62" s="6" t="s">
        <v>63</v>
      </c>
      <c r="J62" s="6" t="s">
        <v>64</v>
      </c>
      <c r="K62" s="6" t="s">
        <v>65</v>
      </c>
      <c r="L62" s="6" t="s">
        <v>66</v>
      </c>
      <c r="M62" s="6" t="s">
        <v>67</v>
      </c>
      <c r="N62" s="6" t="s">
        <v>63</v>
      </c>
      <c r="O62" s="6" t="s">
        <v>64</v>
      </c>
      <c r="P62" s="6" t="s">
        <v>65</v>
      </c>
      <c r="Q62" s="6" t="s">
        <v>66</v>
      </c>
      <c r="R62" s="6" t="s">
        <v>67</v>
      </c>
      <c r="S62" s="6" t="s">
        <v>63</v>
      </c>
      <c r="T62" s="6" t="s">
        <v>64</v>
      </c>
      <c r="U62" s="6" t="s">
        <v>65</v>
      </c>
      <c r="V62" s="6" t="s">
        <v>66</v>
      </c>
      <c r="W62" s="6" t="s">
        <v>67</v>
      </c>
      <c r="X62" s="6" t="s">
        <v>63</v>
      </c>
      <c r="Y62" s="6" t="s">
        <v>64</v>
      </c>
      <c r="Z62" s="6" t="s">
        <v>65</v>
      </c>
      <c r="AA62" s="6" t="s">
        <v>66</v>
      </c>
      <c r="AB62" s="6" t="s">
        <v>67</v>
      </c>
      <c r="AC62" s="6" t="s">
        <v>63</v>
      </c>
      <c r="AD62" s="6" t="s">
        <v>64</v>
      </c>
      <c r="AE62" s="6" t="s">
        <v>65</v>
      </c>
      <c r="AF62" s="6" t="s">
        <v>66</v>
      </c>
      <c r="AG62" s="6" t="s">
        <v>67</v>
      </c>
      <c r="AH62" s="6" t="s">
        <v>63</v>
      </c>
      <c r="AI62" s="6" t="s">
        <v>64</v>
      </c>
      <c r="AJ62" s="6" t="s">
        <v>65</v>
      </c>
      <c r="AK62" s="6" t="s">
        <v>66</v>
      </c>
    </row>
    <row r="63" spans="1:42">
      <c r="B63" s="499" t="s">
        <v>15</v>
      </c>
      <c r="C63" s="529">
        <v>1</v>
      </c>
      <c r="D63" s="529">
        <v>1</v>
      </c>
      <c r="E63" s="529">
        <v>1</v>
      </c>
      <c r="F63" s="529">
        <v>1</v>
      </c>
      <c r="G63" s="529">
        <v>1</v>
      </c>
      <c r="H63" s="416">
        <v>0</v>
      </c>
      <c r="I63" s="416">
        <v>0</v>
      </c>
      <c r="J63" s="435">
        <v>0.4</v>
      </c>
      <c r="K63" s="435">
        <v>0.2</v>
      </c>
      <c r="L63" s="435">
        <v>0.2</v>
      </c>
      <c r="M63" s="416">
        <v>0</v>
      </c>
      <c r="N63" s="416">
        <v>0</v>
      </c>
      <c r="O63" s="435">
        <v>0.4</v>
      </c>
      <c r="P63" s="435">
        <v>0.2</v>
      </c>
      <c r="Q63" s="435">
        <v>0.2</v>
      </c>
      <c r="R63" s="416">
        <v>0</v>
      </c>
      <c r="S63" s="416">
        <v>0</v>
      </c>
      <c r="T63" s="416">
        <v>0</v>
      </c>
      <c r="U63" s="416">
        <v>0</v>
      </c>
      <c r="V63" s="416">
        <v>0</v>
      </c>
      <c r="W63" s="416">
        <v>0</v>
      </c>
      <c r="X63" s="416">
        <v>0</v>
      </c>
      <c r="Y63" s="435">
        <v>0.4</v>
      </c>
      <c r="Z63" s="435">
        <v>0.2</v>
      </c>
      <c r="AA63" s="435">
        <v>0.2</v>
      </c>
      <c r="AB63" s="7">
        <v>0</v>
      </c>
      <c r="AC63" s="7">
        <v>0</v>
      </c>
      <c r="AD63" s="7">
        <v>0</v>
      </c>
      <c r="AE63" s="7">
        <v>0</v>
      </c>
      <c r="AF63" s="7">
        <v>0</v>
      </c>
      <c r="AG63" s="7">
        <v>0</v>
      </c>
      <c r="AH63" s="7">
        <v>0</v>
      </c>
      <c r="AI63" s="7">
        <v>0</v>
      </c>
      <c r="AJ63" s="7">
        <v>0</v>
      </c>
      <c r="AK63" s="7">
        <v>0</v>
      </c>
    </row>
    <row r="64" spans="1:42">
      <c r="B64" s="499" t="s">
        <v>18</v>
      </c>
      <c r="C64" s="7">
        <v>0</v>
      </c>
      <c r="D64" s="7">
        <v>0</v>
      </c>
      <c r="E64" s="7">
        <v>0</v>
      </c>
      <c r="F64" s="7">
        <v>0</v>
      </c>
      <c r="G64" s="7">
        <v>0</v>
      </c>
      <c r="H64" s="7">
        <v>0</v>
      </c>
      <c r="I64" s="7">
        <v>0</v>
      </c>
      <c r="J64" s="7">
        <v>0</v>
      </c>
      <c r="K64" s="7">
        <v>0</v>
      </c>
      <c r="L64" s="7">
        <v>0</v>
      </c>
      <c r="M64" s="7">
        <v>0</v>
      </c>
      <c r="N64" s="7">
        <v>0</v>
      </c>
      <c r="O64" s="7">
        <v>0</v>
      </c>
      <c r="P64" s="7">
        <v>0</v>
      </c>
      <c r="Q64" s="7">
        <v>0</v>
      </c>
      <c r="R64" s="7">
        <v>0</v>
      </c>
      <c r="S64" s="7">
        <v>0</v>
      </c>
      <c r="T64" s="7">
        <v>0</v>
      </c>
      <c r="U64" s="7">
        <v>0</v>
      </c>
      <c r="V64" s="7">
        <v>0</v>
      </c>
      <c r="W64" s="7">
        <v>0</v>
      </c>
      <c r="X64" s="7">
        <v>0</v>
      </c>
      <c r="Y64" s="7">
        <v>0</v>
      </c>
      <c r="Z64" s="7">
        <v>0</v>
      </c>
      <c r="AA64" s="7">
        <v>0</v>
      </c>
      <c r="AB64" s="7">
        <v>0</v>
      </c>
      <c r="AC64" s="7">
        <v>0</v>
      </c>
      <c r="AD64" s="7">
        <v>0</v>
      </c>
      <c r="AE64" s="7">
        <v>0</v>
      </c>
      <c r="AF64" s="7">
        <v>0</v>
      </c>
      <c r="AG64" s="7">
        <v>0</v>
      </c>
      <c r="AH64" s="7">
        <v>0</v>
      </c>
      <c r="AI64" s="7">
        <v>0</v>
      </c>
      <c r="AJ64" s="7">
        <v>0</v>
      </c>
      <c r="AK64" s="7">
        <v>0</v>
      </c>
    </row>
    <row r="65" spans="1:37">
      <c r="B65" s="499" t="s">
        <v>19</v>
      </c>
      <c r="C65" s="7">
        <v>0</v>
      </c>
      <c r="D65" s="7">
        <v>0</v>
      </c>
      <c r="E65" s="7">
        <v>0</v>
      </c>
      <c r="F65" s="7">
        <v>0</v>
      </c>
      <c r="G65" s="7">
        <v>0</v>
      </c>
      <c r="H65" s="7">
        <v>0</v>
      </c>
      <c r="I65" s="7">
        <v>0</v>
      </c>
      <c r="J65" s="7">
        <v>0</v>
      </c>
      <c r="K65" s="7">
        <v>0</v>
      </c>
      <c r="L65" s="7">
        <v>0</v>
      </c>
      <c r="M65" s="7">
        <v>0</v>
      </c>
      <c r="N65" s="7">
        <v>0</v>
      </c>
      <c r="O65" s="7">
        <v>0</v>
      </c>
      <c r="P65" s="7">
        <v>0</v>
      </c>
      <c r="Q65" s="7">
        <v>0</v>
      </c>
      <c r="R65" s="7">
        <v>0</v>
      </c>
      <c r="S65" s="7">
        <v>0</v>
      </c>
      <c r="T65" s="7">
        <v>0</v>
      </c>
      <c r="U65" s="7">
        <v>0</v>
      </c>
      <c r="V65" s="7">
        <v>0</v>
      </c>
      <c r="W65" s="7">
        <v>0</v>
      </c>
      <c r="X65" s="7">
        <v>0</v>
      </c>
      <c r="Y65" s="7">
        <v>0</v>
      </c>
      <c r="Z65" s="7">
        <v>0</v>
      </c>
      <c r="AA65" s="7">
        <v>0</v>
      </c>
      <c r="AB65" s="7">
        <v>0</v>
      </c>
      <c r="AC65" s="7">
        <v>0</v>
      </c>
      <c r="AD65" s="7">
        <v>0</v>
      </c>
      <c r="AE65" s="7">
        <v>0</v>
      </c>
      <c r="AF65" s="7">
        <v>0</v>
      </c>
      <c r="AG65" s="7">
        <v>0</v>
      </c>
      <c r="AH65" s="7">
        <v>0</v>
      </c>
      <c r="AI65" s="7">
        <v>0</v>
      </c>
      <c r="AJ65" s="7">
        <v>0</v>
      </c>
      <c r="AK65" s="7">
        <v>0</v>
      </c>
    </row>
    <row r="66" spans="1:37">
      <c r="B66" s="499" t="s">
        <v>20</v>
      </c>
      <c r="C66" s="7">
        <v>0</v>
      </c>
      <c r="D66" s="7">
        <v>0</v>
      </c>
      <c r="E66" s="7">
        <v>0</v>
      </c>
      <c r="F66" s="7">
        <v>0</v>
      </c>
      <c r="G66" s="7">
        <v>0</v>
      </c>
      <c r="H66" s="7">
        <v>0</v>
      </c>
      <c r="I66" s="7">
        <v>0</v>
      </c>
      <c r="J66" s="7">
        <v>0</v>
      </c>
      <c r="K66" s="7">
        <v>0</v>
      </c>
      <c r="L66" s="7">
        <v>0</v>
      </c>
      <c r="M66" s="7">
        <v>0</v>
      </c>
      <c r="N66" s="7">
        <v>0</v>
      </c>
      <c r="O66" s="7">
        <v>0</v>
      </c>
      <c r="P66" s="7">
        <v>0</v>
      </c>
      <c r="Q66" s="7">
        <v>0</v>
      </c>
      <c r="R66" s="7">
        <v>0</v>
      </c>
      <c r="S66" s="7">
        <v>0</v>
      </c>
      <c r="T66" s="7">
        <v>0</v>
      </c>
      <c r="U66" s="7">
        <v>0</v>
      </c>
      <c r="V66" s="7">
        <v>0</v>
      </c>
      <c r="W66" s="7">
        <v>0</v>
      </c>
      <c r="X66" s="7">
        <v>0</v>
      </c>
      <c r="Y66" s="7">
        <v>0</v>
      </c>
      <c r="Z66" s="7">
        <v>0</v>
      </c>
      <c r="AA66" s="7">
        <v>0</v>
      </c>
      <c r="AB66" s="7">
        <v>0</v>
      </c>
      <c r="AC66" s="7">
        <v>0</v>
      </c>
      <c r="AD66" s="7">
        <v>0</v>
      </c>
      <c r="AE66" s="7">
        <v>0</v>
      </c>
      <c r="AF66" s="7">
        <v>0</v>
      </c>
      <c r="AG66" s="7">
        <v>0</v>
      </c>
      <c r="AH66" s="7">
        <v>0</v>
      </c>
      <c r="AI66" s="7">
        <v>0</v>
      </c>
      <c r="AJ66" s="7">
        <v>0</v>
      </c>
      <c r="AK66" s="7">
        <v>0</v>
      </c>
    </row>
    <row r="67" spans="1:37">
      <c r="B67" s="499" t="s">
        <v>21</v>
      </c>
      <c r="C67" s="7">
        <v>0</v>
      </c>
      <c r="D67" s="7">
        <v>0</v>
      </c>
      <c r="E67" s="7">
        <v>0</v>
      </c>
      <c r="F67" s="7">
        <v>0</v>
      </c>
      <c r="G67" s="7">
        <v>0</v>
      </c>
      <c r="H67" s="7">
        <v>0</v>
      </c>
      <c r="I67" s="7">
        <v>0</v>
      </c>
      <c r="J67" s="7">
        <v>0</v>
      </c>
      <c r="K67" s="7">
        <v>0</v>
      </c>
      <c r="L67" s="7">
        <v>0</v>
      </c>
      <c r="M67" s="7">
        <v>0</v>
      </c>
      <c r="N67" s="7">
        <v>0</v>
      </c>
      <c r="O67" s="7">
        <v>0</v>
      </c>
      <c r="P67" s="7">
        <v>0</v>
      </c>
      <c r="Q67" s="7">
        <v>0</v>
      </c>
      <c r="R67" s="7">
        <v>0</v>
      </c>
      <c r="S67" s="7">
        <v>0</v>
      </c>
      <c r="T67" s="7">
        <v>0</v>
      </c>
      <c r="U67" s="7">
        <v>0</v>
      </c>
      <c r="V67" s="7">
        <v>0</v>
      </c>
      <c r="W67" s="7">
        <v>0</v>
      </c>
      <c r="X67" s="7">
        <v>0</v>
      </c>
      <c r="Y67" s="7">
        <v>0</v>
      </c>
      <c r="Z67" s="7">
        <v>0</v>
      </c>
      <c r="AA67" s="7">
        <v>0</v>
      </c>
      <c r="AB67" s="7">
        <v>0</v>
      </c>
      <c r="AC67" s="7">
        <v>0</v>
      </c>
      <c r="AD67" s="7">
        <v>0</v>
      </c>
      <c r="AE67" s="7">
        <v>0</v>
      </c>
      <c r="AF67" s="7">
        <v>0</v>
      </c>
      <c r="AG67" s="7">
        <v>0</v>
      </c>
      <c r="AH67" s="7">
        <v>0</v>
      </c>
      <c r="AI67" s="7">
        <v>0</v>
      </c>
      <c r="AJ67" s="7">
        <v>0</v>
      </c>
      <c r="AK67" s="7">
        <v>0</v>
      </c>
    </row>
    <row r="68" spans="1:37">
      <c r="B68" s="499" t="s">
        <v>22</v>
      </c>
      <c r="C68" s="7">
        <v>0</v>
      </c>
      <c r="D68" s="7">
        <v>0</v>
      </c>
      <c r="E68" s="7">
        <v>0</v>
      </c>
      <c r="F68" s="7">
        <v>0</v>
      </c>
      <c r="G68" s="7">
        <v>0</v>
      </c>
      <c r="H68" s="7">
        <v>0</v>
      </c>
      <c r="I68" s="7">
        <v>0</v>
      </c>
      <c r="J68" s="7">
        <v>0</v>
      </c>
      <c r="K68" s="7">
        <v>0</v>
      </c>
      <c r="L68" s="7">
        <v>0</v>
      </c>
      <c r="M68" s="7">
        <v>0</v>
      </c>
      <c r="N68" s="7">
        <v>0</v>
      </c>
      <c r="O68" s="7">
        <v>0</v>
      </c>
      <c r="P68" s="7">
        <v>0</v>
      </c>
      <c r="Q68" s="7">
        <v>0</v>
      </c>
      <c r="R68" s="7">
        <v>0</v>
      </c>
      <c r="S68" s="7">
        <v>0</v>
      </c>
      <c r="T68" s="7">
        <v>0</v>
      </c>
      <c r="U68" s="7">
        <v>0</v>
      </c>
      <c r="V68" s="7">
        <v>0</v>
      </c>
      <c r="W68" s="7">
        <v>0</v>
      </c>
      <c r="X68" s="7">
        <v>0</v>
      </c>
      <c r="Y68" s="7">
        <v>0</v>
      </c>
      <c r="Z68" s="7">
        <v>0</v>
      </c>
      <c r="AA68" s="7">
        <v>0</v>
      </c>
      <c r="AB68" s="7">
        <v>0</v>
      </c>
      <c r="AC68" s="7">
        <v>0</v>
      </c>
      <c r="AD68" s="7">
        <v>0</v>
      </c>
      <c r="AE68" s="7">
        <v>0</v>
      </c>
      <c r="AF68" s="7">
        <v>0</v>
      </c>
      <c r="AG68" s="7">
        <v>0</v>
      </c>
      <c r="AH68" s="7">
        <v>0</v>
      </c>
      <c r="AI68" s="7">
        <v>0</v>
      </c>
      <c r="AJ68" s="7">
        <v>0</v>
      </c>
      <c r="AK68" s="7">
        <v>0</v>
      </c>
    </row>
    <row r="69" spans="1:37">
      <c r="B69" s="499" t="s">
        <v>23</v>
      </c>
      <c r="C69" s="7">
        <v>0</v>
      </c>
      <c r="D69" s="7">
        <v>0</v>
      </c>
      <c r="E69" s="7">
        <v>0</v>
      </c>
      <c r="F69" s="7">
        <v>0</v>
      </c>
      <c r="G69" s="7">
        <v>0</v>
      </c>
      <c r="H69" s="7">
        <v>0</v>
      </c>
      <c r="I69" s="7">
        <v>0</v>
      </c>
      <c r="J69" s="7">
        <v>0</v>
      </c>
      <c r="K69" s="7">
        <v>0</v>
      </c>
      <c r="L69" s="7">
        <v>0</v>
      </c>
      <c r="M69" s="7">
        <v>0</v>
      </c>
      <c r="N69" s="7">
        <v>0</v>
      </c>
      <c r="O69" s="7">
        <v>0</v>
      </c>
      <c r="P69" s="7">
        <v>0</v>
      </c>
      <c r="Q69" s="7">
        <v>0</v>
      </c>
      <c r="R69" s="7">
        <v>0</v>
      </c>
      <c r="S69" s="7">
        <v>0</v>
      </c>
      <c r="T69" s="7">
        <v>0</v>
      </c>
      <c r="U69" s="7">
        <v>0</v>
      </c>
      <c r="V69" s="7">
        <v>0</v>
      </c>
      <c r="W69" s="7">
        <v>0</v>
      </c>
      <c r="X69" s="7">
        <v>0</v>
      </c>
      <c r="Y69" s="7">
        <v>0</v>
      </c>
      <c r="Z69" s="7">
        <v>0</v>
      </c>
      <c r="AA69" s="7">
        <v>0</v>
      </c>
      <c r="AB69" s="7">
        <v>0</v>
      </c>
      <c r="AC69" s="7">
        <v>0</v>
      </c>
      <c r="AD69" s="7">
        <v>0</v>
      </c>
      <c r="AE69" s="7">
        <v>0</v>
      </c>
      <c r="AF69" s="7">
        <v>0</v>
      </c>
      <c r="AG69" s="7">
        <v>0</v>
      </c>
      <c r="AH69" s="7">
        <v>0</v>
      </c>
      <c r="AI69" s="7">
        <v>0</v>
      </c>
      <c r="AJ69" s="7">
        <v>0</v>
      </c>
      <c r="AK69" s="7">
        <v>0</v>
      </c>
    </row>
    <row r="70" spans="1:37">
      <c r="B70" s="499" t="s">
        <v>24</v>
      </c>
      <c r="C70" s="7">
        <v>0</v>
      </c>
      <c r="D70" s="7">
        <v>0</v>
      </c>
      <c r="E70" s="7">
        <v>0</v>
      </c>
      <c r="F70" s="7">
        <v>0</v>
      </c>
      <c r="G70" s="7">
        <v>0</v>
      </c>
      <c r="H70" s="7">
        <v>0</v>
      </c>
      <c r="I70" s="7">
        <v>0</v>
      </c>
      <c r="J70" s="7">
        <v>0</v>
      </c>
      <c r="K70" s="7">
        <v>0</v>
      </c>
      <c r="L70" s="7">
        <v>0</v>
      </c>
      <c r="M70" s="7">
        <v>0</v>
      </c>
      <c r="N70" s="7">
        <v>0</v>
      </c>
      <c r="O70" s="7">
        <v>0</v>
      </c>
      <c r="P70" s="7">
        <v>0</v>
      </c>
      <c r="Q70" s="7">
        <v>0</v>
      </c>
      <c r="R70" s="7">
        <v>0</v>
      </c>
      <c r="S70" s="7">
        <v>0</v>
      </c>
      <c r="T70" s="7">
        <v>0</v>
      </c>
      <c r="U70" s="7">
        <v>0</v>
      </c>
      <c r="V70" s="7">
        <v>0</v>
      </c>
      <c r="W70" s="7">
        <v>0</v>
      </c>
      <c r="X70" s="7">
        <v>0</v>
      </c>
      <c r="Y70" s="7">
        <v>0</v>
      </c>
      <c r="Z70" s="7">
        <v>0</v>
      </c>
      <c r="AA70" s="7">
        <v>0</v>
      </c>
      <c r="AB70" s="7">
        <v>0</v>
      </c>
      <c r="AC70" s="7">
        <v>0</v>
      </c>
      <c r="AD70" s="7">
        <v>0</v>
      </c>
      <c r="AE70" s="7">
        <v>0</v>
      </c>
      <c r="AF70" s="7">
        <v>0</v>
      </c>
      <c r="AG70" s="7">
        <v>0</v>
      </c>
      <c r="AH70" s="7">
        <v>0</v>
      </c>
      <c r="AI70" s="7">
        <v>0</v>
      </c>
      <c r="AJ70" s="7">
        <v>0</v>
      </c>
      <c r="AK70" s="7">
        <v>0</v>
      </c>
    </row>
    <row r="71" spans="1:37">
      <c r="B71" s="499" t="s">
        <v>25</v>
      </c>
      <c r="C71" s="7">
        <v>0</v>
      </c>
      <c r="D71" s="7">
        <v>0</v>
      </c>
      <c r="E71" s="7">
        <v>0</v>
      </c>
      <c r="F71" s="7">
        <v>0</v>
      </c>
      <c r="G71" s="7">
        <v>0</v>
      </c>
      <c r="H71" s="7">
        <v>0</v>
      </c>
      <c r="I71" s="7">
        <v>0</v>
      </c>
      <c r="J71" s="7">
        <v>0</v>
      </c>
      <c r="K71" s="7">
        <v>0</v>
      </c>
      <c r="L71" s="7">
        <v>0</v>
      </c>
      <c r="M71" s="7">
        <v>0</v>
      </c>
      <c r="N71" s="7">
        <v>0</v>
      </c>
      <c r="O71" s="7">
        <v>0</v>
      </c>
      <c r="P71" s="7">
        <v>0</v>
      </c>
      <c r="Q71" s="7">
        <v>0</v>
      </c>
      <c r="R71" s="7">
        <v>0</v>
      </c>
      <c r="S71" s="7">
        <v>0</v>
      </c>
      <c r="T71" s="7">
        <v>0</v>
      </c>
      <c r="U71" s="7">
        <v>0</v>
      </c>
      <c r="V71" s="7">
        <v>0</v>
      </c>
      <c r="W71" s="7">
        <v>0</v>
      </c>
      <c r="X71" s="7">
        <v>0</v>
      </c>
      <c r="Y71" s="7">
        <v>0</v>
      </c>
      <c r="Z71" s="7">
        <v>0</v>
      </c>
      <c r="AA71" s="7">
        <v>0</v>
      </c>
      <c r="AB71" s="7">
        <v>0</v>
      </c>
      <c r="AC71" s="7">
        <v>0</v>
      </c>
      <c r="AD71" s="7">
        <v>0</v>
      </c>
      <c r="AE71" s="7">
        <v>0</v>
      </c>
      <c r="AF71" s="7">
        <v>0</v>
      </c>
      <c r="AG71" s="7">
        <v>0</v>
      </c>
      <c r="AH71" s="7">
        <v>0</v>
      </c>
      <c r="AI71" s="7">
        <v>0</v>
      </c>
      <c r="AJ71" s="7">
        <v>0</v>
      </c>
      <c r="AK71" s="7">
        <v>0</v>
      </c>
    </row>
    <row r="72" spans="1:37">
      <c r="B72" s="499" t="s">
        <v>26</v>
      </c>
      <c r="C72" s="7">
        <v>0</v>
      </c>
      <c r="D72" s="7">
        <v>0</v>
      </c>
      <c r="E72" s="7">
        <v>0</v>
      </c>
      <c r="F72" s="7">
        <v>0</v>
      </c>
      <c r="G72" s="7">
        <v>0</v>
      </c>
      <c r="H72" s="7">
        <v>0</v>
      </c>
      <c r="I72" s="7">
        <v>0</v>
      </c>
      <c r="J72" s="7">
        <v>0</v>
      </c>
      <c r="K72" s="7">
        <v>0</v>
      </c>
      <c r="L72" s="7">
        <v>0</v>
      </c>
      <c r="M72" s="7">
        <v>0</v>
      </c>
      <c r="N72" s="7">
        <v>0</v>
      </c>
      <c r="O72" s="7">
        <v>0</v>
      </c>
      <c r="P72" s="7">
        <v>0</v>
      </c>
      <c r="Q72" s="7">
        <v>0</v>
      </c>
      <c r="R72" s="7">
        <v>0</v>
      </c>
      <c r="S72" s="7">
        <v>0</v>
      </c>
      <c r="T72" s="7">
        <v>0</v>
      </c>
      <c r="U72" s="7">
        <v>0</v>
      </c>
      <c r="V72" s="7">
        <v>0</v>
      </c>
      <c r="W72" s="7">
        <v>0</v>
      </c>
      <c r="X72" s="7">
        <v>0</v>
      </c>
      <c r="Y72" s="7">
        <v>0</v>
      </c>
      <c r="Z72" s="7">
        <v>0</v>
      </c>
      <c r="AA72" s="7">
        <v>0</v>
      </c>
      <c r="AB72" s="7">
        <v>0</v>
      </c>
      <c r="AC72" s="7">
        <v>0</v>
      </c>
      <c r="AD72" s="7">
        <v>0</v>
      </c>
      <c r="AE72" s="7">
        <v>0</v>
      </c>
      <c r="AF72" s="7">
        <v>0</v>
      </c>
      <c r="AG72" s="7">
        <v>0</v>
      </c>
      <c r="AH72" s="7">
        <v>0</v>
      </c>
      <c r="AI72" s="7">
        <v>0</v>
      </c>
      <c r="AJ72" s="7">
        <v>0</v>
      </c>
      <c r="AK72" s="7">
        <v>0</v>
      </c>
    </row>
    <row r="73" spans="1:37">
      <c r="B73" s="499" t="s">
        <v>27</v>
      </c>
      <c r="C73" s="7">
        <v>0</v>
      </c>
      <c r="D73" s="7">
        <v>0</v>
      </c>
      <c r="E73" s="7">
        <v>0</v>
      </c>
      <c r="F73" s="7">
        <v>0</v>
      </c>
      <c r="G73" s="7">
        <v>0</v>
      </c>
      <c r="H73" s="7">
        <v>0</v>
      </c>
      <c r="I73" s="7">
        <v>0</v>
      </c>
      <c r="J73" s="7">
        <v>0</v>
      </c>
      <c r="K73" s="7">
        <v>0</v>
      </c>
      <c r="L73" s="7">
        <v>0</v>
      </c>
      <c r="M73" s="7">
        <v>0</v>
      </c>
      <c r="N73" s="7">
        <v>0</v>
      </c>
      <c r="O73" s="7">
        <v>0</v>
      </c>
      <c r="P73" s="7">
        <v>0</v>
      </c>
      <c r="Q73" s="7">
        <v>0</v>
      </c>
      <c r="R73" s="7">
        <v>0</v>
      </c>
      <c r="S73" s="7">
        <v>0</v>
      </c>
      <c r="T73" s="7">
        <v>0</v>
      </c>
      <c r="U73" s="7">
        <v>0</v>
      </c>
      <c r="V73" s="7">
        <v>0</v>
      </c>
      <c r="W73" s="7">
        <v>0</v>
      </c>
      <c r="X73" s="7">
        <v>0</v>
      </c>
      <c r="Y73" s="7">
        <v>0</v>
      </c>
      <c r="Z73" s="7">
        <v>0</v>
      </c>
      <c r="AA73" s="7">
        <v>0</v>
      </c>
      <c r="AB73" s="7">
        <v>0</v>
      </c>
      <c r="AC73" s="7">
        <v>0</v>
      </c>
      <c r="AD73" s="7">
        <v>0</v>
      </c>
      <c r="AE73" s="7">
        <v>0</v>
      </c>
      <c r="AF73" s="7">
        <v>0</v>
      </c>
      <c r="AG73" s="7">
        <v>0</v>
      </c>
      <c r="AH73" s="7">
        <v>0</v>
      </c>
      <c r="AI73" s="7">
        <v>0</v>
      </c>
      <c r="AJ73" s="7">
        <v>0</v>
      </c>
      <c r="AK73" s="7">
        <v>0</v>
      </c>
    </row>
    <row r="74" spans="1:37">
      <c r="B74" s="499" t="s">
        <v>28</v>
      </c>
      <c r="C74" s="7">
        <v>0</v>
      </c>
      <c r="D74" s="7">
        <v>0</v>
      </c>
      <c r="E74" s="7">
        <v>0</v>
      </c>
      <c r="F74" s="7">
        <v>0</v>
      </c>
      <c r="G74" s="7">
        <v>0</v>
      </c>
      <c r="H74" s="7">
        <v>0</v>
      </c>
      <c r="I74" s="7">
        <v>0</v>
      </c>
      <c r="J74" s="7">
        <v>0</v>
      </c>
      <c r="K74" s="7">
        <v>0</v>
      </c>
      <c r="L74" s="7">
        <v>0</v>
      </c>
      <c r="M74" s="7">
        <v>0</v>
      </c>
      <c r="N74" s="7">
        <v>0</v>
      </c>
      <c r="O74" s="7">
        <v>0</v>
      </c>
      <c r="P74" s="7">
        <v>0</v>
      </c>
      <c r="Q74" s="7">
        <v>0</v>
      </c>
      <c r="R74" s="7">
        <v>0</v>
      </c>
      <c r="S74" s="7">
        <v>0</v>
      </c>
      <c r="T74" s="7">
        <v>0</v>
      </c>
      <c r="U74" s="7">
        <v>0</v>
      </c>
      <c r="V74" s="7">
        <v>0</v>
      </c>
      <c r="W74" s="7">
        <v>0</v>
      </c>
      <c r="X74" s="7">
        <v>0</v>
      </c>
      <c r="Y74" s="7">
        <v>0</v>
      </c>
      <c r="Z74" s="7">
        <v>0</v>
      </c>
      <c r="AA74" s="7">
        <v>0</v>
      </c>
      <c r="AB74" s="7">
        <v>0</v>
      </c>
      <c r="AC74" s="7">
        <v>0</v>
      </c>
      <c r="AD74" s="7">
        <v>0</v>
      </c>
      <c r="AE74" s="7">
        <v>0</v>
      </c>
      <c r="AF74" s="7">
        <v>0</v>
      </c>
      <c r="AG74" s="7">
        <v>0</v>
      </c>
      <c r="AH74" s="7">
        <v>0</v>
      </c>
      <c r="AI74" s="7">
        <v>0</v>
      </c>
      <c r="AJ74" s="7">
        <v>0</v>
      </c>
      <c r="AK74" s="7">
        <v>0</v>
      </c>
    </row>
    <row r="78" spans="1:37">
      <c r="A78" s="1" t="s">
        <v>73</v>
      </c>
      <c r="I78" s="499" t="s">
        <v>74</v>
      </c>
    </row>
    <row r="79" spans="1:37">
      <c r="B79" s="6" t="s">
        <v>75</v>
      </c>
      <c r="C79" s="6" t="s">
        <v>75</v>
      </c>
      <c r="D79" s="6" t="s">
        <v>76</v>
      </c>
      <c r="E79" s="6" t="s">
        <v>77</v>
      </c>
      <c r="F79" s="6" t="s">
        <v>78</v>
      </c>
      <c r="G79" s="6" t="s">
        <v>79</v>
      </c>
      <c r="H79" s="6" t="s">
        <v>80</v>
      </c>
      <c r="I79" s="9" t="s">
        <v>81</v>
      </c>
      <c r="J79" s="9" t="s">
        <v>33</v>
      </c>
      <c r="N79" s="6" t="s">
        <v>80</v>
      </c>
    </row>
    <row r="80" spans="1:37">
      <c r="B80" s="499" t="s">
        <v>82</v>
      </c>
      <c r="C80" s="499" t="s">
        <v>83</v>
      </c>
      <c r="D80" s="416">
        <v>1</v>
      </c>
      <c r="E80" s="435">
        <v>99999</v>
      </c>
      <c r="F80" s="435">
        <v>99999</v>
      </c>
      <c r="G80" s="435">
        <v>99999</v>
      </c>
      <c r="H80" s="435">
        <v>99999</v>
      </c>
      <c r="I80" s="7">
        <v>0</v>
      </c>
      <c r="J80" s="7">
        <v>0</v>
      </c>
      <c r="N80" s="435">
        <v>2</v>
      </c>
      <c r="O80" s="7">
        <v>99999</v>
      </c>
    </row>
    <row r="81" spans="2:15">
      <c r="B81" s="499" t="s">
        <v>84</v>
      </c>
      <c r="C81" s="499" t="s">
        <v>85</v>
      </c>
      <c r="D81" s="515">
        <v>1</v>
      </c>
      <c r="E81" s="435">
        <v>99999</v>
      </c>
      <c r="F81" s="435">
        <v>99999</v>
      </c>
      <c r="G81" s="435">
        <v>99999</v>
      </c>
      <c r="H81" s="435">
        <v>99999</v>
      </c>
      <c r="I81" s="7">
        <v>0</v>
      </c>
      <c r="J81" s="7">
        <v>0</v>
      </c>
      <c r="N81" s="435">
        <v>2</v>
      </c>
      <c r="O81" s="7">
        <v>99999</v>
      </c>
    </row>
    <row r="82" spans="2:15">
      <c r="B82" s="499" t="s">
        <v>86</v>
      </c>
      <c r="C82" s="499" t="s">
        <v>87</v>
      </c>
      <c r="D82" s="376">
        <f>'e (sf)'!C13</f>
        <v>0.13419264841314441</v>
      </c>
      <c r="E82" s="435">
        <v>99999</v>
      </c>
      <c r="F82" s="435">
        <v>99999</v>
      </c>
      <c r="G82" s="435">
        <v>99999</v>
      </c>
      <c r="H82" s="435">
        <v>99999</v>
      </c>
      <c r="I82" s="7">
        <v>0</v>
      </c>
      <c r="J82" s="7">
        <v>0</v>
      </c>
      <c r="N82" s="435">
        <v>2</v>
      </c>
      <c r="O82" s="7">
        <v>99999</v>
      </c>
    </row>
    <row r="83" spans="2:15">
      <c r="B83" s="499" t="s">
        <v>88</v>
      </c>
      <c r="C83" s="499" t="s">
        <v>89</v>
      </c>
      <c r="D83" s="11">
        <v>-99</v>
      </c>
      <c r="E83" s="435">
        <v>99999</v>
      </c>
      <c r="F83" s="435">
        <v>99999</v>
      </c>
      <c r="G83" s="435">
        <v>99999</v>
      </c>
      <c r="H83" s="435">
        <v>99999</v>
      </c>
      <c r="I83" s="7">
        <v>0</v>
      </c>
      <c r="J83" s="7">
        <v>-99</v>
      </c>
      <c r="K83" s="499" t="s">
        <v>90</v>
      </c>
      <c r="N83" s="435">
        <v>-99</v>
      </c>
      <c r="O83" s="7">
        <v>-99</v>
      </c>
    </row>
    <row r="84" spans="2:15">
      <c r="B84" s="499" t="s">
        <v>91</v>
      </c>
      <c r="C84" s="499" t="s">
        <v>92</v>
      </c>
      <c r="D84" s="266">
        <f>S.smolt!B18</f>
        <v>0.72160909090909098</v>
      </c>
      <c r="E84" s="435">
        <v>99999</v>
      </c>
      <c r="F84" s="435">
        <v>99999</v>
      </c>
      <c r="G84" s="435">
        <v>99999</v>
      </c>
      <c r="H84" s="435">
        <v>99999</v>
      </c>
      <c r="I84" s="7">
        <v>0</v>
      </c>
      <c r="J84" s="7">
        <v>0</v>
      </c>
      <c r="K84" s="499" t="s">
        <v>93</v>
      </c>
      <c r="N84" s="435">
        <v>2</v>
      </c>
      <c r="O84" s="7">
        <v>99999</v>
      </c>
    </row>
    <row r="85" spans="2:15">
      <c r="B85" s="499" t="s">
        <v>94</v>
      </c>
      <c r="C85" s="499" t="s">
        <v>95</v>
      </c>
      <c r="D85" s="266">
        <v>1</v>
      </c>
      <c r="E85" s="435">
        <v>99999</v>
      </c>
      <c r="F85" s="435">
        <v>99999</v>
      </c>
      <c r="G85" s="435">
        <v>99999</v>
      </c>
      <c r="H85" s="435">
        <v>99999</v>
      </c>
      <c r="I85" s="7">
        <v>0</v>
      </c>
      <c r="J85" s="7">
        <v>0</v>
      </c>
      <c r="N85" s="435">
        <v>2</v>
      </c>
      <c r="O85" s="7">
        <v>99999</v>
      </c>
    </row>
    <row r="86" spans="2:15">
      <c r="B86" s="499" t="s">
        <v>96</v>
      </c>
      <c r="C86" s="499" t="s">
        <v>97</v>
      </c>
      <c r="D86" s="266">
        <f>m!D92</f>
        <v>8.0873749999999994E-2</v>
      </c>
      <c r="E86" s="435">
        <v>99999</v>
      </c>
      <c r="F86" s="435">
        <v>99999</v>
      </c>
      <c r="G86" s="435">
        <v>99999</v>
      </c>
      <c r="H86" s="435">
        <v>99999</v>
      </c>
      <c r="I86" s="7">
        <v>0</v>
      </c>
      <c r="J86" s="7">
        <v>0</v>
      </c>
      <c r="N86" s="435">
        <v>2</v>
      </c>
      <c r="O86" s="7">
        <v>99999</v>
      </c>
    </row>
    <row r="87" spans="2:15">
      <c r="B87" s="499" t="s">
        <v>98</v>
      </c>
      <c r="C87" s="499" t="s">
        <v>99</v>
      </c>
      <c r="D87" s="266">
        <f>m!D104</f>
        <v>0.47448750000000001</v>
      </c>
      <c r="E87" s="435">
        <v>99999</v>
      </c>
      <c r="F87" s="435">
        <v>99999</v>
      </c>
      <c r="G87" s="435">
        <v>99999</v>
      </c>
      <c r="H87" s="435">
        <v>99999</v>
      </c>
      <c r="I87" s="7">
        <v>0</v>
      </c>
      <c r="J87" s="7">
        <v>0</v>
      </c>
      <c r="N87" s="435">
        <v>2</v>
      </c>
      <c r="O87" s="7">
        <v>99999</v>
      </c>
    </row>
    <row r="88" spans="2:15">
      <c r="B88" s="499" t="s">
        <v>100</v>
      </c>
      <c r="C88" s="499" t="s">
        <v>101</v>
      </c>
      <c r="D88" s="266">
        <f>m!D107</f>
        <v>0.65820000000000001</v>
      </c>
      <c r="E88" s="435">
        <v>99999</v>
      </c>
      <c r="F88" s="435">
        <v>99999</v>
      </c>
      <c r="G88" s="435">
        <v>99999</v>
      </c>
      <c r="H88" s="435">
        <v>99999</v>
      </c>
      <c r="I88" s="7">
        <v>0</v>
      </c>
      <c r="J88" s="7">
        <v>0</v>
      </c>
      <c r="N88" s="435">
        <v>2</v>
      </c>
      <c r="O88" s="7">
        <v>99999</v>
      </c>
    </row>
    <row r="89" spans="2:15">
      <c r="B89" s="499" t="s">
        <v>102</v>
      </c>
      <c r="C89" s="499" t="s">
        <v>103</v>
      </c>
      <c r="D89" s="398">
        <f>m!D107</f>
        <v>0.65820000000000001</v>
      </c>
      <c r="E89" s="435">
        <v>99999</v>
      </c>
      <c r="F89" s="435">
        <v>99999</v>
      </c>
      <c r="G89" s="435">
        <v>99999</v>
      </c>
      <c r="H89" s="435">
        <v>99999</v>
      </c>
      <c r="I89" s="7">
        <v>0</v>
      </c>
      <c r="J89" s="7">
        <v>0</v>
      </c>
      <c r="N89" s="435">
        <v>2</v>
      </c>
      <c r="O89" s="7">
        <v>99999</v>
      </c>
    </row>
    <row r="90" spans="2:15">
      <c r="B90" s="499" t="s">
        <v>104</v>
      </c>
      <c r="C90" s="499" t="s">
        <v>105</v>
      </c>
      <c r="D90" s="398">
        <f>m!D107</f>
        <v>0.65820000000000001</v>
      </c>
      <c r="E90" s="435">
        <v>99999</v>
      </c>
      <c r="F90" s="435">
        <v>99999</v>
      </c>
      <c r="G90" s="435">
        <v>99999</v>
      </c>
      <c r="H90" s="435">
        <v>99999</v>
      </c>
      <c r="I90" s="7">
        <v>0</v>
      </c>
      <c r="J90" s="7">
        <v>0</v>
      </c>
      <c r="N90" s="435">
        <v>2</v>
      </c>
      <c r="O90" s="7">
        <v>9999</v>
      </c>
    </row>
    <row r="91" spans="2:15">
      <c r="B91" s="499" t="s">
        <v>106</v>
      </c>
      <c r="C91" s="499" t="s">
        <v>107</v>
      </c>
      <c r="D91" s="398">
        <f>m!D107</f>
        <v>0.65820000000000001</v>
      </c>
      <c r="E91" s="435">
        <v>99999</v>
      </c>
      <c r="F91" s="435">
        <v>99999</v>
      </c>
      <c r="G91" s="435">
        <v>99999</v>
      </c>
      <c r="H91" s="435">
        <v>99999</v>
      </c>
      <c r="I91" s="7">
        <v>0</v>
      </c>
      <c r="J91" s="7">
        <v>0</v>
      </c>
      <c r="N91" s="435">
        <v>2</v>
      </c>
      <c r="O91" s="7">
        <v>9999</v>
      </c>
    </row>
    <row r="92" spans="2:15">
      <c r="B92" s="499" t="s">
        <v>108</v>
      </c>
      <c r="C92" s="499" t="s">
        <v>109</v>
      </c>
      <c r="D92" s="398">
        <f>m!D107</f>
        <v>0.65820000000000001</v>
      </c>
      <c r="E92" s="435">
        <v>99999</v>
      </c>
      <c r="F92" s="435">
        <v>99999</v>
      </c>
      <c r="G92" s="435">
        <v>99999</v>
      </c>
      <c r="H92" s="435">
        <v>99999</v>
      </c>
      <c r="I92" s="7">
        <v>0</v>
      </c>
      <c r="J92" s="7">
        <v>0</v>
      </c>
      <c r="N92" s="435">
        <v>2</v>
      </c>
      <c r="O92" s="7">
        <v>9999</v>
      </c>
    </row>
    <row r="93" spans="2:15">
      <c r="B93" s="499" t="s">
        <v>110</v>
      </c>
      <c r="C93" s="499" t="s">
        <v>111</v>
      </c>
      <c r="D93" s="7">
        <v>0</v>
      </c>
      <c r="E93" s="7">
        <v>0</v>
      </c>
      <c r="F93" s="7">
        <v>0</v>
      </c>
      <c r="G93" s="7">
        <v>0</v>
      </c>
      <c r="H93" s="7">
        <v>0</v>
      </c>
      <c r="I93" s="7">
        <v>0</v>
      </c>
      <c r="J93" s="7">
        <v>0</v>
      </c>
      <c r="N93" s="7">
        <v>9999</v>
      </c>
    </row>
    <row r="94" spans="2:15">
      <c r="B94" s="499" t="s">
        <v>112</v>
      </c>
      <c r="C94" s="499" t="s">
        <v>113</v>
      </c>
      <c r="D94" s="7">
        <v>0</v>
      </c>
      <c r="E94" s="7">
        <v>0</v>
      </c>
      <c r="F94" s="7">
        <v>0</v>
      </c>
      <c r="G94" s="7">
        <v>0</v>
      </c>
      <c r="H94" s="7">
        <v>0</v>
      </c>
      <c r="I94" s="7">
        <v>0</v>
      </c>
      <c r="J94" s="7">
        <v>0</v>
      </c>
      <c r="N94" s="7">
        <v>9999</v>
      </c>
    </row>
    <row r="95" spans="2:15">
      <c r="B95" s="499" t="s">
        <v>114</v>
      </c>
      <c r="C95" s="499" t="s">
        <v>115</v>
      </c>
      <c r="D95" s="7">
        <v>0</v>
      </c>
      <c r="E95" s="7">
        <v>0</v>
      </c>
      <c r="F95" s="7">
        <v>0</v>
      </c>
      <c r="G95" s="7">
        <v>0</v>
      </c>
      <c r="H95" s="7">
        <v>0</v>
      </c>
      <c r="I95" s="7">
        <v>0</v>
      </c>
      <c r="J95" s="7">
        <v>0</v>
      </c>
      <c r="N95" s="7">
        <v>9999</v>
      </c>
    </row>
    <row r="98" spans="1:56">
      <c r="A98" s="1" t="s">
        <v>116</v>
      </c>
      <c r="H98" s="45"/>
      <c r="AA98" s="499" t="s">
        <v>117</v>
      </c>
    </row>
    <row r="99" spans="1:56">
      <c r="C99" s="499" t="s">
        <v>118</v>
      </c>
      <c r="H99" s="499" t="s">
        <v>119</v>
      </c>
      <c r="V99" s="499" t="s">
        <v>120</v>
      </c>
      <c r="AA99" s="4" t="s">
        <v>121</v>
      </c>
      <c r="AB99" s="4"/>
      <c r="AC99" s="4" t="s">
        <v>122</v>
      </c>
      <c r="AD99" s="4"/>
      <c r="AE99" s="4"/>
      <c r="AF99" s="4"/>
      <c r="AG99" s="4"/>
      <c r="AH99" s="4"/>
      <c r="AI99" s="4"/>
      <c r="AJ99" s="4"/>
      <c r="AK99" s="4" t="s">
        <v>123</v>
      </c>
      <c r="AL99" s="4"/>
    </row>
    <row r="100" spans="1:56">
      <c r="B100" s="6" t="s">
        <v>124</v>
      </c>
      <c r="C100" s="6" t="s">
        <v>125</v>
      </c>
      <c r="D100" s="6" t="s">
        <v>126</v>
      </c>
      <c r="E100" s="6" t="s">
        <v>127</v>
      </c>
      <c r="F100" s="6" t="s">
        <v>128</v>
      </c>
      <c r="G100" s="6" t="s">
        <v>49</v>
      </c>
      <c r="H100" s="6" t="s">
        <v>129</v>
      </c>
      <c r="I100" s="6" t="s">
        <v>130</v>
      </c>
      <c r="J100" s="6" t="s">
        <v>131</v>
      </c>
      <c r="K100" s="6" t="s">
        <v>132</v>
      </c>
      <c r="L100" s="6" t="s">
        <v>133</v>
      </c>
      <c r="M100" s="6" t="s">
        <v>134</v>
      </c>
      <c r="N100" s="6" t="s">
        <v>135</v>
      </c>
      <c r="O100" s="6" t="s">
        <v>136</v>
      </c>
      <c r="P100" s="6" t="s">
        <v>137</v>
      </c>
      <c r="Q100" s="6" t="s">
        <v>138</v>
      </c>
      <c r="R100" s="6" t="s">
        <v>139</v>
      </c>
      <c r="S100" s="6" t="s">
        <v>140</v>
      </c>
      <c r="T100" s="6" t="s">
        <v>141</v>
      </c>
      <c r="U100" s="6" t="s">
        <v>142</v>
      </c>
      <c r="V100" s="6" t="s">
        <v>143</v>
      </c>
      <c r="W100" s="6" t="s">
        <v>144</v>
      </c>
      <c r="X100" s="6" t="s">
        <v>145</v>
      </c>
      <c r="Y100" s="6" t="s">
        <v>146</v>
      </c>
      <c r="Z100" s="6" t="s">
        <v>147</v>
      </c>
      <c r="AA100" s="9" t="s">
        <v>148</v>
      </c>
      <c r="AB100" s="9" t="s">
        <v>149</v>
      </c>
      <c r="AC100" s="9" t="s">
        <v>150</v>
      </c>
      <c r="AD100" s="9" t="s">
        <v>130</v>
      </c>
      <c r="AE100" s="9" t="s">
        <v>131</v>
      </c>
      <c r="AF100" s="9" t="s">
        <v>136</v>
      </c>
      <c r="AG100" s="9" t="s">
        <v>137</v>
      </c>
      <c r="AH100" s="9" t="s">
        <v>138</v>
      </c>
      <c r="AI100" s="9" t="s">
        <v>151</v>
      </c>
      <c r="AJ100" s="9" t="s">
        <v>152</v>
      </c>
      <c r="AK100" s="9" t="s">
        <v>153</v>
      </c>
      <c r="AL100" s="9" t="s">
        <v>154</v>
      </c>
      <c r="AM100" s="6" t="s">
        <v>155</v>
      </c>
      <c r="AP100" s="6" t="s">
        <v>49</v>
      </c>
    </row>
    <row r="101" spans="1:56">
      <c r="B101" s="499">
        <v>0</v>
      </c>
      <c r="C101" s="266">
        <f>e!U11</f>
        <v>0.48784836172599261</v>
      </c>
      <c r="D101" s="435">
        <v>99999</v>
      </c>
      <c r="E101" s="435">
        <v>99999</v>
      </c>
      <c r="F101" s="435">
        <v>99999</v>
      </c>
      <c r="G101" s="435">
        <v>99999</v>
      </c>
      <c r="H101" s="29">
        <f>e!D22*e!$E$22*2</f>
        <v>2.7716855628857204E-2</v>
      </c>
      <c r="I101" s="29">
        <f>(1-H101)*f!C27</f>
        <v>0</v>
      </c>
      <c r="J101" s="29">
        <f>1-I101-H101</f>
        <v>0.97228314437114283</v>
      </c>
      <c r="K101" s="435">
        <v>99999</v>
      </c>
      <c r="L101" s="435">
        <v>99999</v>
      </c>
      <c r="M101" s="435">
        <v>99999</v>
      </c>
      <c r="N101" s="435">
        <v>99999</v>
      </c>
      <c r="O101" s="29">
        <f>e!D22*2*(1-e!$E$22)</f>
        <v>1.9197253424726422E-2</v>
      </c>
      <c r="P101" s="29">
        <f>(1-O101)*f!B27</f>
        <v>0</v>
      </c>
      <c r="Q101" s="29">
        <f>1-P101-O101</f>
        <v>0.98080274657527355</v>
      </c>
      <c r="R101" s="435">
        <v>99999</v>
      </c>
      <c r="S101" s="435">
        <v>99999</v>
      </c>
      <c r="T101" s="435">
        <v>99999</v>
      </c>
      <c r="U101" s="435">
        <v>99999</v>
      </c>
      <c r="V101" s="7">
        <v>1</v>
      </c>
      <c r="W101" s="7">
        <v>0</v>
      </c>
      <c r="X101" s="7">
        <v>0</v>
      </c>
      <c r="Y101" s="7">
        <v>0</v>
      </c>
      <c r="Z101" s="7">
        <v>0</v>
      </c>
      <c r="AA101" s="7">
        <v>0</v>
      </c>
      <c r="AB101" s="7">
        <v>0</v>
      </c>
      <c r="AC101" s="7">
        <v>0</v>
      </c>
      <c r="AD101" s="7">
        <v>0</v>
      </c>
      <c r="AE101" s="7">
        <v>0</v>
      </c>
      <c r="AF101" s="7">
        <v>0</v>
      </c>
      <c r="AG101" s="7">
        <v>0</v>
      </c>
      <c r="AH101" s="7">
        <v>0</v>
      </c>
      <c r="AI101" s="7">
        <v>0</v>
      </c>
      <c r="AJ101" s="7">
        <v>0</v>
      </c>
      <c r="AK101" s="7">
        <v>0</v>
      </c>
      <c r="AL101" s="7">
        <v>0</v>
      </c>
      <c r="AM101" s="267">
        <f>f!D17</f>
        <v>11.096877459504327</v>
      </c>
      <c r="AP101" s="435">
        <v>2</v>
      </c>
    </row>
    <row r="102" spans="1:56">
      <c r="B102" s="499">
        <v>1</v>
      </c>
      <c r="C102" s="266">
        <f>e!V11</f>
        <v>0.34346528367861634</v>
      </c>
      <c r="D102" s="435">
        <v>99999</v>
      </c>
      <c r="E102" s="435">
        <v>99999</v>
      </c>
      <c r="F102" s="435">
        <v>99999</v>
      </c>
      <c r="G102" s="435">
        <v>99999</v>
      </c>
      <c r="H102" s="29">
        <f>(e!F23*(1-O101)*O102)/(1-H101)</f>
        <v>0.68025082649198731</v>
      </c>
      <c r="I102" s="29">
        <f>(1-H102)*f!C28</f>
        <v>0</v>
      </c>
      <c r="J102" s="29">
        <f t="shared" ref="J102:J107" si="0">1-I102-H102</f>
        <v>0.31974917350801269</v>
      </c>
      <c r="K102" s="435">
        <v>99999</v>
      </c>
      <c r="L102" s="435">
        <v>99999</v>
      </c>
      <c r="M102" s="435">
        <v>99999</v>
      </c>
      <c r="N102" s="435">
        <v>99999</v>
      </c>
      <c r="O102" s="29">
        <f>(e!D23*(2*(1-e!D22)))/(e!F23*(1-O101)+(1-O101))</f>
        <v>0.46706282306217922</v>
      </c>
      <c r="P102" s="29">
        <f>(1-O102)*f!B28</f>
        <v>0</v>
      </c>
      <c r="Q102" s="29">
        <f t="shared" ref="Q102:Q107" si="1">1-P102-O102</f>
        <v>0.53293717693782083</v>
      </c>
      <c r="R102" s="435">
        <v>99999</v>
      </c>
      <c r="S102" s="435">
        <v>99999</v>
      </c>
      <c r="T102" s="435">
        <v>99999</v>
      </c>
      <c r="U102" s="435">
        <v>99999</v>
      </c>
      <c r="V102" s="7">
        <v>1</v>
      </c>
      <c r="W102" s="7">
        <v>0</v>
      </c>
      <c r="X102" s="7">
        <v>0</v>
      </c>
      <c r="Y102" s="7">
        <v>0</v>
      </c>
      <c r="Z102" s="7">
        <v>0</v>
      </c>
      <c r="AA102" s="7">
        <v>0</v>
      </c>
      <c r="AB102" s="7">
        <v>0</v>
      </c>
      <c r="AC102" s="7">
        <v>0</v>
      </c>
      <c r="AD102" s="7">
        <v>0</v>
      </c>
      <c r="AE102" s="7">
        <v>0</v>
      </c>
      <c r="AF102" s="7">
        <v>0</v>
      </c>
      <c r="AG102" s="7">
        <v>0</v>
      </c>
      <c r="AH102" s="7">
        <v>0</v>
      </c>
      <c r="AI102" s="7">
        <v>0</v>
      </c>
      <c r="AJ102" s="7">
        <v>0</v>
      </c>
      <c r="AK102" s="7">
        <v>0</v>
      </c>
      <c r="AL102" s="7">
        <v>0</v>
      </c>
      <c r="AM102" s="268">
        <f>f!D18</f>
        <v>38.06904278109397</v>
      </c>
      <c r="AP102" s="435">
        <v>2</v>
      </c>
    </row>
    <row r="103" spans="1:56">
      <c r="B103" s="499">
        <v>2</v>
      </c>
      <c r="C103" s="266">
        <f>e!W11</f>
        <v>0.35455328883972964</v>
      </c>
      <c r="D103" s="435">
        <v>99999</v>
      </c>
      <c r="E103" s="435">
        <v>99999</v>
      </c>
      <c r="F103" s="435">
        <v>99999</v>
      </c>
      <c r="G103" s="435">
        <v>99999</v>
      </c>
      <c r="H103" s="262">
        <f>e!D24</f>
        <v>0.99</v>
      </c>
      <c r="I103" s="29">
        <f>(1-H103)*f!C29</f>
        <v>1.0000000000000009E-3</v>
      </c>
      <c r="J103" s="29">
        <f t="shared" si="0"/>
        <v>9.000000000000008E-3</v>
      </c>
      <c r="K103" s="435">
        <v>99999</v>
      </c>
      <c r="L103" s="435">
        <v>99999</v>
      </c>
      <c r="M103" s="435">
        <v>99999</v>
      </c>
      <c r="N103" s="435">
        <v>99999</v>
      </c>
      <c r="O103" s="261">
        <f>e!E24</f>
        <v>0.495</v>
      </c>
      <c r="P103" s="29">
        <f>(1-O103)*f!B29</f>
        <v>0.22725000000000001</v>
      </c>
      <c r="Q103" s="29">
        <f t="shared" si="1"/>
        <v>0.27775000000000005</v>
      </c>
      <c r="R103" s="435">
        <v>99999</v>
      </c>
      <c r="S103" s="435">
        <v>99999</v>
      </c>
      <c r="T103" s="435">
        <v>99999</v>
      </c>
      <c r="U103" s="435">
        <v>99999</v>
      </c>
      <c r="V103" s="7">
        <v>1</v>
      </c>
      <c r="W103" s="7">
        <v>0</v>
      </c>
      <c r="X103" s="7">
        <v>0</v>
      </c>
      <c r="Y103" s="7">
        <v>0</v>
      </c>
      <c r="Z103" s="7">
        <v>0</v>
      </c>
      <c r="AA103" s="7">
        <v>0</v>
      </c>
      <c r="AB103" s="7">
        <v>0</v>
      </c>
      <c r="AC103" s="7">
        <v>0</v>
      </c>
      <c r="AD103" s="7">
        <v>0</v>
      </c>
      <c r="AE103" s="7">
        <v>0</v>
      </c>
      <c r="AF103" s="7">
        <v>0</v>
      </c>
      <c r="AG103" s="7">
        <v>0</v>
      </c>
      <c r="AH103" s="7">
        <v>0</v>
      </c>
      <c r="AI103" s="7">
        <v>0</v>
      </c>
      <c r="AJ103" s="7">
        <v>0</v>
      </c>
      <c r="AK103" s="7">
        <v>0</v>
      </c>
      <c r="AL103" s="7">
        <v>0</v>
      </c>
      <c r="AM103" s="268">
        <f>f!D19</f>
        <v>74.701108144460321</v>
      </c>
      <c r="AP103" s="435">
        <v>2</v>
      </c>
    </row>
    <row r="104" spans="1:56">
      <c r="B104" s="499">
        <v>3</v>
      </c>
      <c r="C104" s="398">
        <f>e!W11</f>
        <v>0.35455328883972964</v>
      </c>
      <c r="D104" s="435">
        <v>99999</v>
      </c>
      <c r="E104" s="435">
        <v>99999</v>
      </c>
      <c r="F104" s="435">
        <v>99999</v>
      </c>
      <c r="G104" s="435">
        <v>99999</v>
      </c>
      <c r="H104" s="29">
        <v>0</v>
      </c>
      <c r="I104" s="29">
        <f>(1-H104)*f!C30</f>
        <v>0.35</v>
      </c>
      <c r="J104" s="29">
        <f t="shared" si="0"/>
        <v>0.65</v>
      </c>
      <c r="K104" s="435">
        <v>99999</v>
      </c>
      <c r="L104" s="435">
        <v>99999</v>
      </c>
      <c r="M104" s="435">
        <v>99999</v>
      </c>
      <c r="N104" s="435">
        <v>99999</v>
      </c>
      <c r="O104" s="29">
        <v>0</v>
      </c>
      <c r="P104" s="29">
        <f>(1-O104)*f!B30</f>
        <v>0.65</v>
      </c>
      <c r="Q104" s="29">
        <f t="shared" si="1"/>
        <v>0.35</v>
      </c>
      <c r="R104" s="435">
        <v>99999</v>
      </c>
      <c r="S104" s="435">
        <v>99999</v>
      </c>
      <c r="T104" s="435">
        <v>99999</v>
      </c>
      <c r="U104" s="435">
        <v>99999</v>
      </c>
      <c r="V104" s="7">
        <v>1</v>
      </c>
      <c r="W104" s="7">
        <v>0</v>
      </c>
      <c r="X104" s="7">
        <v>0</v>
      </c>
      <c r="Y104" s="7">
        <v>0</v>
      </c>
      <c r="Z104" s="7">
        <v>0</v>
      </c>
      <c r="AA104" s="7">
        <v>0</v>
      </c>
      <c r="AB104" s="7">
        <v>0</v>
      </c>
      <c r="AC104" s="7">
        <v>0</v>
      </c>
      <c r="AD104" s="7">
        <v>0</v>
      </c>
      <c r="AE104" s="7">
        <v>0</v>
      </c>
      <c r="AF104" s="7">
        <v>0</v>
      </c>
      <c r="AG104" s="7">
        <v>0</v>
      </c>
      <c r="AH104" s="7">
        <v>0</v>
      </c>
      <c r="AI104" s="7">
        <v>0</v>
      </c>
      <c r="AJ104" s="7">
        <v>0</v>
      </c>
      <c r="AK104" s="7">
        <v>0</v>
      </c>
      <c r="AL104" s="7">
        <v>0</v>
      </c>
      <c r="AM104" s="268">
        <f>f!D20</f>
        <v>123.40228269788216</v>
      </c>
      <c r="AP104" s="435">
        <v>2</v>
      </c>
      <c r="BD104" s="15"/>
    </row>
    <row r="105" spans="1:56">
      <c r="B105" s="499">
        <v>4</v>
      </c>
      <c r="C105" s="398">
        <f>e!W11</f>
        <v>0.35455328883972964</v>
      </c>
      <c r="D105" s="435">
        <v>99999</v>
      </c>
      <c r="E105" s="435">
        <v>99999</v>
      </c>
      <c r="F105" s="435">
        <v>99999</v>
      </c>
      <c r="G105" s="435">
        <v>99999</v>
      </c>
      <c r="H105" s="29">
        <v>0</v>
      </c>
      <c r="I105" s="29">
        <f>(1-H105)*f!C31</f>
        <v>0.6</v>
      </c>
      <c r="J105" s="29">
        <f t="shared" si="0"/>
        <v>0.4</v>
      </c>
      <c r="K105" s="435">
        <v>99999</v>
      </c>
      <c r="L105" s="435">
        <v>99999</v>
      </c>
      <c r="M105" s="435">
        <v>99999</v>
      </c>
      <c r="N105" s="435">
        <v>99999</v>
      </c>
      <c r="O105" s="29">
        <v>0</v>
      </c>
      <c r="P105" s="29">
        <f>(1-O105)*f!B31</f>
        <v>0.8</v>
      </c>
      <c r="Q105" s="29">
        <f t="shared" si="1"/>
        <v>0.19999999999999996</v>
      </c>
      <c r="R105" s="435">
        <v>99999</v>
      </c>
      <c r="S105" s="435">
        <v>99999</v>
      </c>
      <c r="T105" s="435">
        <v>99999</v>
      </c>
      <c r="U105" s="435">
        <v>99999</v>
      </c>
      <c r="V105" s="7">
        <v>1</v>
      </c>
      <c r="W105" s="7">
        <v>0</v>
      </c>
      <c r="X105" s="7">
        <v>0</v>
      </c>
      <c r="Y105" s="7">
        <v>0</v>
      </c>
      <c r="Z105" s="7">
        <v>0</v>
      </c>
      <c r="AA105" s="7">
        <v>0</v>
      </c>
      <c r="AB105" s="7">
        <v>0</v>
      </c>
      <c r="AC105" s="7">
        <v>0</v>
      </c>
      <c r="AD105" s="7">
        <v>0</v>
      </c>
      <c r="AE105" s="7">
        <v>0</v>
      </c>
      <c r="AF105" s="7">
        <v>0</v>
      </c>
      <c r="AG105" s="7">
        <v>0</v>
      </c>
      <c r="AH105" s="7">
        <v>0</v>
      </c>
      <c r="AI105" s="7">
        <v>0</v>
      </c>
      <c r="AJ105" s="7">
        <v>0</v>
      </c>
      <c r="AK105" s="7">
        <v>0</v>
      </c>
      <c r="AL105" s="7">
        <v>0</v>
      </c>
      <c r="AM105" s="268">
        <f>f!D21</f>
        <v>202.03699174910949</v>
      </c>
      <c r="AP105" s="435">
        <v>2</v>
      </c>
    </row>
    <row r="106" spans="1:56">
      <c r="B106" s="499">
        <v>5</v>
      </c>
      <c r="C106" s="398">
        <f>e!W11</f>
        <v>0.35455328883972964</v>
      </c>
      <c r="D106" s="435">
        <v>99999</v>
      </c>
      <c r="E106" s="435">
        <v>99999</v>
      </c>
      <c r="F106" s="435">
        <v>99999</v>
      </c>
      <c r="G106" s="435">
        <v>99999</v>
      </c>
      <c r="H106" s="29">
        <v>0</v>
      </c>
      <c r="I106" s="29">
        <f>(1-H106)*f!C32</f>
        <v>0.8</v>
      </c>
      <c r="J106" s="29">
        <f t="shared" si="0"/>
        <v>0.19999999999999996</v>
      </c>
      <c r="K106" s="435">
        <v>99999</v>
      </c>
      <c r="L106" s="435">
        <v>99999</v>
      </c>
      <c r="M106" s="435">
        <v>99999</v>
      </c>
      <c r="N106" s="435">
        <v>99999</v>
      </c>
      <c r="O106" s="29">
        <v>0</v>
      </c>
      <c r="P106" s="29">
        <f>(1-O106)*f!B32</f>
        <v>1</v>
      </c>
      <c r="Q106" s="29">
        <f t="shared" si="1"/>
        <v>0</v>
      </c>
      <c r="R106" s="435">
        <v>99999</v>
      </c>
      <c r="S106" s="435">
        <v>99999</v>
      </c>
      <c r="T106" s="435">
        <v>99999</v>
      </c>
      <c r="U106" s="435">
        <v>99999</v>
      </c>
      <c r="V106" s="7">
        <v>1</v>
      </c>
      <c r="W106" s="7">
        <v>0</v>
      </c>
      <c r="X106" s="7">
        <v>0</v>
      </c>
      <c r="Y106" s="7">
        <v>0</v>
      </c>
      <c r="Z106" s="7">
        <v>0</v>
      </c>
      <c r="AA106" s="7">
        <v>0</v>
      </c>
      <c r="AB106" s="7">
        <v>0</v>
      </c>
      <c r="AC106" s="7">
        <v>0</v>
      </c>
      <c r="AD106" s="7">
        <v>0</v>
      </c>
      <c r="AE106" s="7">
        <v>0</v>
      </c>
      <c r="AF106" s="7">
        <v>0</v>
      </c>
      <c r="AG106" s="7">
        <v>0</v>
      </c>
      <c r="AH106" s="7">
        <v>0</v>
      </c>
      <c r="AI106" s="7">
        <v>0</v>
      </c>
      <c r="AJ106" s="7">
        <v>0</v>
      </c>
      <c r="AK106" s="7">
        <v>0</v>
      </c>
      <c r="AL106" s="7">
        <v>0</v>
      </c>
      <c r="AM106" s="268">
        <f>f!D22</f>
        <v>247.57548242307968</v>
      </c>
      <c r="AP106" s="435">
        <v>2</v>
      </c>
    </row>
    <row r="107" spans="1:56">
      <c r="B107" s="499">
        <v>6</v>
      </c>
      <c r="C107" s="398">
        <f>e!W11</f>
        <v>0.35455328883972964</v>
      </c>
      <c r="D107" s="416">
        <v>99999</v>
      </c>
      <c r="E107" s="416">
        <v>99999</v>
      </c>
      <c r="F107" s="416">
        <v>99999</v>
      </c>
      <c r="G107" s="416">
        <v>99999</v>
      </c>
      <c r="H107" s="29">
        <v>0</v>
      </c>
      <c r="I107" s="29">
        <f>(1-H107)*f!C33</f>
        <v>1</v>
      </c>
      <c r="J107" s="29">
        <f t="shared" si="0"/>
        <v>0</v>
      </c>
      <c r="K107" s="416">
        <v>99999</v>
      </c>
      <c r="L107" s="416">
        <v>99999</v>
      </c>
      <c r="M107" s="416">
        <v>99999</v>
      </c>
      <c r="N107" s="416">
        <v>99999</v>
      </c>
      <c r="O107" s="29">
        <v>0</v>
      </c>
      <c r="P107" s="29">
        <f>(1-O107)*f!B33</f>
        <v>1</v>
      </c>
      <c r="Q107" s="29">
        <f t="shared" si="1"/>
        <v>0</v>
      </c>
      <c r="R107" s="416">
        <v>99999</v>
      </c>
      <c r="S107" s="416">
        <v>99999</v>
      </c>
      <c r="T107" s="416">
        <v>99999</v>
      </c>
      <c r="U107" s="416">
        <v>99999</v>
      </c>
      <c r="V107" s="7">
        <v>1</v>
      </c>
      <c r="W107" s="7">
        <v>0</v>
      </c>
      <c r="X107" s="7">
        <v>0</v>
      </c>
      <c r="Y107" s="7">
        <v>0</v>
      </c>
      <c r="Z107" s="7">
        <v>0</v>
      </c>
      <c r="AA107" s="7">
        <v>0</v>
      </c>
      <c r="AB107" s="7">
        <v>0</v>
      </c>
      <c r="AC107" s="7">
        <v>0</v>
      </c>
      <c r="AD107" s="7">
        <v>0</v>
      </c>
      <c r="AE107" s="7">
        <v>0</v>
      </c>
      <c r="AF107" s="7">
        <v>0</v>
      </c>
      <c r="AG107" s="7">
        <v>0</v>
      </c>
      <c r="AH107" s="7">
        <v>0</v>
      </c>
      <c r="AI107" s="7">
        <v>0</v>
      </c>
      <c r="AJ107" s="7">
        <v>0</v>
      </c>
      <c r="AK107" s="7">
        <v>0</v>
      </c>
      <c r="AL107" s="7">
        <v>0</v>
      </c>
      <c r="AM107" s="268">
        <f>f!D23</f>
        <v>315.08610858755986</v>
      </c>
      <c r="AP107" s="416">
        <v>9999</v>
      </c>
    </row>
    <row r="108" spans="1:56">
      <c r="B108" s="499">
        <v>7</v>
      </c>
      <c r="C108" s="12">
        <v>0</v>
      </c>
      <c r="D108" s="7">
        <v>0</v>
      </c>
      <c r="E108" s="7">
        <v>0</v>
      </c>
      <c r="F108" s="7">
        <v>0</v>
      </c>
      <c r="G108" s="7">
        <v>0</v>
      </c>
      <c r="H108" s="12">
        <v>0</v>
      </c>
      <c r="I108" s="12">
        <v>0</v>
      </c>
      <c r="J108" s="12">
        <v>0</v>
      </c>
      <c r="K108" s="7">
        <v>0</v>
      </c>
      <c r="L108" s="7">
        <v>0</v>
      </c>
      <c r="M108" s="7">
        <v>0</v>
      </c>
      <c r="N108" s="7">
        <v>0</v>
      </c>
      <c r="O108" s="12">
        <v>0</v>
      </c>
      <c r="P108" s="12">
        <v>0</v>
      </c>
      <c r="Q108" s="12">
        <v>0</v>
      </c>
      <c r="R108" s="7">
        <v>0</v>
      </c>
      <c r="S108" s="7">
        <v>0</v>
      </c>
      <c r="T108" s="7">
        <v>0</v>
      </c>
      <c r="U108" s="7">
        <v>0</v>
      </c>
      <c r="V108" s="7">
        <v>1</v>
      </c>
      <c r="W108" s="7">
        <v>0</v>
      </c>
      <c r="X108" s="7">
        <v>0</v>
      </c>
      <c r="Y108" s="7">
        <v>0</v>
      </c>
      <c r="Z108" s="7">
        <v>0</v>
      </c>
      <c r="AA108" s="7">
        <v>0</v>
      </c>
      <c r="AB108" s="7">
        <v>0</v>
      </c>
      <c r="AC108" s="7">
        <v>0</v>
      </c>
      <c r="AD108" s="7">
        <v>0</v>
      </c>
      <c r="AE108" s="7">
        <v>0</v>
      </c>
      <c r="AF108" s="7">
        <v>0</v>
      </c>
      <c r="AG108" s="7">
        <v>0</v>
      </c>
      <c r="AH108" s="7">
        <v>0</v>
      </c>
      <c r="AI108" s="7">
        <v>0</v>
      </c>
      <c r="AJ108" s="7">
        <v>0</v>
      </c>
      <c r="AK108" s="7">
        <v>0</v>
      </c>
      <c r="AL108" s="7">
        <v>0</v>
      </c>
      <c r="AM108" s="268">
        <f>AM107</f>
        <v>315.08610858755986</v>
      </c>
      <c r="AP108" s="7">
        <v>9999</v>
      </c>
    </row>
    <row r="109" spans="1:56">
      <c r="B109" s="499">
        <v>8</v>
      </c>
      <c r="C109" s="12">
        <v>0</v>
      </c>
      <c r="D109" s="7">
        <v>0</v>
      </c>
      <c r="E109" s="7">
        <v>0</v>
      </c>
      <c r="F109" s="7">
        <v>0</v>
      </c>
      <c r="G109" s="7">
        <v>0</v>
      </c>
      <c r="H109" s="12">
        <v>0</v>
      </c>
      <c r="I109" s="12">
        <v>0</v>
      </c>
      <c r="J109" s="12">
        <v>0</v>
      </c>
      <c r="K109" s="7">
        <v>0</v>
      </c>
      <c r="L109" s="7">
        <v>0</v>
      </c>
      <c r="M109" s="7">
        <v>0</v>
      </c>
      <c r="N109" s="7">
        <v>0</v>
      </c>
      <c r="O109" s="12">
        <v>0</v>
      </c>
      <c r="P109" s="12">
        <v>0</v>
      </c>
      <c r="Q109" s="12">
        <v>0</v>
      </c>
      <c r="R109" s="7">
        <v>0</v>
      </c>
      <c r="S109" s="7">
        <v>0</v>
      </c>
      <c r="T109" s="7">
        <v>0</v>
      </c>
      <c r="U109" s="7">
        <v>0</v>
      </c>
      <c r="V109" s="7">
        <v>1</v>
      </c>
      <c r="W109" s="7">
        <v>0</v>
      </c>
      <c r="X109" s="7">
        <v>0</v>
      </c>
      <c r="Y109" s="7">
        <v>0</v>
      </c>
      <c r="Z109" s="7">
        <v>0</v>
      </c>
      <c r="AA109" s="7">
        <v>0</v>
      </c>
      <c r="AB109" s="7">
        <v>0</v>
      </c>
      <c r="AC109" s="7">
        <v>0</v>
      </c>
      <c r="AD109" s="7">
        <v>0</v>
      </c>
      <c r="AE109" s="7">
        <v>0</v>
      </c>
      <c r="AF109" s="7">
        <v>0</v>
      </c>
      <c r="AG109" s="7">
        <v>0</v>
      </c>
      <c r="AH109" s="7">
        <v>0</v>
      </c>
      <c r="AI109" s="7">
        <v>0</v>
      </c>
      <c r="AJ109" s="7">
        <v>0</v>
      </c>
      <c r="AK109" s="7">
        <v>0</v>
      </c>
      <c r="AL109" s="7">
        <v>0</v>
      </c>
      <c r="AM109" s="268">
        <f>AM108</f>
        <v>315.08610858755986</v>
      </c>
      <c r="AP109" s="7">
        <v>9999</v>
      </c>
    </row>
    <row r="110" spans="1:56">
      <c r="B110" s="499">
        <v>9</v>
      </c>
      <c r="C110" s="12">
        <v>0</v>
      </c>
      <c r="D110" s="7">
        <v>0</v>
      </c>
      <c r="E110" s="7">
        <v>0</v>
      </c>
      <c r="F110" s="7">
        <v>0</v>
      </c>
      <c r="G110" s="7">
        <v>0</v>
      </c>
      <c r="H110" s="12">
        <v>0</v>
      </c>
      <c r="I110" s="12">
        <v>0</v>
      </c>
      <c r="J110" s="12">
        <v>0</v>
      </c>
      <c r="K110" s="7">
        <v>0</v>
      </c>
      <c r="L110" s="7">
        <v>0</v>
      </c>
      <c r="M110" s="7">
        <v>0</v>
      </c>
      <c r="N110" s="7">
        <v>0</v>
      </c>
      <c r="O110" s="12">
        <v>0</v>
      </c>
      <c r="P110" s="12">
        <v>0</v>
      </c>
      <c r="Q110" s="12">
        <v>0</v>
      </c>
      <c r="R110" s="7">
        <v>0</v>
      </c>
      <c r="S110" s="7">
        <v>0</v>
      </c>
      <c r="T110" s="7">
        <v>0</v>
      </c>
      <c r="U110" s="7">
        <v>0</v>
      </c>
      <c r="V110" s="7">
        <v>1</v>
      </c>
      <c r="W110" s="7">
        <v>0</v>
      </c>
      <c r="X110" s="7">
        <v>0</v>
      </c>
      <c r="Y110" s="7">
        <v>0</v>
      </c>
      <c r="Z110" s="7">
        <v>0</v>
      </c>
      <c r="AA110" s="7">
        <v>0</v>
      </c>
      <c r="AB110" s="7">
        <v>0</v>
      </c>
      <c r="AC110" s="7">
        <v>0</v>
      </c>
      <c r="AD110" s="7">
        <v>0</v>
      </c>
      <c r="AE110" s="7">
        <v>0</v>
      </c>
      <c r="AF110" s="7">
        <v>0</v>
      </c>
      <c r="AG110" s="7">
        <v>0</v>
      </c>
      <c r="AH110" s="7">
        <v>0</v>
      </c>
      <c r="AI110" s="7">
        <v>0</v>
      </c>
      <c r="AJ110" s="7">
        <v>0</v>
      </c>
      <c r="AK110" s="7">
        <v>0</v>
      </c>
      <c r="AL110" s="7">
        <v>0</v>
      </c>
      <c r="AM110" s="268">
        <f>AM109</f>
        <v>315.08610858755986</v>
      </c>
      <c r="AP110" s="7">
        <v>9999</v>
      </c>
    </row>
    <row r="113" spans="1:63">
      <c r="A113" s="1" t="s">
        <v>160</v>
      </c>
      <c r="S113" s="499" t="s">
        <v>161</v>
      </c>
    </row>
    <row r="114" spans="1:63">
      <c r="E114" s="499" t="s">
        <v>162</v>
      </c>
      <c r="N114" s="499" t="s">
        <v>163</v>
      </c>
      <c r="S114" s="4" t="s">
        <v>164</v>
      </c>
      <c r="T114" s="4"/>
      <c r="U114" s="4"/>
      <c r="V114" s="4"/>
      <c r="W114" s="4" t="s">
        <v>165</v>
      </c>
      <c r="X114" s="4"/>
    </row>
    <row r="115" spans="1:63">
      <c r="B115" s="6" t="s">
        <v>75</v>
      </c>
      <c r="C115" s="6" t="s">
        <v>166</v>
      </c>
      <c r="D115" s="401" t="s">
        <v>167</v>
      </c>
      <c r="E115" s="6" t="s">
        <v>168</v>
      </c>
      <c r="F115" s="6" t="s">
        <v>169</v>
      </c>
      <c r="G115" s="6" t="s">
        <v>170</v>
      </c>
      <c r="H115" s="6" t="s">
        <v>135</v>
      </c>
      <c r="I115" s="401" t="s">
        <v>171</v>
      </c>
      <c r="J115" s="6" t="s">
        <v>172</v>
      </c>
      <c r="K115" s="6" t="s">
        <v>173</v>
      </c>
      <c r="L115" s="6" t="s">
        <v>174</v>
      </c>
      <c r="M115" s="6" t="s">
        <v>142</v>
      </c>
      <c r="N115" s="6" t="s">
        <v>175</v>
      </c>
      <c r="O115" s="6" t="s">
        <v>176</v>
      </c>
      <c r="P115" s="6" t="s">
        <v>177</v>
      </c>
      <c r="Q115" s="6" t="s">
        <v>178</v>
      </c>
      <c r="R115" s="6" t="s">
        <v>12</v>
      </c>
      <c r="S115" s="9" t="s">
        <v>179</v>
      </c>
      <c r="T115" s="9" t="s">
        <v>180</v>
      </c>
      <c r="U115" s="9" t="s">
        <v>179</v>
      </c>
      <c r="V115" s="9" t="s">
        <v>180</v>
      </c>
      <c r="W115" s="9" t="s">
        <v>181</v>
      </c>
      <c r="X115" s="9" t="s">
        <v>33</v>
      </c>
      <c r="AA115" s="6" t="s">
        <v>135</v>
      </c>
      <c r="AB115" s="6" t="s">
        <v>142</v>
      </c>
    </row>
    <row r="116" spans="1:63">
      <c r="B116" s="499" t="s">
        <v>96</v>
      </c>
      <c r="C116" s="499">
        <v>1</v>
      </c>
      <c r="D116" s="266">
        <f>m!D111</f>
        <v>0.45939999999999998</v>
      </c>
      <c r="E116" s="435">
        <v>99999</v>
      </c>
      <c r="F116" s="435">
        <v>99999</v>
      </c>
      <c r="G116" s="435">
        <v>99999</v>
      </c>
      <c r="H116" s="435">
        <v>99999</v>
      </c>
      <c r="I116" s="266">
        <f>D116</f>
        <v>0.45939999999999998</v>
      </c>
      <c r="J116" s="435">
        <v>99999</v>
      </c>
      <c r="K116" s="435">
        <v>99999</v>
      </c>
      <c r="L116" s="435">
        <v>99999</v>
      </c>
      <c r="M116" s="435">
        <v>99999</v>
      </c>
      <c r="N116" s="40">
        <v>1.0000000000000001E+50</v>
      </c>
      <c r="O116" s="7">
        <v>0</v>
      </c>
      <c r="P116" s="7">
        <v>0</v>
      </c>
      <c r="Q116" s="7">
        <v>0</v>
      </c>
      <c r="R116" s="7">
        <v>0</v>
      </c>
      <c r="S116" s="7">
        <v>0</v>
      </c>
      <c r="T116" s="7">
        <v>0</v>
      </c>
      <c r="U116" s="7">
        <v>0</v>
      </c>
      <c r="V116" s="7">
        <v>0</v>
      </c>
      <c r="W116" s="7">
        <v>0</v>
      </c>
      <c r="X116" s="7">
        <v>0</v>
      </c>
      <c r="AA116" s="435">
        <v>2</v>
      </c>
      <c r="AB116" s="435">
        <v>2</v>
      </c>
    </row>
    <row r="117" spans="1:63">
      <c r="B117" s="499" t="s">
        <v>98</v>
      </c>
      <c r="C117" s="499">
        <v>2</v>
      </c>
      <c r="D117" s="266">
        <f>m!D115</f>
        <v>0.98619999999999997</v>
      </c>
      <c r="E117" s="435">
        <v>99999</v>
      </c>
      <c r="F117" s="435">
        <v>99999</v>
      </c>
      <c r="G117" s="435">
        <v>99999</v>
      </c>
      <c r="H117" s="435">
        <v>99999</v>
      </c>
      <c r="I117" s="266">
        <f>D117</f>
        <v>0.98619999999999997</v>
      </c>
      <c r="J117" s="435">
        <v>99999</v>
      </c>
      <c r="K117" s="435">
        <v>99999</v>
      </c>
      <c r="L117" s="435">
        <v>99999</v>
      </c>
      <c r="M117" s="435">
        <v>99999</v>
      </c>
      <c r="N117" s="40">
        <v>1.0000000000000001E+50</v>
      </c>
      <c r="O117" s="7">
        <v>0</v>
      </c>
      <c r="P117" s="7">
        <v>0</v>
      </c>
      <c r="Q117" s="7">
        <v>0</v>
      </c>
      <c r="R117" s="7">
        <v>0</v>
      </c>
      <c r="S117" s="7">
        <v>0</v>
      </c>
      <c r="T117" s="7">
        <v>0</v>
      </c>
      <c r="U117" s="7">
        <v>0</v>
      </c>
      <c r="V117" s="7">
        <v>0</v>
      </c>
      <c r="W117" s="7">
        <v>0</v>
      </c>
      <c r="X117" s="7">
        <v>0</v>
      </c>
      <c r="AA117" s="435">
        <v>2</v>
      </c>
      <c r="AB117" s="435">
        <v>2</v>
      </c>
    </row>
    <row r="118" spans="1:63">
      <c r="B118" s="499" t="s">
        <v>100</v>
      </c>
      <c r="C118" s="499">
        <v>3</v>
      </c>
      <c r="D118" s="266">
        <v>1</v>
      </c>
      <c r="E118" s="435">
        <v>99999</v>
      </c>
      <c r="F118" s="435">
        <v>99999</v>
      </c>
      <c r="G118" s="435">
        <v>99999</v>
      </c>
      <c r="H118" s="435">
        <v>99999</v>
      </c>
      <c r="I118" s="266">
        <f>D118</f>
        <v>1</v>
      </c>
      <c r="J118" s="435">
        <v>99999</v>
      </c>
      <c r="K118" s="435">
        <v>99999</v>
      </c>
      <c r="L118" s="435">
        <v>99999</v>
      </c>
      <c r="M118" s="435">
        <v>99999</v>
      </c>
      <c r="N118" s="40">
        <v>1.0000000000000001E+50</v>
      </c>
      <c r="O118" s="7">
        <v>0</v>
      </c>
      <c r="P118" s="7">
        <v>0</v>
      </c>
      <c r="Q118" s="7">
        <v>0</v>
      </c>
      <c r="R118" s="7">
        <v>0</v>
      </c>
      <c r="S118" s="7">
        <v>0</v>
      </c>
      <c r="T118" s="7">
        <v>0</v>
      </c>
      <c r="U118" s="7">
        <v>0</v>
      </c>
      <c r="V118" s="7">
        <v>0</v>
      </c>
      <c r="W118" s="7">
        <v>0</v>
      </c>
      <c r="X118" s="7">
        <v>0</v>
      </c>
      <c r="AA118" s="435">
        <v>2</v>
      </c>
      <c r="AB118" s="435">
        <v>2</v>
      </c>
    </row>
    <row r="119" spans="1:63">
      <c r="B119" s="499" t="s">
        <v>102</v>
      </c>
      <c r="C119" s="499">
        <v>4</v>
      </c>
      <c r="D119" s="266">
        <v>1</v>
      </c>
      <c r="E119" s="416">
        <v>99999</v>
      </c>
      <c r="F119" s="416">
        <v>99999</v>
      </c>
      <c r="G119" s="416">
        <v>99999</v>
      </c>
      <c r="H119" s="416">
        <v>99999</v>
      </c>
      <c r="I119" s="266">
        <v>1</v>
      </c>
      <c r="J119" s="416">
        <v>99999</v>
      </c>
      <c r="K119" s="416">
        <v>99999</v>
      </c>
      <c r="L119" s="416">
        <v>99999</v>
      </c>
      <c r="M119" s="416">
        <v>99999</v>
      </c>
      <c r="N119" s="40">
        <v>1.0000000000000001E+50</v>
      </c>
      <c r="O119" s="7">
        <v>0</v>
      </c>
      <c r="P119" s="7">
        <v>0</v>
      </c>
      <c r="Q119" s="7">
        <v>0</v>
      </c>
      <c r="R119" s="7">
        <v>0</v>
      </c>
      <c r="S119" s="7">
        <v>0</v>
      </c>
      <c r="T119" s="7">
        <v>0</v>
      </c>
      <c r="U119" s="7">
        <v>0</v>
      </c>
      <c r="V119" s="7">
        <v>0</v>
      </c>
      <c r="W119" s="7">
        <v>0</v>
      </c>
      <c r="X119" s="7">
        <v>0</v>
      </c>
      <c r="AA119" s="416">
        <v>9999</v>
      </c>
      <c r="AB119" s="416">
        <v>9999</v>
      </c>
      <c r="BK119" s="499" t="s">
        <v>182</v>
      </c>
    </row>
    <row r="120" spans="1:63">
      <c r="B120" s="499" t="s">
        <v>104</v>
      </c>
      <c r="C120" s="499">
        <v>5</v>
      </c>
      <c r="D120" s="266">
        <v>1</v>
      </c>
      <c r="E120" s="7">
        <v>0</v>
      </c>
      <c r="F120" s="7">
        <v>0</v>
      </c>
      <c r="G120" s="7">
        <v>0</v>
      </c>
      <c r="H120" s="7">
        <v>0</v>
      </c>
      <c r="I120" s="266">
        <v>1</v>
      </c>
      <c r="J120" s="7">
        <v>0</v>
      </c>
      <c r="K120" s="7">
        <v>0</v>
      </c>
      <c r="L120" s="7">
        <v>0</v>
      </c>
      <c r="M120" s="7">
        <v>0</v>
      </c>
      <c r="N120" s="40">
        <v>1.0000000000000001E+50</v>
      </c>
      <c r="O120" s="7">
        <v>0</v>
      </c>
      <c r="P120" s="7">
        <v>0</v>
      </c>
      <c r="Q120" s="7">
        <v>0</v>
      </c>
      <c r="R120" s="7">
        <v>0</v>
      </c>
      <c r="S120" s="7">
        <v>0</v>
      </c>
      <c r="T120" s="7">
        <v>0</v>
      </c>
      <c r="U120" s="7">
        <v>0</v>
      </c>
      <c r="V120" s="7">
        <v>0</v>
      </c>
      <c r="W120" s="7">
        <v>0</v>
      </c>
      <c r="X120" s="7">
        <v>0</v>
      </c>
      <c r="AA120" s="7">
        <v>9999</v>
      </c>
      <c r="AB120" s="7">
        <v>9999</v>
      </c>
    </row>
    <row r="121" spans="1:63">
      <c r="B121" s="499" t="s">
        <v>106</v>
      </c>
      <c r="C121" s="499">
        <v>6</v>
      </c>
      <c r="D121" s="266">
        <v>1</v>
      </c>
      <c r="E121" s="7">
        <v>0</v>
      </c>
      <c r="F121" s="7">
        <v>0</v>
      </c>
      <c r="G121" s="7">
        <v>0</v>
      </c>
      <c r="H121" s="7">
        <v>0</v>
      </c>
      <c r="I121" s="266">
        <v>1</v>
      </c>
      <c r="J121" s="7">
        <v>0</v>
      </c>
      <c r="K121" s="7">
        <v>0</v>
      </c>
      <c r="L121" s="7">
        <v>0</v>
      </c>
      <c r="M121" s="7">
        <v>0</v>
      </c>
      <c r="N121" s="40">
        <v>1.0000000000000001E+50</v>
      </c>
      <c r="O121" s="7">
        <v>0</v>
      </c>
      <c r="P121" s="7">
        <v>0</v>
      </c>
      <c r="Q121" s="7">
        <v>0</v>
      </c>
      <c r="R121" s="7">
        <v>0</v>
      </c>
      <c r="S121" s="7">
        <v>0</v>
      </c>
      <c r="T121" s="7">
        <v>0</v>
      </c>
      <c r="U121" s="7">
        <v>0</v>
      </c>
      <c r="V121" s="7">
        <v>0</v>
      </c>
      <c r="W121" s="7">
        <v>0</v>
      </c>
      <c r="X121" s="7">
        <v>0</v>
      </c>
      <c r="AA121" s="7">
        <v>9999</v>
      </c>
      <c r="AB121" s="7">
        <v>9999</v>
      </c>
    </row>
    <row r="122" spans="1:63">
      <c r="B122" s="499" t="s">
        <v>108</v>
      </c>
      <c r="C122" s="499">
        <v>7</v>
      </c>
      <c r="D122" s="266">
        <v>1</v>
      </c>
      <c r="E122" s="7">
        <v>0</v>
      </c>
      <c r="F122" s="7">
        <v>0</v>
      </c>
      <c r="G122" s="7">
        <v>0</v>
      </c>
      <c r="H122" s="7">
        <v>0</v>
      </c>
      <c r="I122" s="266">
        <v>1</v>
      </c>
      <c r="J122" s="7">
        <v>0</v>
      </c>
      <c r="K122" s="7">
        <v>0</v>
      </c>
      <c r="L122" s="7">
        <v>0</v>
      </c>
      <c r="M122" s="7">
        <v>0</v>
      </c>
      <c r="N122" s="40">
        <v>1.0000000000000001E+50</v>
      </c>
      <c r="O122" s="7">
        <v>0</v>
      </c>
      <c r="P122" s="7">
        <v>0</v>
      </c>
      <c r="Q122" s="7">
        <v>0</v>
      </c>
      <c r="R122" s="7">
        <v>0</v>
      </c>
      <c r="S122" s="7">
        <v>0</v>
      </c>
      <c r="T122" s="7">
        <v>0</v>
      </c>
      <c r="U122" s="7">
        <v>0</v>
      </c>
      <c r="V122" s="7">
        <v>0</v>
      </c>
      <c r="W122" s="7">
        <v>0</v>
      </c>
      <c r="X122" s="7">
        <v>0</v>
      </c>
      <c r="AA122" s="7">
        <v>9999</v>
      </c>
      <c r="AB122" s="7">
        <v>9999</v>
      </c>
    </row>
    <row r="123" spans="1:63">
      <c r="B123" s="499" t="s">
        <v>110</v>
      </c>
      <c r="C123" s="499">
        <v>8</v>
      </c>
      <c r="D123" s="266">
        <v>1</v>
      </c>
      <c r="E123" s="7">
        <v>0</v>
      </c>
      <c r="F123" s="7">
        <v>0</v>
      </c>
      <c r="G123" s="7">
        <v>0</v>
      </c>
      <c r="H123" s="7">
        <v>0</v>
      </c>
      <c r="I123" s="266">
        <v>1</v>
      </c>
      <c r="J123" s="7">
        <v>0</v>
      </c>
      <c r="K123" s="7">
        <v>0</v>
      </c>
      <c r="L123" s="7">
        <v>0</v>
      </c>
      <c r="M123" s="7">
        <v>0</v>
      </c>
      <c r="N123" s="40">
        <v>1.0000000000000001E+50</v>
      </c>
      <c r="O123" s="7">
        <v>0</v>
      </c>
      <c r="P123" s="7">
        <v>0</v>
      </c>
      <c r="Q123" s="7">
        <v>0</v>
      </c>
      <c r="R123" s="7">
        <v>0</v>
      </c>
      <c r="S123" s="7">
        <v>0</v>
      </c>
      <c r="T123" s="7">
        <v>0</v>
      </c>
      <c r="U123" s="7">
        <v>0</v>
      </c>
      <c r="V123" s="7">
        <v>0</v>
      </c>
      <c r="W123" s="7">
        <v>0</v>
      </c>
      <c r="X123" s="7">
        <v>0</v>
      </c>
      <c r="AA123" s="7">
        <v>9999</v>
      </c>
      <c r="AB123" s="7">
        <v>9999</v>
      </c>
    </row>
    <row r="124" spans="1:63">
      <c r="B124" s="499" t="s">
        <v>112</v>
      </c>
      <c r="C124" s="499">
        <v>9</v>
      </c>
      <c r="D124" s="266">
        <v>1</v>
      </c>
      <c r="E124" s="7">
        <v>0</v>
      </c>
      <c r="F124" s="7">
        <v>0</v>
      </c>
      <c r="G124" s="7">
        <v>0</v>
      </c>
      <c r="H124" s="7">
        <v>0</v>
      </c>
      <c r="I124" s="266">
        <v>1</v>
      </c>
      <c r="J124" s="7">
        <v>0</v>
      </c>
      <c r="K124" s="7">
        <v>0</v>
      </c>
      <c r="L124" s="7">
        <v>0</v>
      </c>
      <c r="M124" s="7">
        <v>0</v>
      </c>
      <c r="N124" s="40">
        <v>1.0000000000000001E+50</v>
      </c>
      <c r="O124" s="7">
        <v>0</v>
      </c>
      <c r="P124" s="7">
        <v>0</v>
      </c>
      <c r="Q124" s="7">
        <v>0</v>
      </c>
      <c r="R124" s="7">
        <v>0</v>
      </c>
      <c r="S124" s="7">
        <v>0</v>
      </c>
      <c r="T124" s="7">
        <v>0</v>
      </c>
      <c r="U124" s="7">
        <v>0</v>
      </c>
      <c r="V124" s="7">
        <v>0</v>
      </c>
      <c r="W124" s="7">
        <v>0</v>
      </c>
      <c r="X124" s="7">
        <v>0</v>
      </c>
      <c r="AA124" s="7">
        <v>9999</v>
      </c>
      <c r="AB124" s="7">
        <v>9999</v>
      </c>
    </row>
    <row r="125" spans="1:63">
      <c r="B125" s="499" t="s">
        <v>114</v>
      </c>
      <c r="C125" s="499">
        <v>10</v>
      </c>
      <c r="D125" s="266">
        <v>1</v>
      </c>
      <c r="E125" s="7">
        <v>0</v>
      </c>
      <c r="F125" s="7">
        <v>0</v>
      </c>
      <c r="G125" s="7">
        <v>0</v>
      </c>
      <c r="H125" s="7">
        <v>0</v>
      </c>
      <c r="I125" s="266">
        <v>1</v>
      </c>
      <c r="J125" s="7">
        <v>0</v>
      </c>
      <c r="K125" s="7">
        <v>0</v>
      </c>
      <c r="L125" s="7">
        <v>0</v>
      </c>
      <c r="M125" s="7">
        <v>0</v>
      </c>
      <c r="N125" s="40">
        <v>1.0000000000000001E+50</v>
      </c>
      <c r="O125" s="7">
        <v>0</v>
      </c>
      <c r="P125" s="7">
        <v>0</v>
      </c>
      <c r="Q125" s="7">
        <v>0</v>
      </c>
      <c r="R125" s="7">
        <v>0</v>
      </c>
      <c r="S125" s="7">
        <v>0</v>
      </c>
      <c r="T125" s="7">
        <v>0</v>
      </c>
      <c r="U125" s="7">
        <v>0</v>
      </c>
      <c r="V125" s="7">
        <v>0</v>
      </c>
      <c r="W125" s="7">
        <v>0</v>
      </c>
      <c r="X125" s="7">
        <v>0</v>
      </c>
      <c r="AA125" s="7">
        <v>9999</v>
      </c>
      <c r="AB125" s="7">
        <v>9999</v>
      </c>
    </row>
    <row r="128" spans="1:63">
      <c r="A128" s="1" t="s">
        <v>183</v>
      </c>
    </row>
    <row r="129" spans="1:87">
      <c r="P129" s="499" t="s">
        <v>176</v>
      </c>
      <c r="Q129" s="499" t="s">
        <v>176</v>
      </c>
      <c r="R129" s="499" t="s">
        <v>176</v>
      </c>
      <c r="S129" s="499" t="s">
        <v>176</v>
      </c>
      <c r="T129" s="499" t="s">
        <v>176</v>
      </c>
      <c r="U129" s="499" t="s">
        <v>176</v>
      </c>
      <c r="V129" s="499" t="s">
        <v>176</v>
      </c>
      <c r="W129" s="499" t="s">
        <v>176</v>
      </c>
      <c r="X129" s="499" t="s">
        <v>176</v>
      </c>
      <c r="Y129" s="499" t="s">
        <v>176</v>
      </c>
      <c r="Z129" s="499" t="s">
        <v>176</v>
      </c>
      <c r="AA129" s="499" t="s">
        <v>176</v>
      </c>
      <c r="AB129" s="499" t="s">
        <v>184</v>
      </c>
      <c r="AC129" s="499" t="s">
        <v>184</v>
      </c>
      <c r="AD129" s="499" t="s">
        <v>184</v>
      </c>
      <c r="AE129" s="499" t="s">
        <v>184</v>
      </c>
      <c r="AF129" s="499" t="s">
        <v>184</v>
      </c>
      <c r="AG129" s="499" t="s">
        <v>184</v>
      </c>
      <c r="AH129" s="499" t="s">
        <v>184</v>
      </c>
      <c r="AI129" s="499" t="s">
        <v>184</v>
      </c>
      <c r="AJ129" s="499" t="s">
        <v>184</v>
      </c>
      <c r="AK129" s="499" t="s">
        <v>184</v>
      </c>
      <c r="AL129" s="499" t="s">
        <v>184</v>
      </c>
      <c r="AM129" s="499" t="s">
        <v>184</v>
      </c>
      <c r="AN129" s="499" t="s">
        <v>178</v>
      </c>
      <c r="AO129" s="499" t="s">
        <v>178</v>
      </c>
      <c r="AP129" s="499" t="s">
        <v>178</v>
      </c>
      <c r="AQ129" s="499" t="s">
        <v>178</v>
      </c>
      <c r="AR129" s="499" t="s">
        <v>178</v>
      </c>
      <c r="AS129" s="499" t="s">
        <v>178</v>
      </c>
      <c r="AT129" s="499" t="s">
        <v>178</v>
      </c>
      <c r="AU129" s="499" t="s">
        <v>178</v>
      </c>
      <c r="AV129" s="499" t="s">
        <v>178</v>
      </c>
      <c r="AW129" s="499" t="s">
        <v>178</v>
      </c>
      <c r="AX129" s="499" t="s">
        <v>178</v>
      </c>
      <c r="AY129" s="499" t="s">
        <v>178</v>
      </c>
      <c r="AZ129" s="499" t="s">
        <v>12</v>
      </c>
      <c r="BA129" s="499" t="s">
        <v>12</v>
      </c>
      <c r="BB129" s="499" t="s">
        <v>12</v>
      </c>
      <c r="BC129" s="499" t="s">
        <v>12</v>
      </c>
      <c r="BD129" s="499" t="s">
        <v>12</v>
      </c>
      <c r="BE129" s="499" t="s">
        <v>12</v>
      </c>
      <c r="BF129" s="499" t="s">
        <v>12</v>
      </c>
      <c r="BG129" s="499" t="s">
        <v>12</v>
      </c>
      <c r="BH129" s="499" t="s">
        <v>12</v>
      </c>
      <c r="BI129" s="499" t="s">
        <v>12</v>
      </c>
      <c r="BJ129" s="499" t="s">
        <v>12</v>
      </c>
      <c r="BK129" s="499" t="s">
        <v>12</v>
      </c>
      <c r="BL129" s="499" t="s">
        <v>32</v>
      </c>
      <c r="BM129" s="499" t="s">
        <v>32</v>
      </c>
      <c r="BN129" s="499" t="s">
        <v>32</v>
      </c>
      <c r="BO129" s="499" t="s">
        <v>32</v>
      </c>
      <c r="BP129" s="499" t="s">
        <v>32</v>
      </c>
      <c r="BQ129" s="499" t="s">
        <v>32</v>
      </c>
      <c r="BR129" s="499" t="s">
        <v>32</v>
      </c>
      <c r="BS129" s="499" t="s">
        <v>32</v>
      </c>
      <c r="BT129" s="499" t="s">
        <v>32</v>
      </c>
      <c r="BU129" s="499" t="s">
        <v>32</v>
      </c>
      <c r="BV129" s="499" t="s">
        <v>32</v>
      </c>
      <c r="BW129" s="499" t="s">
        <v>32</v>
      </c>
      <c r="BX129" s="499" t="s">
        <v>185</v>
      </c>
      <c r="BY129" s="499" t="s">
        <v>185</v>
      </c>
      <c r="BZ129" s="499" t="s">
        <v>185</v>
      </c>
      <c r="CA129" s="499" t="s">
        <v>185</v>
      </c>
      <c r="CB129" s="499" t="s">
        <v>185</v>
      </c>
      <c r="CC129" s="499" t="s">
        <v>185</v>
      </c>
      <c r="CD129" s="499" t="s">
        <v>185</v>
      </c>
      <c r="CE129" s="499" t="s">
        <v>185</v>
      </c>
      <c r="CF129" s="499" t="s">
        <v>185</v>
      </c>
      <c r="CG129" s="499" t="s">
        <v>185</v>
      </c>
      <c r="CH129" s="499" t="s">
        <v>185</v>
      </c>
      <c r="CI129" s="499" t="s">
        <v>185</v>
      </c>
    </row>
    <row r="130" spans="1:87">
      <c r="B130" s="6" t="s">
        <v>186</v>
      </c>
      <c r="C130" s="6" t="s">
        <v>75</v>
      </c>
      <c r="D130" s="6" t="s">
        <v>34</v>
      </c>
      <c r="E130" s="6" t="s">
        <v>35</v>
      </c>
      <c r="F130" s="6" t="s">
        <v>36</v>
      </c>
      <c r="G130" s="6" t="s">
        <v>37</v>
      </c>
      <c r="H130" s="6" t="s">
        <v>38</v>
      </c>
      <c r="I130" s="6" t="s">
        <v>39</v>
      </c>
      <c r="J130" s="6" t="s">
        <v>40</v>
      </c>
      <c r="K130" s="6" t="s">
        <v>41</v>
      </c>
      <c r="L130" s="6" t="s">
        <v>42</v>
      </c>
      <c r="M130" s="6" t="s">
        <v>43</v>
      </c>
      <c r="N130" s="6" t="s">
        <v>44</v>
      </c>
      <c r="O130" s="6" t="s">
        <v>45</v>
      </c>
      <c r="P130" s="6" t="s">
        <v>34</v>
      </c>
      <c r="Q130" s="6" t="s">
        <v>35</v>
      </c>
      <c r="R130" s="6" t="s">
        <v>36</v>
      </c>
      <c r="S130" s="6" t="s">
        <v>37</v>
      </c>
      <c r="T130" s="6" t="s">
        <v>38</v>
      </c>
      <c r="U130" s="6" t="s">
        <v>39</v>
      </c>
      <c r="V130" s="6" t="s">
        <v>40</v>
      </c>
      <c r="W130" s="6" t="s">
        <v>41</v>
      </c>
      <c r="X130" s="6" t="s">
        <v>42</v>
      </c>
      <c r="Y130" s="6" t="s">
        <v>43</v>
      </c>
      <c r="Z130" s="6" t="s">
        <v>44</v>
      </c>
      <c r="AA130" s="6" t="s">
        <v>45</v>
      </c>
      <c r="AB130" s="6" t="s">
        <v>34</v>
      </c>
      <c r="AC130" s="6" t="s">
        <v>35</v>
      </c>
      <c r="AD130" s="6" t="s">
        <v>36</v>
      </c>
      <c r="AE130" s="6" t="s">
        <v>37</v>
      </c>
      <c r="AF130" s="6" t="s">
        <v>38</v>
      </c>
      <c r="AG130" s="6" t="s">
        <v>39</v>
      </c>
      <c r="AH130" s="6" t="s">
        <v>40</v>
      </c>
      <c r="AI130" s="6" t="s">
        <v>41</v>
      </c>
      <c r="AJ130" s="6" t="s">
        <v>42</v>
      </c>
      <c r="AK130" s="6" t="s">
        <v>43</v>
      </c>
      <c r="AL130" s="6" t="s">
        <v>44</v>
      </c>
      <c r="AM130" s="6" t="s">
        <v>45</v>
      </c>
      <c r="AN130" s="6" t="s">
        <v>34</v>
      </c>
      <c r="AO130" s="6" t="s">
        <v>35</v>
      </c>
      <c r="AP130" s="6" t="s">
        <v>36</v>
      </c>
      <c r="AQ130" s="6" t="s">
        <v>37</v>
      </c>
      <c r="AR130" s="6" t="s">
        <v>38</v>
      </c>
      <c r="AS130" s="6" t="s">
        <v>39</v>
      </c>
      <c r="AT130" s="6" t="s">
        <v>40</v>
      </c>
      <c r="AU130" s="6" t="s">
        <v>41</v>
      </c>
      <c r="AV130" s="6" t="s">
        <v>42</v>
      </c>
      <c r="AW130" s="6" t="s">
        <v>43</v>
      </c>
      <c r="AX130" s="6" t="s">
        <v>44</v>
      </c>
      <c r="AY130" s="6" t="s">
        <v>45</v>
      </c>
      <c r="AZ130" s="6" t="s">
        <v>34</v>
      </c>
      <c r="BA130" s="6" t="s">
        <v>35</v>
      </c>
      <c r="BB130" s="6" t="s">
        <v>36</v>
      </c>
      <c r="BC130" s="6" t="s">
        <v>37</v>
      </c>
      <c r="BD130" s="6" t="s">
        <v>38</v>
      </c>
      <c r="BE130" s="6" t="s">
        <v>39</v>
      </c>
      <c r="BF130" s="6" t="s">
        <v>40</v>
      </c>
      <c r="BG130" s="6" t="s">
        <v>41</v>
      </c>
      <c r="BH130" s="6" t="s">
        <v>42</v>
      </c>
      <c r="BI130" s="6" t="s">
        <v>43</v>
      </c>
      <c r="BJ130" s="6" t="s">
        <v>44</v>
      </c>
      <c r="BK130" s="6" t="s">
        <v>45</v>
      </c>
      <c r="BL130" s="6" t="s">
        <v>34</v>
      </c>
      <c r="BM130" s="6" t="s">
        <v>35</v>
      </c>
      <c r="BN130" s="6" t="s">
        <v>36</v>
      </c>
      <c r="BO130" s="6" t="s">
        <v>37</v>
      </c>
      <c r="BP130" s="6" t="s">
        <v>38</v>
      </c>
      <c r="BQ130" s="6" t="s">
        <v>39</v>
      </c>
      <c r="BR130" s="6" t="s">
        <v>40</v>
      </c>
      <c r="BS130" s="6" t="s">
        <v>41</v>
      </c>
      <c r="BT130" s="6" t="s">
        <v>42</v>
      </c>
      <c r="BU130" s="6" t="s">
        <v>43</v>
      </c>
      <c r="BV130" s="6" t="s">
        <v>44</v>
      </c>
      <c r="BW130" s="6" t="s">
        <v>45</v>
      </c>
      <c r="BX130" s="6" t="s">
        <v>34</v>
      </c>
      <c r="BY130" s="6" t="s">
        <v>35</v>
      </c>
      <c r="BZ130" s="6" t="s">
        <v>36</v>
      </c>
      <c r="CA130" s="6" t="s">
        <v>37</v>
      </c>
      <c r="CB130" s="6" t="s">
        <v>38</v>
      </c>
      <c r="CC130" s="6" t="s">
        <v>39</v>
      </c>
      <c r="CD130" s="6" t="s">
        <v>40</v>
      </c>
      <c r="CE130" s="6" t="s">
        <v>41</v>
      </c>
      <c r="CF130" s="6" t="s">
        <v>42</v>
      </c>
      <c r="CG130" s="6" t="s">
        <v>43</v>
      </c>
      <c r="CH130" s="6" t="s">
        <v>44</v>
      </c>
      <c r="CI130" s="6" t="s">
        <v>45</v>
      </c>
    </row>
    <row r="131" spans="1:87">
      <c r="B131" s="499" t="s">
        <v>187</v>
      </c>
      <c r="C131" s="499" t="s">
        <v>188</v>
      </c>
      <c r="D131" s="7">
        <v>1</v>
      </c>
      <c r="E131" s="7">
        <v>1</v>
      </c>
      <c r="F131" s="7">
        <v>1</v>
      </c>
      <c r="G131" s="7">
        <v>1</v>
      </c>
      <c r="H131" s="7">
        <v>1</v>
      </c>
      <c r="I131" s="7">
        <v>1</v>
      </c>
      <c r="J131" s="7">
        <v>1</v>
      </c>
      <c r="K131" s="7">
        <v>1</v>
      </c>
      <c r="L131" s="7">
        <v>1</v>
      </c>
      <c r="M131" s="7">
        <v>1</v>
      </c>
      <c r="N131" s="7">
        <v>1</v>
      </c>
      <c r="O131" s="7">
        <v>1</v>
      </c>
      <c r="P131" s="7">
        <v>0</v>
      </c>
      <c r="Q131" s="7">
        <v>0</v>
      </c>
      <c r="R131" s="7">
        <v>0</v>
      </c>
      <c r="S131" s="7">
        <v>0</v>
      </c>
      <c r="T131" s="7">
        <v>0</v>
      </c>
      <c r="U131" s="7">
        <v>0</v>
      </c>
      <c r="V131" s="7">
        <v>0</v>
      </c>
      <c r="W131" s="7">
        <v>0</v>
      </c>
      <c r="X131" s="7">
        <v>0</v>
      </c>
      <c r="Y131" s="7">
        <v>0</v>
      </c>
      <c r="Z131" s="7">
        <v>0</v>
      </c>
      <c r="AA131" s="7">
        <v>0</v>
      </c>
      <c r="AB131" s="7">
        <v>0</v>
      </c>
      <c r="AC131" s="7">
        <v>0</v>
      </c>
      <c r="AD131" s="7">
        <v>0</v>
      </c>
      <c r="AE131" s="7">
        <v>0</v>
      </c>
      <c r="AF131" s="7">
        <v>0</v>
      </c>
      <c r="AG131" s="7">
        <v>0</v>
      </c>
      <c r="AH131" s="7">
        <v>0</v>
      </c>
      <c r="AI131" s="7">
        <v>0</v>
      </c>
      <c r="AJ131" s="7">
        <v>0</v>
      </c>
      <c r="AK131" s="7">
        <v>0</v>
      </c>
      <c r="AL131" s="7">
        <v>0</v>
      </c>
      <c r="AM131" s="7">
        <v>0</v>
      </c>
      <c r="AN131" s="7">
        <v>0</v>
      </c>
      <c r="AO131" s="7">
        <v>0</v>
      </c>
      <c r="AP131" s="7">
        <v>0</v>
      </c>
      <c r="AQ131" s="7">
        <v>0</v>
      </c>
      <c r="AR131" s="7">
        <v>0</v>
      </c>
      <c r="AS131" s="7">
        <v>0</v>
      </c>
      <c r="AT131" s="7">
        <v>0</v>
      </c>
      <c r="AU131" s="7">
        <v>0</v>
      </c>
      <c r="AV131" s="7">
        <v>0</v>
      </c>
      <c r="AW131" s="7">
        <v>0</v>
      </c>
      <c r="AX131" s="7">
        <v>0</v>
      </c>
      <c r="AY131" s="7">
        <v>0</v>
      </c>
      <c r="AZ131" s="7">
        <v>0</v>
      </c>
      <c r="BA131" s="7">
        <v>0</v>
      </c>
      <c r="BB131" s="7">
        <v>0</v>
      </c>
      <c r="BC131" s="7">
        <v>0</v>
      </c>
      <c r="BD131" s="7">
        <v>0</v>
      </c>
      <c r="BE131" s="7">
        <v>0</v>
      </c>
      <c r="BF131" s="7">
        <v>0</v>
      </c>
      <c r="BG131" s="7">
        <v>0</v>
      </c>
      <c r="BH131" s="7">
        <v>0</v>
      </c>
      <c r="BI131" s="7">
        <v>0</v>
      </c>
      <c r="BJ131" s="7">
        <v>0</v>
      </c>
      <c r="BK131" s="7">
        <v>0</v>
      </c>
      <c r="BL131" s="7">
        <v>0</v>
      </c>
      <c r="BM131" s="7">
        <v>0</v>
      </c>
      <c r="BN131" s="7">
        <v>0</v>
      </c>
      <c r="BO131" s="7">
        <v>0</v>
      </c>
      <c r="BP131" s="7">
        <v>0</v>
      </c>
      <c r="BQ131" s="7">
        <v>0</v>
      </c>
      <c r="BR131" s="7">
        <v>0</v>
      </c>
      <c r="BS131" s="7">
        <v>0</v>
      </c>
      <c r="BT131" s="7">
        <v>0</v>
      </c>
      <c r="BU131" s="7">
        <v>0</v>
      </c>
      <c r="BV131" s="7">
        <v>0</v>
      </c>
      <c r="BW131" s="7">
        <v>0</v>
      </c>
      <c r="BX131" s="7">
        <v>0</v>
      </c>
      <c r="BY131" s="7">
        <v>0</v>
      </c>
      <c r="BZ131" s="7">
        <v>0</v>
      </c>
      <c r="CA131" s="7">
        <v>0</v>
      </c>
      <c r="CB131" s="7">
        <v>0</v>
      </c>
      <c r="CC131" s="7">
        <v>0</v>
      </c>
      <c r="CD131" s="7">
        <v>0</v>
      </c>
      <c r="CE131" s="7">
        <v>0</v>
      </c>
      <c r="CF131" s="7">
        <v>0</v>
      </c>
      <c r="CG131" s="7">
        <v>0</v>
      </c>
      <c r="CH131" s="7">
        <v>0</v>
      </c>
      <c r="CI131" s="7">
        <v>0</v>
      </c>
    </row>
    <row r="132" spans="1:87">
      <c r="B132" s="499" t="s">
        <v>82</v>
      </c>
      <c r="C132" s="499" t="s">
        <v>67</v>
      </c>
      <c r="D132" s="7">
        <v>1</v>
      </c>
      <c r="E132" s="7">
        <v>1</v>
      </c>
      <c r="F132" s="7">
        <v>1</v>
      </c>
      <c r="G132" s="7">
        <v>1</v>
      </c>
      <c r="H132" s="7">
        <v>1</v>
      </c>
      <c r="I132" s="7">
        <v>1</v>
      </c>
      <c r="J132" s="7">
        <v>1</v>
      </c>
      <c r="K132" s="7">
        <v>1</v>
      </c>
      <c r="L132" s="7">
        <v>1</v>
      </c>
      <c r="M132" s="7">
        <v>1</v>
      </c>
      <c r="N132" s="7">
        <v>1</v>
      </c>
      <c r="O132" s="7">
        <v>1</v>
      </c>
      <c r="P132" s="7">
        <v>0</v>
      </c>
      <c r="Q132" s="7">
        <v>0</v>
      </c>
      <c r="R132" s="7">
        <v>0</v>
      </c>
      <c r="S132" s="7">
        <v>0</v>
      </c>
      <c r="T132" s="7">
        <v>0</v>
      </c>
      <c r="U132" s="7">
        <v>0</v>
      </c>
      <c r="V132" s="7">
        <v>0</v>
      </c>
      <c r="W132" s="7">
        <v>0</v>
      </c>
      <c r="X132" s="7">
        <v>0</v>
      </c>
      <c r="Y132" s="7">
        <v>0</v>
      </c>
      <c r="Z132" s="7">
        <v>0</v>
      </c>
      <c r="AA132" s="7">
        <v>0</v>
      </c>
      <c r="AB132" s="7">
        <v>0</v>
      </c>
      <c r="AC132" s="7">
        <v>0</v>
      </c>
      <c r="AD132" s="7">
        <v>0</v>
      </c>
      <c r="AE132" s="7">
        <v>0</v>
      </c>
      <c r="AF132" s="7">
        <v>0</v>
      </c>
      <c r="AG132" s="7">
        <v>0</v>
      </c>
      <c r="AH132" s="7">
        <v>0</v>
      </c>
      <c r="AI132" s="7">
        <v>0</v>
      </c>
      <c r="AJ132" s="7">
        <v>0</v>
      </c>
      <c r="AK132" s="7">
        <v>0</v>
      </c>
      <c r="AL132" s="7">
        <v>0</v>
      </c>
      <c r="AM132" s="7">
        <v>0</v>
      </c>
      <c r="AN132" s="7">
        <v>0</v>
      </c>
      <c r="AO132" s="7">
        <v>0</v>
      </c>
      <c r="AP132" s="7">
        <v>0</v>
      </c>
      <c r="AQ132" s="7">
        <v>0</v>
      </c>
      <c r="AR132" s="7">
        <v>0</v>
      </c>
      <c r="AS132" s="7">
        <v>0</v>
      </c>
      <c r="AT132" s="7">
        <v>0</v>
      </c>
      <c r="AU132" s="7">
        <v>0</v>
      </c>
      <c r="AV132" s="7">
        <v>0</v>
      </c>
      <c r="AW132" s="7">
        <v>0</v>
      </c>
      <c r="AX132" s="7">
        <v>0</v>
      </c>
      <c r="AY132" s="7">
        <v>0</v>
      </c>
      <c r="AZ132" s="7">
        <v>0</v>
      </c>
      <c r="BA132" s="7">
        <v>0</v>
      </c>
      <c r="BB132" s="7">
        <v>0</v>
      </c>
      <c r="BC132" s="7">
        <v>0</v>
      </c>
      <c r="BD132" s="7">
        <v>0</v>
      </c>
      <c r="BE132" s="7">
        <v>0</v>
      </c>
      <c r="BF132" s="7">
        <v>0</v>
      </c>
      <c r="BG132" s="7">
        <v>0</v>
      </c>
      <c r="BH132" s="7">
        <v>0</v>
      </c>
      <c r="BI132" s="7">
        <v>0</v>
      </c>
      <c r="BJ132" s="7">
        <v>0</v>
      </c>
      <c r="BK132" s="7">
        <v>0</v>
      </c>
      <c r="BL132" s="7">
        <v>0</v>
      </c>
      <c r="BM132" s="7">
        <v>0</v>
      </c>
      <c r="BN132" s="7">
        <v>0</v>
      </c>
      <c r="BO132" s="7">
        <v>0</v>
      </c>
      <c r="BP132" s="7">
        <v>0</v>
      </c>
      <c r="BQ132" s="7">
        <v>0</v>
      </c>
      <c r="BR132" s="7">
        <v>0</v>
      </c>
      <c r="BS132" s="7">
        <v>0</v>
      </c>
      <c r="BT132" s="7">
        <v>0</v>
      </c>
      <c r="BU132" s="7">
        <v>0</v>
      </c>
      <c r="BV132" s="7">
        <v>0</v>
      </c>
      <c r="BW132" s="7">
        <v>0</v>
      </c>
      <c r="BX132" s="7">
        <v>0</v>
      </c>
      <c r="BY132" s="7">
        <v>0</v>
      </c>
      <c r="BZ132" s="7">
        <v>0</v>
      </c>
      <c r="CA132" s="7">
        <v>0</v>
      </c>
      <c r="CB132" s="7">
        <v>0</v>
      </c>
      <c r="CC132" s="7">
        <v>0</v>
      </c>
      <c r="CD132" s="7">
        <v>0</v>
      </c>
      <c r="CE132" s="7">
        <v>0</v>
      </c>
      <c r="CF132" s="7">
        <v>0</v>
      </c>
      <c r="CG132" s="7">
        <v>0</v>
      </c>
      <c r="CH132" s="7">
        <v>0</v>
      </c>
      <c r="CI132" s="7">
        <v>0</v>
      </c>
    </row>
    <row r="133" spans="1:87">
      <c r="B133" s="499" t="s">
        <v>84</v>
      </c>
      <c r="C133" s="499" t="s">
        <v>63</v>
      </c>
      <c r="D133" s="7">
        <v>1</v>
      </c>
      <c r="E133" s="7">
        <v>1</v>
      </c>
      <c r="F133" s="7">
        <v>1</v>
      </c>
      <c r="G133" s="7">
        <v>1</v>
      </c>
      <c r="H133" s="7">
        <v>1</v>
      </c>
      <c r="I133" s="7">
        <v>1</v>
      </c>
      <c r="J133" s="7">
        <v>1</v>
      </c>
      <c r="K133" s="7">
        <v>1</v>
      </c>
      <c r="L133" s="7">
        <v>1</v>
      </c>
      <c r="M133" s="7">
        <v>1</v>
      </c>
      <c r="N133" s="7">
        <v>1</v>
      </c>
      <c r="O133" s="7">
        <v>1</v>
      </c>
      <c r="P133" s="7">
        <v>0</v>
      </c>
      <c r="Q133" s="7">
        <v>0</v>
      </c>
      <c r="R133" s="7">
        <v>0</v>
      </c>
      <c r="S133" s="7">
        <v>0</v>
      </c>
      <c r="T133" s="7">
        <v>0</v>
      </c>
      <c r="U133" s="7">
        <v>0</v>
      </c>
      <c r="V133" s="7">
        <v>0</v>
      </c>
      <c r="W133" s="7">
        <v>0</v>
      </c>
      <c r="X133" s="7">
        <v>0</v>
      </c>
      <c r="Y133" s="7">
        <v>0</v>
      </c>
      <c r="Z133" s="7">
        <v>0</v>
      </c>
      <c r="AA133" s="7">
        <v>0</v>
      </c>
      <c r="AB133" s="7">
        <v>0</v>
      </c>
      <c r="AC133" s="7">
        <v>0</v>
      </c>
      <c r="AD133" s="7">
        <v>0</v>
      </c>
      <c r="AE133" s="7">
        <v>0</v>
      </c>
      <c r="AF133" s="7">
        <v>0</v>
      </c>
      <c r="AG133" s="7">
        <v>0</v>
      </c>
      <c r="AH133" s="7">
        <v>0</v>
      </c>
      <c r="AI133" s="7">
        <v>0</v>
      </c>
      <c r="AJ133" s="7">
        <v>0</v>
      </c>
      <c r="AK133" s="7">
        <v>0</v>
      </c>
      <c r="AL133" s="7">
        <v>0</v>
      </c>
      <c r="AM133" s="7">
        <v>0</v>
      </c>
      <c r="AN133" s="7">
        <v>0</v>
      </c>
      <c r="AO133" s="7">
        <v>0</v>
      </c>
      <c r="AP133" s="7">
        <v>0</v>
      </c>
      <c r="AQ133" s="7">
        <v>0</v>
      </c>
      <c r="AR133" s="7">
        <v>0</v>
      </c>
      <c r="AS133" s="7">
        <v>0</v>
      </c>
      <c r="AT133" s="7">
        <v>0</v>
      </c>
      <c r="AU133" s="7">
        <v>0</v>
      </c>
      <c r="AV133" s="7">
        <v>0</v>
      </c>
      <c r="AW133" s="7">
        <v>0</v>
      </c>
      <c r="AX133" s="7">
        <v>0</v>
      </c>
      <c r="AY133" s="7">
        <v>0</v>
      </c>
      <c r="AZ133" s="7">
        <v>0</v>
      </c>
      <c r="BA133" s="7">
        <v>0</v>
      </c>
      <c r="BB133" s="7">
        <v>0</v>
      </c>
      <c r="BC133" s="7">
        <v>0</v>
      </c>
      <c r="BD133" s="7">
        <v>0</v>
      </c>
      <c r="BE133" s="7">
        <v>0</v>
      </c>
      <c r="BF133" s="7">
        <v>0</v>
      </c>
      <c r="BG133" s="7">
        <v>0</v>
      </c>
      <c r="BH133" s="7">
        <v>0</v>
      </c>
      <c r="BI133" s="7">
        <v>0</v>
      </c>
      <c r="BJ133" s="7">
        <v>0</v>
      </c>
      <c r="BK133" s="7">
        <v>0</v>
      </c>
      <c r="BL133" s="7">
        <v>0</v>
      </c>
      <c r="BM133" s="7">
        <v>0</v>
      </c>
      <c r="BN133" s="7">
        <v>0</v>
      </c>
      <c r="BO133" s="7">
        <v>0</v>
      </c>
      <c r="BP133" s="7">
        <v>0</v>
      </c>
      <c r="BQ133" s="7">
        <v>0</v>
      </c>
      <c r="BR133" s="7">
        <v>0</v>
      </c>
      <c r="BS133" s="7">
        <v>0</v>
      </c>
      <c r="BT133" s="7">
        <v>0</v>
      </c>
      <c r="BU133" s="7">
        <v>0</v>
      </c>
      <c r="BV133" s="7">
        <v>0</v>
      </c>
      <c r="BW133" s="7">
        <v>0</v>
      </c>
      <c r="BX133" s="7">
        <v>0</v>
      </c>
      <c r="BY133" s="7">
        <v>0</v>
      </c>
      <c r="BZ133" s="7">
        <v>0</v>
      </c>
      <c r="CA133" s="7">
        <v>0</v>
      </c>
      <c r="CB133" s="7">
        <v>0</v>
      </c>
      <c r="CC133" s="7">
        <v>0</v>
      </c>
      <c r="CD133" s="7">
        <v>0</v>
      </c>
      <c r="CE133" s="7">
        <v>0</v>
      </c>
      <c r="CF133" s="7">
        <v>0</v>
      </c>
      <c r="CG133" s="7">
        <v>0</v>
      </c>
      <c r="CH133" s="7">
        <v>0</v>
      </c>
      <c r="CI133" s="7">
        <v>0</v>
      </c>
    </row>
    <row r="134" spans="1:87">
      <c r="B134" s="499" t="s">
        <v>86</v>
      </c>
      <c r="C134" s="499" t="s">
        <v>64</v>
      </c>
      <c r="D134" s="7">
        <v>1</v>
      </c>
      <c r="E134" s="7">
        <v>1</v>
      </c>
      <c r="F134" s="7">
        <v>1</v>
      </c>
      <c r="G134" s="7">
        <v>1</v>
      </c>
      <c r="H134" s="7">
        <v>1</v>
      </c>
      <c r="I134" s="7">
        <v>1</v>
      </c>
      <c r="J134" s="7">
        <v>1</v>
      </c>
      <c r="K134" s="7">
        <v>1</v>
      </c>
      <c r="L134" s="7">
        <v>1</v>
      </c>
      <c r="M134" s="7">
        <v>1</v>
      </c>
      <c r="N134" s="7">
        <v>1</v>
      </c>
      <c r="O134" s="7">
        <v>1</v>
      </c>
      <c r="P134" s="7">
        <v>0</v>
      </c>
      <c r="Q134" s="7">
        <v>0</v>
      </c>
      <c r="R134" s="7">
        <v>0</v>
      </c>
      <c r="S134" s="7">
        <v>0</v>
      </c>
      <c r="T134" s="7">
        <v>0</v>
      </c>
      <c r="U134" s="7">
        <v>0</v>
      </c>
      <c r="V134" s="7">
        <v>0</v>
      </c>
      <c r="W134" s="7">
        <v>0</v>
      </c>
      <c r="X134" s="7">
        <v>0</v>
      </c>
      <c r="Y134" s="7">
        <v>0</v>
      </c>
      <c r="Z134" s="7">
        <v>0</v>
      </c>
      <c r="AA134" s="7">
        <v>0</v>
      </c>
      <c r="AB134" s="7">
        <v>0</v>
      </c>
      <c r="AC134" s="7">
        <v>0</v>
      </c>
      <c r="AD134" s="7">
        <v>0</v>
      </c>
      <c r="AE134" s="7">
        <v>0</v>
      </c>
      <c r="AF134" s="7">
        <v>0</v>
      </c>
      <c r="AG134" s="7">
        <v>0</v>
      </c>
      <c r="AH134" s="7">
        <v>0</v>
      </c>
      <c r="AI134" s="7">
        <v>0</v>
      </c>
      <c r="AJ134" s="7">
        <v>0</v>
      </c>
      <c r="AK134" s="7">
        <v>0</v>
      </c>
      <c r="AL134" s="7">
        <v>0</v>
      </c>
      <c r="AM134" s="7">
        <v>0</v>
      </c>
      <c r="AN134" s="7">
        <v>0</v>
      </c>
      <c r="AO134" s="7">
        <v>0</v>
      </c>
      <c r="AP134" s="7">
        <v>0</v>
      </c>
      <c r="AQ134" s="7">
        <v>0</v>
      </c>
      <c r="AR134" s="7">
        <v>0</v>
      </c>
      <c r="AS134" s="7">
        <v>0</v>
      </c>
      <c r="AT134" s="7">
        <v>0</v>
      </c>
      <c r="AU134" s="7">
        <v>0</v>
      </c>
      <c r="AV134" s="7">
        <v>0</v>
      </c>
      <c r="AW134" s="7">
        <v>0</v>
      </c>
      <c r="AX134" s="7">
        <v>0</v>
      </c>
      <c r="AY134" s="7">
        <v>0</v>
      </c>
      <c r="AZ134" s="7">
        <v>0</v>
      </c>
      <c r="BA134" s="7">
        <v>0</v>
      </c>
      <c r="BB134" s="7">
        <v>0</v>
      </c>
      <c r="BC134" s="7">
        <v>0</v>
      </c>
      <c r="BD134" s="7">
        <v>0</v>
      </c>
      <c r="BE134" s="7">
        <v>0</v>
      </c>
      <c r="BF134" s="7">
        <v>0</v>
      </c>
      <c r="BG134" s="7">
        <v>0</v>
      </c>
      <c r="BH134" s="7">
        <v>0</v>
      </c>
      <c r="BI134" s="7">
        <v>0</v>
      </c>
      <c r="BJ134" s="7">
        <v>0</v>
      </c>
      <c r="BK134" s="7">
        <v>0</v>
      </c>
      <c r="BL134" s="7">
        <v>0</v>
      </c>
      <c r="BM134" s="7">
        <v>0</v>
      </c>
      <c r="BN134" s="7">
        <v>0</v>
      </c>
      <c r="BO134" s="7">
        <v>0</v>
      </c>
      <c r="BP134" s="7">
        <v>0</v>
      </c>
      <c r="BQ134" s="7">
        <v>0</v>
      </c>
      <c r="BR134" s="7">
        <v>0</v>
      </c>
      <c r="BS134" s="7">
        <v>0</v>
      </c>
      <c r="BT134" s="7">
        <v>0</v>
      </c>
      <c r="BU134" s="7">
        <v>0</v>
      </c>
      <c r="BV134" s="7">
        <v>0</v>
      </c>
      <c r="BW134" s="7">
        <v>0</v>
      </c>
      <c r="BX134" s="7">
        <v>0</v>
      </c>
      <c r="BY134" s="7">
        <v>0</v>
      </c>
      <c r="BZ134" s="7">
        <v>0</v>
      </c>
      <c r="CA134" s="7">
        <v>0</v>
      </c>
      <c r="CB134" s="7">
        <v>0</v>
      </c>
      <c r="CC134" s="7">
        <v>0</v>
      </c>
      <c r="CD134" s="7">
        <v>0</v>
      </c>
      <c r="CE134" s="7">
        <v>0</v>
      </c>
      <c r="CF134" s="7">
        <v>0</v>
      </c>
      <c r="CG134" s="7">
        <v>0</v>
      </c>
      <c r="CH134" s="7">
        <v>0</v>
      </c>
      <c r="CI134" s="7">
        <v>0</v>
      </c>
    </row>
    <row r="135" spans="1:87">
      <c r="B135" s="499" t="s">
        <v>88</v>
      </c>
      <c r="C135" s="499" t="s">
        <v>65</v>
      </c>
      <c r="D135" s="7">
        <v>1</v>
      </c>
      <c r="E135" s="7">
        <v>1</v>
      </c>
      <c r="F135" s="7">
        <v>1</v>
      </c>
      <c r="G135" s="7">
        <v>1</v>
      </c>
      <c r="H135" s="7">
        <v>1</v>
      </c>
      <c r="I135" s="7">
        <v>1</v>
      </c>
      <c r="J135" s="7">
        <v>1</v>
      </c>
      <c r="K135" s="7">
        <v>1</v>
      </c>
      <c r="L135" s="7">
        <v>1</v>
      </c>
      <c r="M135" s="7">
        <v>1</v>
      </c>
      <c r="N135" s="7">
        <v>1</v>
      </c>
      <c r="O135" s="7">
        <v>1</v>
      </c>
      <c r="P135" s="7">
        <v>0</v>
      </c>
      <c r="Q135" s="7">
        <v>0</v>
      </c>
      <c r="R135" s="7">
        <v>0</v>
      </c>
      <c r="S135" s="7">
        <v>0</v>
      </c>
      <c r="T135" s="7">
        <v>0</v>
      </c>
      <c r="U135" s="7">
        <v>0</v>
      </c>
      <c r="V135" s="7">
        <v>0</v>
      </c>
      <c r="W135" s="7">
        <v>0</v>
      </c>
      <c r="X135" s="7">
        <v>0</v>
      </c>
      <c r="Y135" s="7">
        <v>0</v>
      </c>
      <c r="Z135" s="7">
        <v>0</v>
      </c>
      <c r="AA135" s="7">
        <v>0</v>
      </c>
      <c r="AB135" s="7">
        <v>0</v>
      </c>
      <c r="AC135" s="7">
        <v>0</v>
      </c>
      <c r="AD135" s="7">
        <v>0</v>
      </c>
      <c r="AE135" s="7">
        <v>0</v>
      </c>
      <c r="AF135" s="7">
        <v>0</v>
      </c>
      <c r="AG135" s="7">
        <v>0</v>
      </c>
      <c r="AH135" s="7">
        <v>0</v>
      </c>
      <c r="AI135" s="7">
        <v>0</v>
      </c>
      <c r="AJ135" s="7">
        <v>0</v>
      </c>
      <c r="AK135" s="7">
        <v>0</v>
      </c>
      <c r="AL135" s="7">
        <v>0</v>
      </c>
      <c r="AM135" s="7">
        <v>0</v>
      </c>
      <c r="AN135" s="7">
        <v>0</v>
      </c>
      <c r="AO135" s="7">
        <v>0</v>
      </c>
      <c r="AP135" s="7">
        <v>0</v>
      </c>
      <c r="AQ135" s="7">
        <v>0</v>
      </c>
      <c r="AR135" s="7">
        <v>0</v>
      </c>
      <c r="AS135" s="7">
        <v>0</v>
      </c>
      <c r="AT135" s="7">
        <v>0</v>
      </c>
      <c r="AU135" s="7">
        <v>0</v>
      </c>
      <c r="AV135" s="7">
        <v>0</v>
      </c>
      <c r="AW135" s="7">
        <v>0</v>
      </c>
      <c r="AX135" s="7">
        <v>0</v>
      </c>
      <c r="AY135" s="7">
        <v>0</v>
      </c>
      <c r="AZ135" s="7">
        <v>0</v>
      </c>
      <c r="BA135" s="7">
        <v>0</v>
      </c>
      <c r="BB135" s="7">
        <v>0</v>
      </c>
      <c r="BC135" s="7">
        <v>0</v>
      </c>
      <c r="BD135" s="7">
        <v>0</v>
      </c>
      <c r="BE135" s="7">
        <v>0</v>
      </c>
      <c r="BF135" s="7">
        <v>0</v>
      </c>
      <c r="BG135" s="7">
        <v>0</v>
      </c>
      <c r="BH135" s="7">
        <v>0</v>
      </c>
      <c r="BI135" s="7">
        <v>0</v>
      </c>
      <c r="BJ135" s="7">
        <v>0</v>
      </c>
      <c r="BK135" s="7">
        <v>0</v>
      </c>
      <c r="BL135" s="7">
        <v>0</v>
      </c>
      <c r="BM135" s="7">
        <v>0</v>
      </c>
      <c r="BN135" s="7">
        <v>0</v>
      </c>
      <c r="BO135" s="7">
        <v>0</v>
      </c>
      <c r="BP135" s="7">
        <v>0</v>
      </c>
      <c r="BQ135" s="7">
        <v>0</v>
      </c>
      <c r="BR135" s="7">
        <v>0</v>
      </c>
      <c r="BS135" s="7">
        <v>0</v>
      </c>
      <c r="BT135" s="7">
        <v>0</v>
      </c>
      <c r="BU135" s="7">
        <v>0</v>
      </c>
      <c r="BV135" s="7">
        <v>0</v>
      </c>
      <c r="BW135" s="7">
        <v>0</v>
      </c>
      <c r="BX135" s="7">
        <v>0</v>
      </c>
      <c r="BY135" s="7">
        <v>0</v>
      </c>
      <c r="BZ135" s="7">
        <v>0</v>
      </c>
      <c r="CA135" s="7">
        <v>0</v>
      </c>
      <c r="CB135" s="7">
        <v>0</v>
      </c>
      <c r="CC135" s="7">
        <v>0</v>
      </c>
      <c r="CD135" s="7">
        <v>0</v>
      </c>
      <c r="CE135" s="7">
        <v>0</v>
      </c>
      <c r="CF135" s="7">
        <v>0</v>
      </c>
      <c r="CG135" s="7">
        <v>0</v>
      </c>
      <c r="CH135" s="7">
        <v>0</v>
      </c>
      <c r="CI135" s="7">
        <v>0</v>
      </c>
    </row>
    <row r="138" spans="1:87">
      <c r="A138" s="1" t="s">
        <v>189</v>
      </c>
    </row>
    <row r="139" spans="1:87">
      <c r="B139" s="6"/>
      <c r="C139" s="6" t="s">
        <v>190</v>
      </c>
      <c r="D139" s="6" t="s">
        <v>176</v>
      </c>
      <c r="E139" s="6" t="s">
        <v>177</v>
      </c>
      <c r="F139" s="6" t="s">
        <v>178</v>
      </c>
      <c r="G139" s="6" t="s">
        <v>12</v>
      </c>
      <c r="H139" s="6" t="s">
        <v>191</v>
      </c>
      <c r="I139" s="6" t="s">
        <v>192</v>
      </c>
      <c r="K139" s="6" t="s">
        <v>12</v>
      </c>
    </row>
    <row r="140" spans="1:87">
      <c r="B140" s="499" t="s">
        <v>193</v>
      </c>
      <c r="C140" s="426">
        <f>1-S.AdRvr!H5</f>
        <v>0.42407160938437849</v>
      </c>
      <c r="D140" s="7">
        <v>0</v>
      </c>
      <c r="E140" s="7">
        <v>0</v>
      </c>
      <c r="F140" s="7">
        <v>0</v>
      </c>
      <c r="G140" s="416">
        <v>0.127</v>
      </c>
      <c r="H140" s="7">
        <v>0</v>
      </c>
      <c r="I140" s="7">
        <v>0</v>
      </c>
      <c r="K140" s="416">
        <v>0.127</v>
      </c>
      <c r="L140" s="499" t="s">
        <v>846</v>
      </c>
    </row>
    <row r="141" spans="1:87">
      <c r="B141" s="499" t="s">
        <v>194</v>
      </c>
      <c r="C141" s="7">
        <v>0</v>
      </c>
      <c r="D141" s="7">
        <v>0</v>
      </c>
      <c r="E141" s="7">
        <v>0</v>
      </c>
      <c r="F141" s="7">
        <v>0</v>
      </c>
      <c r="G141" s="7">
        <v>0</v>
      </c>
      <c r="H141" s="7">
        <v>0</v>
      </c>
      <c r="I141" s="7">
        <v>0</v>
      </c>
      <c r="K141" s="7">
        <v>0</v>
      </c>
    </row>
    <row r="145" spans="1:12">
      <c r="A145" s="1" t="s">
        <v>195</v>
      </c>
      <c r="B145" s="1"/>
      <c r="C145" s="1"/>
    </row>
    <row r="146" spans="1:12">
      <c r="B146" s="6" t="s">
        <v>196</v>
      </c>
      <c r="C146" s="6"/>
      <c r="D146" s="6"/>
      <c r="E146" s="6"/>
      <c r="F146" s="6"/>
    </row>
    <row r="147" spans="1:12">
      <c r="B147" s="499" t="s">
        <v>63</v>
      </c>
      <c r="C147" s="499" t="s">
        <v>64</v>
      </c>
      <c r="D147" s="499" t="s">
        <v>197</v>
      </c>
      <c r="E147" s="499" t="s">
        <v>66</v>
      </c>
    </row>
    <row r="148" spans="1:12">
      <c r="B148" s="7">
        <v>0</v>
      </c>
      <c r="C148" s="7">
        <v>0</v>
      </c>
      <c r="D148" s="7">
        <v>0</v>
      </c>
      <c r="E148" s="7">
        <v>0</v>
      </c>
    </row>
    <row r="151" spans="1:12">
      <c r="A151" s="1" t="s">
        <v>198</v>
      </c>
    </row>
    <row r="152" spans="1:12">
      <c r="B152" s="6" t="s">
        <v>199</v>
      </c>
      <c r="C152" s="6" t="s">
        <v>200</v>
      </c>
      <c r="D152" s="6" t="s">
        <v>188</v>
      </c>
      <c r="E152" s="6" t="s">
        <v>67</v>
      </c>
      <c r="F152" s="6" t="s">
        <v>63</v>
      </c>
      <c r="G152" s="6" t="s">
        <v>197</v>
      </c>
      <c r="H152" s="6" t="s">
        <v>66</v>
      </c>
      <c r="I152" s="6" t="s">
        <v>201</v>
      </c>
    </row>
    <row r="153" spans="1:12">
      <c r="B153" s="499" t="s">
        <v>202</v>
      </c>
      <c r="C153" s="499" t="s">
        <v>203</v>
      </c>
      <c r="D153" s="7">
        <v>1</v>
      </c>
      <c r="E153" s="7">
        <v>1</v>
      </c>
      <c r="F153" s="7">
        <v>1</v>
      </c>
      <c r="G153" s="7">
        <v>1</v>
      </c>
      <c r="H153" s="7">
        <v>1</v>
      </c>
      <c r="I153" s="7">
        <v>1</v>
      </c>
      <c r="J153" s="5" t="s">
        <v>204</v>
      </c>
      <c r="K153" s="5"/>
      <c r="L153" s="5"/>
    </row>
    <row r="154" spans="1:12">
      <c r="B154" s="499" t="s">
        <v>205</v>
      </c>
      <c r="C154" s="499" t="s">
        <v>206</v>
      </c>
      <c r="D154" s="7">
        <v>1</v>
      </c>
      <c r="E154" s="7">
        <v>1</v>
      </c>
      <c r="F154" s="7">
        <v>1</v>
      </c>
      <c r="G154" s="7">
        <v>1</v>
      </c>
      <c r="H154" s="7">
        <v>1</v>
      </c>
      <c r="I154" s="7">
        <v>1</v>
      </c>
      <c r="J154" s="5" t="s">
        <v>207</v>
      </c>
      <c r="K154" s="5"/>
      <c r="L154" s="5"/>
    </row>
    <row r="155" spans="1:12">
      <c r="B155" s="499" t="s">
        <v>208</v>
      </c>
      <c r="C155" s="499" t="s">
        <v>209</v>
      </c>
      <c r="D155" s="7">
        <v>1</v>
      </c>
      <c r="E155" s="7">
        <v>1</v>
      </c>
      <c r="F155" s="7">
        <v>1</v>
      </c>
      <c r="G155" s="7">
        <v>1</v>
      </c>
      <c r="H155" s="7">
        <v>1</v>
      </c>
      <c r="I155" s="7">
        <v>1</v>
      </c>
      <c r="J155" s="5" t="s">
        <v>210</v>
      </c>
      <c r="K155" s="5"/>
      <c r="L155" s="5"/>
    </row>
    <row r="156" spans="1:12">
      <c r="B156" s="499" t="s">
        <v>211</v>
      </c>
      <c r="C156" s="499" t="s">
        <v>212</v>
      </c>
      <c r="D156" s="7">
        <v>1</v>
      </c>
      <c r="E156" s="7">
        <v>1</v>
      </c>
      <c r="F156" s="7">
        <v>1</v>
      </c>
      <c r="G156" s="7">
        <v>1</v>
      </c>
      <c r="H156" s="7">
        <v>1</v>
      </c>
      <c r="I156" s="7">
        <v>1</v>
      </c>
    </row>
    <row r="157" spans="1:12">
      <c r="B157" s="499" t="s">
        <v>213</v>
      </c>
      <c r="C157" s="499" t="s">
        <v>214</v>
      </c>
      <c r="D157" s="7">
        <v>1</v>
      </c>
      <c r="E157" s="7">
        <v>1</v>
      </c>
      <c r="F157" s="7">
        <v>1</v>
      </c>
      <c r="G157" s="7">
        <v>1</v>
      </c>
      <c r="H157" s="7">
        <v>1</v>
      </c>
      <c r="I157" s="7">
        <v>1</v>
      </c>
    </row>
    <row r="158" spans="1:12">
      <c r="B158" s="499" t="s">
        <v>215</v>
      </c>
      <c r="C158" s="499" t="s">
        <v>216</v>
      </c>
      <c r="D158" s="7">
        <v>1</v>
      </c>
      <c r="E158" s="7">
        <v>1</v>
      </c>
      <c r="F158" s="7">
        <v>1</v>
      </c>
      <c r="G158" s="7">
        <v>1</v>
      </c>
      <c r="H158" s="7">
        <v>1</v>
      </c>
      <c r="I158" s="7">
        <v>1</v>
      </c>
    </row>
    <row r="159" spans="1:12">
      <c r="B159" s="499" t="s">
        <v>217</v>
      </c>
      <c r="C159" s="499" t="s">
        <v>218</v>
      </c>
      <c r="D159" s="7">
        <v>1</v>
      </c>
      <c r="E159" s="7">
        <v>1</v>
      </c>
      <c r="F159" s="7">
        <v>1</v>
      </c>
      <c r="G159" s="7">
        <v>1</v>
      </c>
      <c r="H159" s="7">
        <v>1</v>
      </c>
      <c r="I159" s="7">
        <v>1</v>
      </c>
    </row>
    <row r="160" spans="1:12">
      <c r="B160" s="499" t="s">
        <v>219</v>
      </c>
      <c r="C160" s="499" t="s">
        <v>220</v>
      </c>
      <c r="D160" s="7">
        <v>1</v>
      </c>
      <c r="E160" s="7">
        <v>1</v>
      </c>
      <c r="F160" s="7">
        <v>1</v>
      </c>
      <c r="G160" s="7">
        <v>1</v>
      </c>
      <c r="H160" s="7">
        <v>1</v>
      </c>
      <c r="I160" s="7">
        <v>1</v>
      </c>
    </row>
    <row r="161" spans="1:13">
      <c r="B161" s="499" t="s">
        <v>221</v>
      </c>
      <c r="C161" s="499" t="s">
        <v>222</v>
      </c>
      <c r="D161" s="7">
        <v>1</v>
      </c>
      <c r="E161" s="7">
        <v>1</v>
      </c>
      <c r="F161" s="7">
        <v>1</v>
      </c>
      <c r="G161" s="7">
        <v>1</v>
      </c>
      <c r="H161" s="7">
        <v>1</v>
      </c>
      <c r="I161" s="7">
        <v>1</v>
      </c>
    </row>
    <row r="162" spans="1:13">
      <c r="B162" s="499" t="s">
        <v>223</v>
      </c>
      <c r="C162" s="499" t="s">
        <v>224</v>
      </c>
      <c r="D162" s="7">
        <v>1</v>
      </c>
      <c r="E162" s="7">
        <v>1</v>
      </c>
      <c r="F162" s="7">
        <v>1</v>
      </c>
      <c r="G162" s="7">
        <v>1</v>
      </c>
      <c r="H162" s="7">
        <v>1</v>
      </c>
      <c r="I162" s="7">
        <v>1</v>
      </c>
    </row>
    <row r="163" spans="1:13">
      <c r="B163" s="499" t="s">
        <v>225</v>
      </c>
      <c r="C163" s="499" t="s">
        <v>226</v>
      </c>
      <c r="D163" s="7">
        <v>1</v>
      </c>
      <c r="E163" s="7">
        <v>1</v>
      </c>
      <c r="F163" s="7">
        <v>1</v>
      </c>
      <c r="G163" s="7">
        <v>1</v>
      </c>
      <c r="H163" s="7">
        <v>1</v>
      </c>
      <c r="I163" s="7">
        <v>1</v>
      </c>
    </row>
    <row r="166" spans="1:13">
      <c r="A166" s="1" t="s">
        <v>227</v>
      </c>
      <c r="B166" s="1"/>
      <c r="C166" s="1"/>
      <c r="D166" s="1"/>
      <c r="E166" s="1"/>
    </row>
    <row r="167" spans="1:13">
      <c r="B167" s="13"/>
      <c r="C167" s="13"/>
      <c r="D167" s="13" t="s">
        <v>228</v>
      </c>
      <c r="E167" s="13"/>
      <c r="F167" s="13"/>
      <c r="G167" s="13"/>
      <c r="H167" s="13"/>
      <c r="I167" s="13"/>
      <c r="J167" s="13"/>
      <c r="K167" s="13"/>
      <c r="L167" s="13"/>
      <c r="M167" s="13"/>
    </row>
    <row r="168" spans="1:13">
      <c r="B168" s="6" t="s">
        <v>199</v>
      </c>
      <c r="C168" s="6" t="s">
        <v>200</v>
      </c>
      <c r="D168" s="6">
        <v>1</v>
      </c>
      <c r="E168" s="6">
        <v>2</v>
      </c>
      <c r="F168" s="6">
        <v>3</v>
      </c>
      <c r="G168" s="6">
        <v>4</v>
      </c>
      <c r="H168" s="6">
        <v>5</v>
      </c>
      <c r="I168" s="6">
        <v>6</v>
      </c>
      <c r="J168" s="6">
        <v>7</v>
      </c>
      <c r="K168" s="6">
        <v>8</v>
      </c>
      <c r="L168" s="6">
        <v>9</v>
      </c>
      <c r="M168" s="6">
        <v>10</v>
      </c>
    </row>
    <row r="169" spans="1:13">
      <c r="B169" s="499" t="s">
        <v>202</v>
      </c>
      <c r="C169" s="499" t="s">
        <v>203</v>
      </c>
      <c r="D169" s="267">
        <f>f!C11</f>
        <v>4090.9228635271579</v>
      </c>
      <c r="E169" s="267">
        <f>f!C12</f>
        <v>7021.3100064774535</v>
      </c>
      <c r="F169" s="267">
        <f>f!C13</f>
        <v>10170.074024482548</v>
      </c>
      <c r="G169" s="267">
        <f>f!C13</f>
        <v>10170.074024482548</v>
      </c>
      <c r="H169" s="267">
        <f>f!C13</f>
        <v>10170.074024482548</v>
      </c>
      <c r="I169" s="267">
        <f>f!C13</f>
        <v>10170.074024482548</v>
      </c>
      <c r="J169" s="267">
        <f>f!C13</f>
        <v>10170.074024482548</v>
      </c>
      <c r="K169" s="267">
        <f>f!C13</f>
        <v>10170.074024482548</v>
      </c>
      <c r="L169" s="267">
        <f>f!C13</f>
        <v>10170.074024482548</v>
      </c>
      <c r="M169" s="267">
        <f>f!C13</f>
        <v>10170.074024482548</v>
      </c>
    </row>
    <row r="170" spans="1:13">
      <c r="B170" s="499" t="s">
        <v>205</v>
      </c>
      <c r="C170" s="499" t="s">
        <v>206</v>
      </c>
      <c r="D170" s="7">
        <v>4000</v>
      </c>
      <c r="E170" s="7">
        <v>7000</v>
      </c>
      <c r="F170" s="7">
        <v>10000</v>
      </c>
      <c r="G170" s="7">
        <v>10000</v>
      </c>
      <c r="H170" s="7">
        <v>10000</v>
      </c>
      <c r="I170" s="7">
        <v>10000</v>
      </c>
      <c r="J170" s="7">
        <v>10000</v>
      </c>
      <c r="K170" s="7">
        <v>10000</v>
      </c>
      <c r="L170" s="7">
        <v>10000</v>
      </c>
      <c r="M170" s="7">
        <v>10000</v>
      </c>
    </row>
    <row r="171" spans="1:13">
      <c r="B171" s="499" t="s">
        <v>208</v>
      </c>
      <c r="C171" s="499" t="s">
        <v>209</v>
      </c>
      <c r="D171" s="7">
        <v>4000</v>
      </c>
      <c r="E171" s="7">
        <v>7000</v>
      </c>
      <c r="F171" s="7">
        <v>10000</v>
      </c>
      <c r="G171" s="7">
        <v>10000</v>
      </c>
      <c r="H171" s="7">
        <v>10000</v>
      </c>
      <c r="I171" s="7">
        <v>10000</v>
      </c>
      <c r="J171" s="7">
        <v>10000</v>
      </c>
      <c r="K171" s="7">
        <v>10000</v>
      </c>
      <c r="L171" s="7">
        <v>10000</v>
      </c>
      <c r="M171" s="7">
        <v>10000</v>
      </c>
    </row>
    <row r="172" spans="1:13">
      <c r="B172" s="499" t="s">
        <v>211</v>
      </c>
      <c r="C172" s="499" t="s">
        <v>212</v>
      </c>
      <c r="D172" s="7">
        <v>4000</v>
      </c>
      <c r="E172" s="7">
        <v>7000</v>
      </c>
      <c r="F172" s="7">
        <v>10000</v>
      </c>
      <c r="G172" s="7">
        <v>10000</v>
      </c>
      <c r="H172" s="7">
        <v>10000</v>
      </c>
      <c r="I172" s="7">
        <v>10000</v>
      </c>
      <c r="J172" s="7">
        <v>10000</v>
      </c>
      <c r="K172" s="7">
        <v>10000</v>
      </c>
      <c r="L172" s="7">
        <v>10000</v>
      </c>
      <c r="M172" s="7">
        <v>10000</v>
      </c>
    </row>
    <row r="173" spans="1:13">
      <c r="B173" s="499" t="s">
        <v>213</v>
      </c>
      <c r="C173" s="499" t="s">
        <v>214</v>
      </c>
      <c r="D173" s="7">
        <v>4000</v>
      </c>
      <c r="E173" s="7">
        <v>7000</v>
      </c>
      <c r="F173" s="7">
        <v>10000</v>
      </c>
      <c r="G173" s="7">
        <v>10000</v>
      </c>
      <c r="H173" s="7">
        <v>10000</v>
      </c>
      <c r="I173" s="7">
        <v>10000</v>
      </c>
      <c r="J173" s="7">
        <v>10000</v>
      </c>
      <c r="K173" s="7">
        <v>10000</v>
      </c>
      <c r="L173" s="7">
        <v>10000</v>
      </c>
      <c r="M173" s="7">
        <v>10000</v>
      </c>
    </row>
    <row r="174" spans="1:13">
      <c r="B174" s="499" t="s">
        <v>215</v>
      </c>
      <c r="C174" s="499" t="s">
        <v>216</v>
      </c>
      <c r="D174" s="7">
        <v>4000</v>
      </c>
      <c r="E174" s="7">
        <v>7000</v>
      </c>
      <c r="F174" s="7">
        <v>10000</v>
      </c>
      <c r="G174" s="7">
        <v>10000</v>
      </c>
      <c r="H174" s="7">
        <v>10000</v>
      </c>
      <c r="I174" s="7">
        <v>10000</v>
      </c>
      <c r="J174" s="7">
        <v>10000</v>
      </c>
      <c r="K174" s="7">
        <v>10000</v>
      </c>
      <c r="L174" s="7">
        <v>10000</v>
      </c>
      <c r="M174" s="7">
        <v>10000</v>
      </c>
    </row>
    <row r="175" spans="1:13">
      <c r="B175" s="499" t="s">
        <v>217</v>
      </c>
      <c r="C175" s="499" t="s">
        <v>218</v>
      </c>
      <c r="D175" s="7">
        <v>4000</v>
      </c>
      <c r="E175" s="7">
        <v>7000</v>
      </c>
      <c r="F175" s="7">
        <v>10000</v>
      </c>
      <c r="G175" s="7">
        <v>10000</v>
      </c>
      <c r="H175" s="7">
        <v>10000</v>
      </c>
      <c r="I175" s="7">
        <v>10000</v>
      </c>
      <c r="J175" s="7">
        <v>10000</v>
      </c>
      <c r="K175" s="7">
        <v>10000</v>
      </c>
      <c r="L175" s="7">
        <v>10000</v>
      </c>
      <c r="M175" s="7">
        <v>10000</v>
      </c>
    </row>
    <row r="176" spans="1:13">
      <c r="B176" s="499" t="s">
        <v>219</v>
      </c>
      <c r="C176" s="499" t="s">
        <v>220</v>
      </c>
      <c r="D176" s="7">
        <v>4000</v>
      </c>
      <c r="E176" s="7">
        <v>7000</v>
      </c>
      <c r="F176" s="7">
        <v>10000</v>
      </c>
      <c r="G176" s="7">
        <v>10000</v>
      </c>
      <c r="H176" s="7">
        <v>10000</v>
      </c>
      <c r="I176" s="7">
        <v>10000</v>
      </c>
      <c r="J176" s="7">
        <v>10000</v>
      </c>
      <c r="K176" s="7">
        <v>10000</v>
      </c>
      <c r="L176" s="7">
        <v>10000</v>
      </c>
      <c r="M176" s="7">
        <v>10000</v>
      </c>
    </row>
    <row r="177" spans="1:23">
      <c r="B177" s="499" t="s">
        <v>221</v>
      </c>
      <c r="C177" s="499" t="s">
        <v>222</v>
      </c>
      <c r="D177" s="7">
        <v>4000</v>
      </c>
      <c r="E177" s="7">
        <v>7000</v>
      </c>
      <c r="F177" s="7">
        <v>10000</v>
      </c>
      <c r="G177" s="7">
        <v>10000</v>
      </c>
      <c r="H177" s="7">
        <v>10000</v>
      </c>
      <c r="I177" s="7">
        <v>10000</v>
      </c>
      <c r="J177" s="7">
        <v>10000</v>
      </c>
      <c r="K177" s="7">
        <v>10000</v>
      </c>
      <c r="L177" s="7">
        <v>10000</v>
      </c>
      <c r="M177" s="7">
        <v>10000</v>
      </c>
    </row>
    <row r="178" spans="1:23">
      <c r="B178" s="499" t="s">
        <v>223</v>
      </c>
      <c r="C178" s="499" t="s">
        <v>224</v>
      </c>
      <c r="D178" s="7">
        <v>4000</v>
      </c>
      <c r="E178" s="7">
        <v>7000</v>
      </c>
      <c r="F178" s="7">
        <v>10000</v>
      </c>
      <c r="G178" s="7">
        <v>10000</v>
      </c>
      <c r="H178" s="7">
        <v>10000</v>
      </c>
      <c r="I178" s="7">
        <v>10000</v>
      </c>
      <c r="J178" s="7">
        <v>10000</v>
      </c>
      <c r="K178" s="7">
        <v>10000</v>
      </c>
      <c r="L178" s="7">
        <v>10000</v>
      </c>
      <c r="M178" s="7">
        <v>10000</v>
      </c>
    </row>
    <row r="179" spans="1:23">
      <c r="B179" s="499" t="s">
        <v>225</v>
      </c>
      <c r="C179" s="499" t="s">
        <v>226</v>
      </c>
      <c r="D179" s="7">
        <v>4000</v>
      </c>
      <c r="E179" s="7">
        <v>7000</v>
      </c>
      <c r="F179" s="7">
        <v>10000</v>
      </c>
      <c r="G179" s="7">
        <v>10000</v>
      </c>
      <c r="H179" s="7">
        <v>10000</v>
      </c>
      <c r="I179" s="7">
        <v>10000</v>
      </c>
      <c r="J179" s="7">
        <v>10000</v>
      </c>
      <c r="K179" s="7">
        <v>10000</v>
      </c>
      <c r="L179" s="7">
        <v>10000</v>
      </c>
      <c r="M179" s="7">
        <v>10000</v>
      </c>
    </row>
    <row r="182" spans="1:23">
      <c r="A182" s="1" t="s">
        <v>229</v>
      </c>
      <c r="D182" s="499" t="s">
        <v>230</v>
      </c>
      <c r="E182" s="499" t="s">
        <v>230</v>
      </c>
      <c r="F182" s="499" t="s">
        <v>230</v>
      </c>
      <c r="G182" s="499" t="s">
        <v>230</v>
      </c>
      <c r="H182" s="499" t="s">
        <v>230</v>
      </c>
      <c r="I182" s="499" t="s">
        <v>230</v>
      </c>
      <c r="J182" s="499" t="s">
        <v>230</v>
      </c>
      <c r="K182" s="499" t="s">
        <v>230</v>
      </c>
      <c r="L182" s="499" t="s">
        <v>230</v>
      </c>
      <c r="M182" s="499" t="s">
        <v>230</v>
      </c>
      <c r="N182" s="499" t="s">
        <v>231</v>
      </c>
      <c r="O182" s="499" t="s">
        <v>231</v>
      </c>
      <c r="P182" s="499" t="s">
        <v>231</v>
      </c>
      <c r="Q182" s="499" t="s">
        <v>231</v>
      </c>
      <c r="R182" s="499" t="s">
        <v>231</v>
      </c>
      <c r="S182" s="499" t="s">
        <v>231</v>
      </c>
      <c r="T182" s="499" t="s">
        <v>231</v>
      </c>
      <c r="U182" s="499" t="s">
        <v>231</v>
      </c>
      <c r="V182" s="499" t="s">
        <v>231</v>
      </c>
      <c r="W182" s="499" t="s">
        <v>231</v>
      </c>
    </row>
    <row r="183" spans="1:23">
      <c r="A183" s="14" t="s">
        <v>232</v>
      </c>
      <c r="D183" s="499" t="s">
        <v>233</v>
      </c>
      <c r="N183" s="499" t="s">
        <v>233</v>
      </c>
    </row>
    <row r="184" spans="1:23">
      <c r="B184" s="6" t="s">
        <v>199</v>
      </c>
      <c r="C184" s="6" t="s">
        <v>200</v>
      </c>
      <c r="D184" s="6">
        <v>1</v>
      </c>
      <c r="E184" s="6">
        <v>2</v>
      </c>
      <c r="F184" s="6">
        <v>3</v>
      </c>
      <c r="G184" s="6">
        <v>4</v>
      </c>
      <c r="H184" s="6">
        <v>5</v>
      </c>
      <c r="I184" s="6">
        <v>6</v>
      </c>
      <c r="J184" s="6">
        <v>7</v>
      </c>
      <c r="K184" s="6">
        <v>8</v>
      </c>
      <c r="L184" s="6">
        <v>9</v>
      </c>
      <c r="M184" s="6">
        <v>10</v>
      </c>
      <c r="N184" s="6">
        <v>1</v>
      </c>
      <c r="O184" s="6">
        <v>2</v>
      </c>
      <c r="P184" s="6">
        <v>3</v>
      </c>
      <c r="Q184" s="6">
        <v>4</v>
      </c>
      <c r="R184" s="6">
        <v>5</v>
      </c>
      <c r="S184" s="6">
        <v>6</v>
      </c>
      <c r="T184" s="6">
        <v>7</v>
      </c>
      <c r="U184" s="6">
        <v>8</v>
      </c>
      <c r="V184" s="6">
        <v>9</v>
      </c>
      <c r="W184" s="6">
        <v>10</v>
      </c>
    </row>
    <row r="185" spans="1:23">
      <c r="B185" s="499" t="s">
        <v>202</v>
      </c>
      <c r="C185" s="499" t="s">
        <v>203</v>
      </c>
      <c r="D185" s="264">
        <f>S.kelt!A27</f>
        <v>5.4227206260661485E-2</v>
      </c>
      <c r="E185" s="264">
        <f>S.kelt!B27</f>
        <v>5.3478870814264355E-2</v>
      </c>
      <c r="F185" s="264">
        <f>S.kelt!C27</f>
        <v>5.3478870814264355E-2</v>
      </c>
      <c r="G185" s="269">
        <v>0</v>
      </c>
      <c r="H185" s="269">
        <v>0</v>
      </c>
      <c r="I185" s="269">
        <v>0</v>
      </c>
      <c r="J185" s="7">
        <v>0</v>
      </c>
      <c r="K185" s="7">
        <v>0</v>
      </c>
      <c r="L185" s="7">
        <v>0</v>
      </c>
      <c r="M185" s="7">
        <v>0</v>
      </c>
      <c r="N185" s="264">
        <f>S.kelt!A27</f>
        <v>5.4227206260661485E-2</v>
      </c>
      <c r="O185" s="264">
        <f>S.kelt!B27</f>
        <v>5.3478870814264355E-2</v>
      </c>
      <c r="P185" s="264">
        <f>S.kelt!C27</f>
        <v>5.3478870814264355E-2</v>
      </c>
      <c r="Q185" s="269">
        <v>0</v>
      </c>
      <c r="R185" s="269">
        <v>0</v>
      </c>
      <c r="S185" s="269">
        <v>0</v>
      </c>
      <c r="T185" s="7">
        <v>0</v>
      </c>
      <c r="U185" s="7">
        <v>0</v>
      </c>
      <c r="V185" s="7">
        <v>0</v>
      </c>
      <c r="W185" s="7">
        <v>0</v>
      </c>
    </row>
    <row r="186" spans="1:23">
      <c r="B186" s="499" t="s">
        <v>205</v>
      </c>
      <c r="C186" s="499" t="s">
        <v>206</v>
      </c>
      <c r="D186" s="7">
        <v>0</v>
      </c>
      <c r="E186" s="7">
        <v>0</v>
      </c>
      <c r="F186" s="7">
        <v>0</v>
      </c>
      <c r="G186" s="7">
        <v>0</v>
      </c>
      <c r="H186" s="7">
        <v>0</v>
      </c>
      <c r="I186" s="7">
        <v>0</v>
      </c>
      <c r="J186" s="7">
        <v>0</v>
      </c>
      <c r="K186" s="7">
        <v>0</v>
      </c>
      <c r="L186" s="7">
        <v>0</v>
      </c>
      <c r="M186" s="7">
        <v>0</v>
      </c>
      <c r="N186" s="7">
        <v>0</v>
      </c>
      <c r="O186" s="7">
        <v>0</v>
      </c>
      <c r="P186" s="7">
        <v>0</v>
      </c>
      <c r="Q186" s="7">
        <v>0</v>
      </c>
      <c r="R186" s="7">
        <v>0</v>
      </c>
      <c r="S186" s="7">
        <v>0</v>
      </c>
      <c r="T186" s="7">
        <v>0</v>
      </c>
      <c r="U186" s="7">
        <v>0</v>
      </c>
      <c r="V186" s="7">
        <v>0</v>
      </c>
      <c r="W186" s="7">
        <v>0</v>
      </c>
    </row>
    <row r="187" spans="1:23">
      <c r="B187" s="499" t="s">
        <v>208</v>
      </c>
      <c r="C187" s="499" t="s">
        <v>209</v>
      </c>
      <c r="D187" s="7">
        <v>0</v>
      </c>
      <c r="E187" s="7">
        <v>0</v>
      </c>
      <c r="F187" s="7">
        <v>0</v>
      </c>
      <c r="G187" s="7">
        <v>0</v>
      </c>
      <c r="H187" s="7">
        <v>0</v>
      </c>
      <c r="I187" s="7">
        <v>0</v>
      </c>
      <c r="J187" s="7">
        <v>0</v>
      </c>
      <c r="K187" s="7">
        <v>0</v>
      </c>
      <c r="L187" s="7">
        <v>0</v>
      </c>
      <c r="M187" s="7">
        <v>0</v>
      </c>
      <c r="N187" s="7">
        <v>0</v>
      </c>
      <c r="O187" s="7">
        <v>0</v>
      </c>
      <c r="P187" s="7">
        <v>0</v>
      </c>
      <c r="Q187" s="7">
        <v>0</v>
      </c>
      <c r="R187" s="7">
        <v>0</v>
      </c>
      <c r="S187" s="7">
        <v>0</v>
      </c>
      <c r="T187" s="7">
        <v>0</v>
      </c>
      <c r="U187" s="7">
        <v>0</v>
      </c>
      <c r="V187" s="7">
        <v>0</v>
      </c>
      <c r="W187" s="7">
        <v>0</v>
      </c>
    </row>
    <row r="188" spans="1:23">
      <c r="B188" s="499" t="s">
        <v>211</v>
      </c>
      <c r="C188" s="499" t="s">
        <v>212</v>
      </c>
      <c r="D188" s="7">
        <v>0</v>
      </c>
      <c r="E188" s="7">
        <v>0</v>
      </c>
      <c r="F188" s="7">
        <v>0</v>
      </c>
      <c r="G188" s="7">
        <v>0</v>
      </c>
      <c r="H188" s="7">
        <v>0</v>
      </c>
      <c r="I188" s="7">
        <v>0</v>
      </c>
      <c r="J188" s="7">
        <v>0</v>
      </c>
      <c r="K188" s="7">
        <v>0</v>
      </c>
      <c r="L188" s="7">
        <v>0</v>
      </c>
      <c r="M188" s="7">
        <v>0</v>
      </c>
      <c r="N188" s="7">
        <v>0</v>
      </c>
      <c r="O188" s="7">
        <v>0</v>
      </c>
      <c r="P188" s="7">
        <v>0</v>
      </c>
      <c r="Q188" s="7">
        <v>0</v>
      </c>
      <c r="R188" s="7">
        <v>0</v>
      </c>
      <c r="S188" s="7">
        <v>0</v>
      </c>
      <c r="T188" s="7">
        <v>0</v>
      </c>
      <c r="U188" s="7">
        <v>0</v>
      </c>
      <c r="V188" s="7">
        <v>0</v>
      </c>
      <c r="W188" s="7">
        <v>0</v>
      </c>
    </row>
    <row r="189" spans="1:23">
      <c r="B189" s="499" t="s">
        <v>213</v>
      </c>
      <c r="C189" s="499" t="s">
        <v>214</v>
      </c>
      <c r="D189" s="7">
        <v>0</v>
      </c>
      <c r="E189" s="7">
        <v>0</v>
      </c>
      <c r="F189" s="7">
        <v>0</v>
      </c>
      <c r="G189" s="7">
        <v>0</v>
      </c>
      <c r="H189" s="7">
        <v>0</v>
      </c>
      <c r="I189" s="7">
        <v>0</v>
      </c>
      <c r="J189" s="7">
        <v>0</v>
      </c>
      <c r="K189" s="7">
        <v>0</v>
      </c>
      <c r="L189" s="7">
        <v>0</v>
      </c>
      <c r="M189" s="7">
        <v>0</v>
      </c>
      <c r="N189" s="7">
        <v>0</v>
      </c>
      <c r="O189" s="7">
        <v>0</v>
      </c>
      <c r="P189" s="7">
        <v>0</v>
      </c>
      <c r="Q189" s="7">
        <v>0</v>
      </c>
      <c r="R189" s="7">
        <v>0</v>
      </c>
      <c r="S189" s="7">
        <v>0</v>
      </c>
      <c r="T189" s="7">
        <v>0</v>
      </c>
      <c r="U189" s="7">
        <v>0</v>
      </c>
      <c r="V189" s="7">
        <v>0</v>
      </c>
      <c r="W189" s="7">
        <v>0</v>
      </c>
    </row>
    <row r="190" spans="1:23">
      <c r="B190" s="499" t="s">
        <v>215</v>
      </c>
      <c r="C190" s="499" t="s">
        <v>216</v>
      </c>
      <c r="D190" s="7">
        <v>0</v>
      </c>
      <c r="E190" s="7">
        <v>0</v>
      </c>
      <c r="F190" s="7">
        <v>0</v>
      </c>
      <c r="G190" s="7">
        <v>0</v>
      </c>
      <c r="H190" s="7">
        <v>0</v>
      </c>
      <c r="I190" s="7">
        <v>0</v>
      </c>
      <c r="J190" s="7">
        <v>0</v>
      </c>
      <c r="K190" s="7">
        <v>0</v>
      </c>
      <c r="L190" s="7">
        <v>0</v>
      </c>
      <c r="M190" s="7">
        <v>0</v>
      </c>
      <c r="N190" s="7">
        <v>0</v>
      </c>
      <c r="O190" s="7">
        <v>0</v>
      </c>
      <c r="P190" s="7">
        <v>0</v>
      </c>
      <c r="Q190" s="7">
        <v>0</v>
      </c>
      <c r="R190" s="7">
        <v>0</v>
      </c>
      <c r="S190" s="7">
        <v>0</v>
      </c>
      <c r="T190" s="7">
        <v>0</v>
      </c>
      <c r="U190" s="7">
        <v>0</v>
      </c>
      <c r="V190" s="7">
        <v>0</v>
      </c>
      <c r="W190" s="7">
        <v>0</v>
      </c>
    </row>
    <row r="191" spans="1:23">
      <c r="B191" s="499" t="s">
        <v>217</v>
      </c>
      <c r="C191" s="499" t="s">
        <v>218</v>
      </c>
      <c r="D191" s="7">
        <v>0</v>
      </c>
      <c r="E191" s="7">
        <v>0</v>
      </c>
      <c r="F191" s="7">
        <v>0</v>
      </c>
      <c r="G191" s="7">
        <v>0</v>
      </c>
      <c r="H191" s="7">
        <v>0</v>
      </c>
      <c r="I191" s="7">
        <v>0</v>
      </c>
      <c r="J191" s="7">
        <v>0</v>
      </c>
      <c r="K191" s="7">
        <v>0</v>
      </c>
      <c r="L191" s="7">
        <v>0</v>
      </c>
      <c r="M191" s="7">
        <v>0</v>
      </c>
      <c r="N191" s="7">
        <v>0</v>
      </c>
      <c r="O191" s="7">
        <v>0</v>
      </c>
      <c r="P191" s="7">
        <v>0</v>
      </c>
      <c r="Q191" s="7">
        <v>0</v>
      </c>
      <c r="R191" s="7">
        <v>0</v>
      </c>
      <c r="S191" s="7">
        <v>0</v>
      </c>
      <c r="T191" s="7">
        <v>0</v>
      </c>
      <c r="U191" s="7">
        <v>0</v>
      </c>
      <c r="V191" s="7">
        <v>0</v>
      </c>
      <c r="W191" s="7">
        <v>0</v>
      </c>
    </row>
    <row r="192" spans="1:23">
      <c r="B192" s="499" t="s">
        <v>219</v>
      </c>
      <c r="C192" s="499" t="s">
        <v>220</v>
      </c>
      <c r="D192" s="7">
        <v>0</v>
      </c>
      <c r="E192" s="7">
        <v>0</v>
      </c>
      <c r="F192" s="7">
        <v>0</v>
      </c>
      <c r="G192" s="7">
        <v>0</v>
      </c>
      <c r="H192" s="7">
        <v>0</v>
      </c>
      <c r="I192" s="7">
        <v>0</v>
      </c>
      <c r="J192" s="7">
        <v>0</v>
      </c>
      <c r="K192" s="7">
        <v>0</v>
      </c>
      <c r="L192" s="7">
        <v>0</v>
      </c>
      <c r="M192" s="7">
        <v>0</v>
      </c>
      <c r="N192" s="7">
        <v>0</v>
      </c>
      <c r="O192" s="7">
        <v>0</v>
      </c>
      <c r="P192" s="7">
        <v>0</v>
      </c>
      <c r="Q192" s="7">
        <v>0</v>
      </c>
      <c r="R192" s="7">
        <v>0</v>
      </c>
      <c r="S192" s="7">
        <v>0</v>
      </c>
      <c r="T192" s="7">
        <v>0</v>
      </c>
      <c r="U192" s="7">
        <v>0</v>
      </c>
      <c r="V192" s="7">
        <v>0</v>
      </c>
      <c r="W192" s="7">
        <v>0</v>
      </c>
    </row>
    <row r="193" spans="1:23">
      <c r="B193" s="499" t="s">
        <v>221</v>
      </c>
      <c r="C193" s="499" t="s">
        <v>222</v>
      </c>
      <c r="D193" s="7">
        <v>0</v>
      </c>
      <c r="E193" s="7">
        <v>0</v>
      </c>
      <c r="F193" s="7">
        <v>0</v>
      </c>
      <c r="G193" s="7">
        <v>0</v>
      </c>
      <c r="H193" s="7">
        <v>0</v>
      </c>
      <c r="I193" s="7">
        <v>0</v>
      </c>
      <c r="J193" s="7">
        <v>0</v>
      </c>
      <c r="K193" s="7">
        <v>0</v>
      </c>
      <c r="L193" s="7">
        <v>0</v>
      </c>
      <c r="M193" s="7">
        <v>0</v>
      </c>
      <c r="N193" s="7">
        <v>0</v>
      </c>
      <c r="O193" s="7">
        <v>0</v>
      </c>
      <c r="P193" s="7">
        <v>0</v>
      </c>
      <c r="Q193" s="7">
        <v>0</v>
      </c>
      <c r="R193" s="7">
        <v>0</v>
      </c>
      <c r="S193" s="7">
        <v>0</v>
      </c>
      <c r="T193" s="7">
        <v>0</v>
      </c>
      <c r="U193" s="7">
        <v>0</v>
      </c>
      <c r="V193" s="7">
        <v>0</v>
      </c>
      <c r="W193" s="7">
        <v>0</v>
      </c>
    </row>
    <row r="194" spans="1:23">
      <c r="B194" s="499" t="s">
        <v>223</v>
      </c>
      <c r="C194" s="499" t="s">
        <v>224</v>
      </c>
      <c r="D194" s="7">
        <v>0</v>
      </c>
      <c r="E194" s="7">
        <v>0</v>
      </c>
      <c r="F194" s="7">
        <v>0</v>
      </c>
      <c r="G194" s="7">
        <v>0</v>
      </c>
      <c r="H194" s="7">
        <v>0</v>
      </c>
      <c r="I194" s="7">
        <v>0</v>
      </c>
      <c r="J194" s="7">
        <v>0</v>
      </c>
      <c r="K194" s="7">
        <v>0</v>
      </c>
      <c r="L194" s="7">
        <v>0</v>
      </c>
      <c r="M194" s="7">
        <v>0</v>
      </c>
      <c r="N194" s="7">
        <v>0</v>
      </c>
      <c r="O194" s="7">
        <v>0</v>
      </c>
      <c r="P194" s="7">
        <v>0</v>
      </c>
      <c r="Q194" s="7">
        <v>0</v>
      </c>
      <c r="R194" s="7">
        <v>0</v>
      </c>
      <c r="S194" s="7">
        <v>0</v>
      </c>
      <c r="T194" s="7">
        <v>0</v>
      </c>
      <c r="U194" s="7">
        <v>0</v>
      </c>
      <c r="V194" s="7">
        <v>0</v>
      </c>
      <c r="W194" s="7">
        <v>0</v>
      </c>
    </row>
    <row r="195" spans="1:23">
      <c r="B195" s="499" t="s">
        <v>225</v>
      </c>
      <c r="C195" s="499" t="s">
        <v>226</v>
      </c>
      <c r="D195" s="7">
        <v>0</v>
      </c>
      <c r="E195" s="7">
        <v>0</v>
      </c>
      <c r="F195" s="7">
        <v>0</v>
      </c>
      <c r="G195" s="7">
        <v>0</v>
      </c>
      <c r="H195" s="7">
        <v>0</v>
      </c>
      <c r="I195" s="7">
        <v>0</v>
      </c>
      <c r="J195" s="7">
        <v>0</v>
      </c>
      <c r="K195" s="7">
        <v>0</v>
      </c>
      <c r="L195" s="7">
        <v>0</v>
      </c>
      <c r="M195" s="7">
        <v>0</v>
      </c>
      <c r="N195" s="7">
        <v>0</v>
      </c>
      <c r="O195" s="7">
        <v>0</v>
      </c>
      <c r="P195" s="7">
        <v>0</v>
      </c>
      <c r="Q195" s="7">
        <v>0</v>
      </c>
      <c r="R195" s="7">
        <v>0</v>
      </c>
      <c r="S195" s="7">
        <v>0</v>
      </c>
      <c r="T195" s="7">
        <v>0</v>
      </c>
      <c r="U195" s="7">
        <v>0</v>
      </c>
      <c r="V195" s="7">
        <v>0</v>
      </c>
      <c r="W195" s="7">
        <v>0</v>
      </c>
    </row>
    <row r="197" spans="1:23">
      <c r="A197" s="1" t="s">
        <v>234</v>
      </c>
      <c r="D197" s="499" t="s">
        <v>230</v>
      </c>
      <c r="E197" s="499" t="s">
        <v>230</v>
      </c>
      <c r="F197" s="499" t="s">
        <v>230</v>
      </c>
      <c r="G197" s="499" t="s">
        <v>230</v>
      </c>
      <c r="H197" s="499" t="s">
        <v>230</v>
      </c>
      <c r="I197" s="499" t="s">
        <v>230</v>
      </c>
      <c r="J197" s="499" t="s">
        <v>230</v>
      </c>
      <c r="K197" s="499" t="s">
        <v>230</v>
      </c>
      <c r="L197" s="499" t="s">
        <v>230</v>
      </c>
      <c r="M197" s="499" t="s">
        <v>230</v>
      </c>
      <c r="N197" s="499" t="s">
        <v>231</v>
      </c>
      <c r="O197" s="499" t="s">
        <v>231</v>
      </c>
      <c r="P197" s="499" t="s">
        <v>231</v>
      </c>
      <c r="Q197" s="499" t="s">
        <v>231</v>
      </c>
      <c r="R197" s="499" t="s">
        <v>231</v>
      </c>
      <c r="S197" s="499" t="s">
        <v>231</v>
      </c>
      <c r="T197" s="499" t="s">
        <v>231</v>
      </c>
      <c r="U197" s="499" t="s">
        <v>231</v>
      </c>
      <c r="V197" s="499" t="s">
        <v>231</v>
      </c>
      <c r="W197" s="499" t="s">
        <v>231</v>
      </c>
    </row>
    <row r="198" spans="1:23">
      <c r="A198" s="14" t="s">
        <v>235</v>
      </c>
      <c r="D198" s="499" t="s">
        <v>236</v>
      </c>
      <c r="N198" s="499" t="s">
        <v>236</v>
      </c>
    </row>
    <row r="199" spans="1:23">
      <c r="B199" s="6" t="s">
        <v>199</v>
      </c>
      <c r="C199" s="6" t="s">
        <v>200</v>
      </c>
      <c r="D199" s="6">
        <v>1</v>
      </c>
      <c r="E199" s="6">
        <v>2</v>
      </c>
      <c r="F199" s="6">
        <v>3</v>
      </c>
      <c r="G199" s="6">
        <v>4</v>
      </c>
      <c r="H199" s="6">
        <v>5</v>
      </c>
      <c r="I199" s="6">
        <v>6</v>
      </c>
      <c r="J199" s="6">
        <v>7</v>
      </c>
      <c r="K199" s="6">
        <v>8</v>
      </c>
      <c r="L199" s="6">
        <v>9</v>
      </c>
      <c r="M199" s="6">
        <v>10</v>
      </c>
      <c r="N199" s="6">
        <v>1</v>
      </c>
      <c r="O199" s="6">
        <v>2</v>
      </c>
      <c r="P199" s="6">
        <v>3</v>
      </c>
      <c r="Q199" s="6">
        <v>4</v>
      </c>
      <c r="R199" s="6">
        <v>5</v>
      </c>
      <c r="S199" s="6">
        <v>6</v>
      </c>
      <c r="T199" s="6">
        <v>7</v>
      </c>
      <c r="U199" s="6">
        <v>8</v>
      </c>
      <c r="V199" s="6">
        <v>9</v>
      </c>
      <c r="W199" s="6">
        <v>10</v>
      </c>
    </row>
    <row r="200" spans="1:23">
      <c r="B200" s="499" t="s">
        <v>202</v>
      </c>
      <c r="C200" s="499" t="s">
        <v>203</v>
      </c>
      <c r="D200" s="264">
        <f>S.kelt!A39</f>
        <v>0.9</v>
      </c>
      <c r="E200" s="264">
        <f>S.kelt!A39</f>
        <v>0.9</v>
      </c>
      <c r="F200" s="264">
        <f>S.kelt!A39</f>
        <v>0.9</v>
      </c>
      <c r="G200" s="264">
        <f>S.kelt!A39</f>
        <v>0.9</v>
      </c>
      <c r="H200" s="264">
        <f>S.kelt!A39</f>
        <v>0.9</v>
      </c>
      <c r="I200" s="264">
        <f>S.kelt!A39</f>
        <v>0.9</v>
      </c>
      <c r="J200" s="7">
        <v>0</v>
      </c>
      <c r="K200" s="7">
        <v>0</v>
      </c>
      <c r="L200" s="7">
        <v>0</v>
      </c>
      <c r="M200" s="7">
        <v>0</v>
      </c>
      <c r="N200" s="7">
        <v>0</v>
      </c>
      <c r="O200" s="7">
        <v>0</v>
      </c>
      <c r="P200" s="7">
        <v>0</v>
      </c>
      <c r="Q200" s="7">
        <v>0</v>
      </c>
      <c r="R200" s="7">
        <v>0</v>
      </c>
      <c r="S200" s="7">
        <v>0</v>
      </c>
      <c r="T200" s="7">
        <v>0</v>
      </c>
      <c r="U200" s="7">
        <v>0</v>
      </c>
      <c r="V200" s="7">
        <v>0</v>
      </c>
      <c r="W200" s="7">
        <v>0</v>
      </c>
    </row>
    <row r="201" spans="1:23">
      <c r="B201" s="499" t="s">
        <v>205</v>
      </c>
      <c r="C201" s="499" t="s">
        <v>206</v>
      </c>
      <c r="D201" s="7">
        <v>0</v>
      </c>
      <c r="E201" s="7">
        <v>0</v>
      </c>
      <c r="F201" s="7">
        <v>0</v>
      </c>
      <c r="G201" s="7">
        <v>0</v>
      </c>
      <c r="H201" s="7">
        <v>0</v>
      </c>
      <c r="I201" s="7">
        <v>0</v>
      </c>
      <c r="J201" s="7">
        <v>0</v>
      </c>
      <c r="K201" s="7">
        <v>0</v>
      </c>
      <c r="L201" s="7">
        <v>0</v>
      </c>
      <c r="M201" s="7">
        <v>0</v>
      </c>
      <c r="N201" s="7">
        <v>0</v>
      </c>
      <c r="O201" s="7">
        <v>0</v>
      </c>
      <c r="P201" s="7">
        <v>0</v>
      </c>
      <c r="Q201" s="7">
        <v>0</v>
      </c>
      <c r="R201" s="7">
        <v>0</v>
      </c>
      <c r="S201" s="7">
        <v>0</v>
      </c>
      <c r="T201" s="7">
        <v>0</v>
      </c>
      <c r="U201" s="7">
        <v>0</v>
      </c>
      <c r="V201" s="7">
        <v>0</v>
      </c>
      <c r="W201" s="7">
        <v>0</v>
      </c>
    </row>
    <row r="202" spans="1:23">
      <c r="B202" s="499" t="s">
        <v>208</v>
      </c>
      <c r="C202" s="499" t="s">
        <v>209</v>
      </c>
      <c r="D202" s="7">
        <v>0</v>
      </c>
      <c r="E202" s="7">
        <v>0</v>
      </c>
      <c r="F202" s="7">
        <v>0</v>
      </c>
      <c r="G202" s="7">
        <v>0</v>
      </c>
      <c r="H202" s="7">
        <v>0</v>
      </c>
      <c r="I202" s="7">
        <v>0</v>
      </c>
      <c r="J202" s="7">
        <v>0</v>
      </c>
      <c r="K202" s="7">
        <v>0</v>
      </c>
      <c r="L202" s="7">
        <v>0</v>
      </c>
      <c r="M202" s="7">
        <v>0</v>
      </c>
      <c r="N202" s="7">
        <v>0</v>
      </c>
      <c r="O202" s="7">
        <v>0</v>
      </c>
      <c r="P202" s="7">
        <v>0</v>
      </c>
      <c r="Q202" s="7">
        <v>0</v>
      </c>
      <c r="R202" s="7">
        <v>0</v>
      </c>
      <c r="S202" s="7">
        <v>0</v>
      </c>
      <c r="T202" s="7">
        <v>0</v>
      </c>
      <c r="U202" s="7">
        <v>0</v>
      </c>
      <c r="V202" s="7">
        <v>0</v>
      </c>
      <c r="W202" s="7">
        <v>0</v>
      </c>
    </row>
    <row r="203" spans="1:23">
      <c r="B203" s="499" t="s">
        <v>211</v>
      </c>
      <c r="C203" s="499" t="s">
        <v>212</v>
      </c>
      <c r="D203" s="7">
        <v>0</v>
      </c>
      <c r="E203" s="7">
        <v>0</v>
      </c>
      <c r="F203" s="7">
        <v>0</v>
      </c>
      <c r="G203" s="7">
        <v>0</v>
      </c>
      <c r="H203" s="7">
        <v>0</v>
      </c>
      <c r="I203" s="7">
        <v>0</v>
      </c>
      <c r="J203" s="7">
        <v>0</v>
      </c>
      <c r="K203" s="7">
        <v>0</v>
      </c>
      <c r="L203" s="7">
        <v>0</v>
      </c>
      <c r="M203" s="7">
        <v>0</v>
      </c>
      <c r="N203" s="7">
        <v>0</v>
      </c>
      <c r="O203" s="7">
        <v>0</v>
      </c>
      <c r="P203" s="7">
        <v>0</v>
      </c>
      <c r="Q203" s="7">
        <v>0</v>
      </c>
      <c r="R203" s="7">
        <v>0</v>
      </c>
      <c r="S203" s="7">
        <v>0</v>
      </c>
      <c r="T203" s="7">
        <v>0</v>
      </c>
      <c r="U203" s="7">
        <v>0</v>
      </c>
      <c r="V203" s="7">
        <v>0</v>
      </c>
      <c r="W203" s="7">
        <v>0</v>
      </c>
    </row>
    <row r="204" spans="1:23">
      <c r="B204" s="499" t="s">
        <v>213</v>
      </c>
      <c r="C204" s="499" t="s">
        <v>214</v>
      </c>
      <c r="D204" s="7">
        <v>0</v>
      </c>
      <c r="E204" s="7">
        <v>0</v>
      </c>
      <c r="F204" s="7">
        <v>0</v>
      </c>
      <c r="G204" s="7">
        <v>0</v>
      </c>
      <c r="H204" s="7">
        <v>0</v>
      </c>
      <c r="I204" s="7">
        <v>0</v>
      </c>
      <c r="J204" s="7">
        <v>0</v>
      </c>
      <c r="K204" s="7">
        <v>0</v>
      </c>
      <c r="L204" s="7">
        <v>0</v>
      </c>
      <c r="M204" s="7">
        <v>0</v>
      </c>
      <c r="N204" s="7">
        <v>0</v>
      </c>
      <c r="O204" s="7">
        <v>0</v>
      </c>
      <c r="P204" s="7">
        <v>0</v>
      </c>
      <c r="Q204" s="7">
        <v>0</v>
      </c>
      <c r="R204" s="7">
        <v>0</v>
      </c>
      <c r="S204" s="7">
        <v>0</v>
      </c>
      <c r="T204" s="7">
        <v>0</v>
      </c>
      <c r="U204" s="7">
        <v>0</v>
      </c>
      <c r="V204" s="7">
        <v>0</v>
      </c>
      <c r="W204" s="7">
        <v>0</v>
      </c>
    </row>
    <row r="205" spans="1:23">
      <c r="B205" s="499" t="s">
        <v>215</v>
      </c>
      <c r="C205" s="499" t="s">
        <v>216</v>
      </c>
      <c r="D205" s="7">
        <v>0</v>
      </c>
      <c r="E205" s="7">
        <v>0</v>
      </c>
      <c r="F205" s="7">
        <v>0</v>
      </c>
      <c r="G205" s="7">
        <v>0</v>
      </c>
      <c r="H205" s="7">
        <v>0</v>
      </c>
      <c r="I205" s="7">
        <v>0</v>
      </c>
      <c r="J205" s="7">
        <v>0</v>
      </c>
      <c r="K205" s="7">
        <v>0</v>
      </c>
      <c r="L205" s="7">
        <v>0</v>
      </c>
      <c r="M205" s="7">
        <v>0</v>
      </c>
      <c r="N205" s="7">
        <v>0</v>
      </c>
      <c r="O205" s="7">
        <v>0</v>
      </c>
      <c r="P205" s="7">
        <v>0</v>
      </c>
      <c r="Q205" s="7">
        <v>0</v>
      </c>
      <c r="R205" s="7">
        <v>0</v>
      </c>
      <c r="S205" s="7">
        <v>0</v>
      </c>
      <c r="T205" s="7">
        <v>0</v>
      </c>
      <c r="U205" s="7">
        <v>0</v>
      </c>
      <c r="V205" s="7">
        <v>0</v>
      </c>
      <c r="W205" s="7">
        <v>0</v>
      </c>
    </row>
    <row r="206" spans="1:23">
      <c r="B206" s="499" t="s">
        <v>217</v>
      </c>
      <c r="C206" s="499" t="s">
        <v>218</v>
      </c>
      <c r="D206" s="7">
        <v>0</v>
      </c>
      <c r="E206" s="7">
        <v>0</v>
      </c>
      <c r="F206" s="7">
        <v>0</v>
      </c>
      <c r="G206" s="7">
        <v>0</v>
      </c>
      <c r="H206" s="7">
        <v>0</v>
      </c>
      <c r="I206" s="7">
        <v>0</v>
      </c>
      <c r="J206" s="7">
        <v>0</v>
      </c>
      <c r="K206" s="7">
        <v>0</v>
      </c>
      <c r="L206" s="7">
        <v>0</v>
      </c>
      <c r="M206" s="7">
        <v>0</v>
      </c>
      <c r="N206" s="7">
        <v>0</v>
      </c>
      <c r="O206" s="7">
        <v>0</v>
      </c>
      <c r="P206" s="7">
        <v>0</v>
      </c>
      <c r="Q206" s="7">
        <v>0</v>
      </c>
      <c r="R206" s="7">
        <v>0</v>
      </c>
      <c r="S206" s="7">
        <v>0</v>
      </c>
      <c r="T206" s="7">
        <v>0</v>
      </c>
      <c r="U206" s="7">
        <v>0</v>
      </c>
      <c r="V206" s="7">
        <v>0</v>
      </c>
      <c r="W206" s="7">
        <v>0</v>
      </c>
    </row>
    <row r="207" spans="1:23">
      <c r="B207" s="499" t="s">
        <v>219</v>
      </c>
      <c r="C207" s="499" t="s">
        <v>220</v>
      </c>
      <c r="D207" s="7">
        <v>0</v>
      </c>
      <c r="E207" s="7">
        <v>0</v>
      </c>
      <c r="F207" s="7">
        <v>0</v>
      </c>
      <c r="G207" s="7">
        <v>0</v>
      </c>
      <c r="H207" s="7">
        <v>0</v>
      </c>
      <c r="I207" s="7">
        <v>0</v>
      </c>
      <c r="J207" s="7">
        <v>0</v>
      </c>
      <c r="K207" s="7">
        <v>0</v>
      </c>
      <c r="L207" s="7">
        <v>0</v>
      </c>
      <c r="M207" s="7">
        <v>0</v>
      </c>
      <c r="N207" s="7">
        <v>0</v>
      </c>
      <c r="O207" s="7">
        <v>0</v>
      </c>
      <c r="P207" s="7">
        <v>0</v>
      </c>
      <c r="Q207" s="7">
        <v>0</v>
      </c>
      <c r="R207" s="7">
        <v>0</v>
      </c>
      <c r="S207" s="7">
        <v>0</v>
      </c>
      <c r="T207" s="7">
        <v>0</v>
      </c>
      <c r="U207" s="7">
        <v>0</v>
      </c>
      <c r="V207" s="7">
        <v>0</v>
      </c>
      <c r="W207" s="7">
        <v>0</v>
      </c>
    </row>
    <row r="208" spans="1:23">
      <c r="B208" s="499" t="s">
        <v>221</v>
      </c>
      <c r="C208" s="499" t="s">
        <v>222</v>
      </c>
      <c r="D208" s="7">
        <v>0</v>
      </c>
      <c r="E208" s="7">
        <v>0</v>
      </c>
      <c r="F208" s="7">
        <v>0</v>
      </c>
      <c r="G208" s="7">
        <v>0</v>
      </c>
      <c r="H208" s="7">
        <v>0</v>
      </c>
      <c r="I208" s="7">
        <v>0</v>
      </c>
      <c r="J208" s="7">
        <v>0</v>
      </c>
      <c r="K208" s="7">
        <v>0</v>
      </c>
      <c r="L208" s="7">
        <v>0</v>
      </c>
      <c r="M208" s="7">
        <v>0</v>
      </c>
      <c r="N208" s="7">
        <v>0</v>
      </c>
      <c r="O208" s="7">
        <v>0</v>
      </c>
      <c r="P208" s="7">
        <v>0</v>
      </c>
      <c r="Q208" s="7">
        <v>0</v>
      </c>
      <c r="R208" s="7">
        <v>0</v>
      </c>
      <c r="S208" s="7">
        <v>0</v>
      </c>
      <c r="T208" s="7">
        <v>0</v>
      </c>
      <c r="U208" s="7">
        <v>0</v>
      </c>
      <c r="V208" s="7">
        <v>0</v>
      </c>
      <c r="W208" s="7">
        <v>0</v>
      </c>
    </row>
    <row r="209" spans="2:23">
      <c r="B209" s="499" t="s">
        <v>223</v>
      </c>
      <c r="C209" s="499" t="s">
        <v>224</v>
      </c>
      <c r="D209" s="7">
        <v>0</v>
      </c>
      <c r="E209" s="7">
        <v>0</v>
      </c>
      <c r="F209" s="7">
        <v>0</v>
      </c>
      <c r="G209" s="7">
        <v>0</v>
      </c>
      <c r="H209" s="7">
        <v>0</v>
      </c>
      <c r="I209" s="7">
        <v>0</v>
      </c>
      <c r="J209" s="7">
        <v>0</v>
      </c>
      <c r="K209" s="7">
        <v>0</v>
      </c>
      <c r="L209" s="7">
        <v>0</v>
      </c>
      <c r="M209" s="7">
        <v>0</v>
      </c>
      <c r="N209" s="7">
        <v>0</v>
      </c>
      <c r="O209" s="7">
        <v>0</v>
      </c>
      <c r="P209" s="7">
        <v>0</v>
      </c>
      <c r="Q209" s="7">
        <v>0</v>
      </c>
      <c r="R209" s="7">
        <v>0</v>
      </c>
      <c r="S209" s="7">
        <v>0</v>
      </c>
      <c r="T209" s="7">
        <v>0</v>
      </c>
      <c r="U209" s="7">
        <v>0</v>
      </c>
      <c r="V209" s="7">
        <v>0</v>
      </c>
      <c r="W209" s="7">
        <v>0</v>
      </c>
    </row>
    <row r="210" spans="2:23">
      <c r="B210" s="499" t="s">
        <v>225</v>
      </c>
      <c r="C210" s="499" t="s">
        <v>226</v>
      </c>
      <c r="D210" s="7">
        <v>0</v>
      </c>
      <c r="E210" s="7">
        <v>0</v>
      </c>
      <c r="F210" s="7">
        <v>0</v>
      </c>
      <c r="G210" s="7">
        <v>0</v>
      </c>
      <c r="H210" s="7">
        <v>0</v>
      </c>
      <c r="I210" s="7">
        <v>0</v>
      </c>
      <c r="J210" s="7">
        <v>0</v>
      </c>
      <c r="K210" s="7">
        <v>0</v>
      </c>
      <c r="L210" s="7">
        <v>0</v>
      </c>
      <c r="M210" s="7">
        <v>0</v>
      </c>
      <c r="N210" s="7">
        <v>0</v>
      </c>
      <c r="O210" s="7">
        <v>0</v>
      </c>
      <c r="P210" s="7">
        <v>0</v>
      </c>
      <c r="Q210" s="7">
        <v>0</v>
      </c>
      <c r="R210" s="7">
        <v>0</v>
      </c>
      <c r="S210" s="7">
        <v>0</v>
      </c>
      <c r="T210" s="7">
        <v>0</v>
      </c>
      <c r="U210" s="7">
        <v>0</v>
      </c>
      <c r="V210" s="7">
        <v>0</v>
      </c>
      <c r="W210" s="7">
        <v>0</v>
      </c>
    </row>
  </sheetData>
  <pageMargins left="0.7" right="0.7" top="0.75" bottom="0.75" header="0.3" footer="0.3"/>
  <pageSetup orientation="portrait" horizontalDpi="360" verticalDpi="36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O35"/>
  <sheetViews>
    <sheetView topLeftCell="A20" workbookViewId="0">
      <selection activeCell="H18" sqref="H18"/>
    </sheetView>
  </sheetViews>
  <sheetFormatPr defaultRowHeight="14.4"/>
  <cols>
    <col min="2" max="2" width="24.5546875" customWidth="1"/>
    <col min="3" max="4" width="11.109375" bestFit="1" customWidth="1"/>
    <col min="5" max="5" width="14.6640625" bestFit="1" customWidth="1"/>
    <col min="6" max="6" width="12" bestFit="1" customWidth="1"/>
    <col min="11" max="11" width="13.5546875" customWidth="1"/>
  </cols>
  <sheetData>
    <row r="1" spans="2:15" ht="18">
      <c r="B1" s="573" t="s">
        <v>989</v>
      </c>
    </row>
    <row r="3" spans="2:15">
      <c r="B3" s="570" t="s">
        <v>971</v>
      </c>
    </row>
    <row r="4" spans="2:15">
      <c r="B4" s="570" t="s">
        <v>1107</v>
      </c>
    </row>
    <row r="5" spans="2:15">
      <c r="B5" s="569"/>
    </row>
    <row r="6" spans="2:15">
      <c r="B6" s="570" t="s">
        <v>973</v>
      </c>
    </row>
    <row r="7" spans="2:15">
      <c r="B7" s="570" t="s">
        <v>974</v>
      </c>
    </row>
    <row r="8" spans="2:15">
      <c r="B8" s="569"/>
      <c r="K8" s="46" t="s">
        <v>1110</v>
      </c>
      <c r="L8" s="46" t="s">
        <v>562</v>
      </c>
      <c r="M8" s="46" t="s">
        <v>563</v>
      </c>
      <c r="N8" s="46" t="s">
        <v>1113</v>
      </c>
      <c r="O8" s="46" t="s">
        <v>1114</v>
      </c>
    </row>
    <row r="9" spans="2:15">
      <c r="B9" s="570" t="s">
        <v>975</v>
      </c>
      <c r="K9" t="s">
        <v>1111</v>
      </c>
      <c r="L9">
        <f t="shared" ref="L9:N10" si="0">C11</f>
        <v>3.7074099999999999</v>
      </c>
      <c r="M9" s="499">
        <f t="shared" si="0"/>
        <v>0.31234000000000001</v>
      </c>
      <c r="N9" s="499">
        <f t="shared" si="0"/>
        <v>11.87</v>
      </c>
      <c r="O9" s="45" t="s">
        <v>1122</v>
      </c>
    </row>
    <row r="10" spans="2:15">
      <c r="B10" s="570"/>
      <c r="C10" t="s">
        <v>562</v>
      </c>
      <c r="D10" t="s">
        <v>1115</v>
      </c>
      <c r="E10" t="s">
        <v>1116</v>
      </c>
      <c r="F10" t="s">
        <v>1113</v>
      </c>
      <c r="G10" t="s">
        <v>1117</v>
      </c>
      <c r="H10" t="s">
        <v>1118</v>
      </c>
      <c r="K10" t="s">
        <v>1112</v>
      </c>
      <c r="L10" s="499">
        <f t="shared" si="0"/>
        <v>0.21673000000000001</v>
      </c>
      <c r="M10" s="499">
        <f t="shared" si="0"/>
        <v>2.5139999999999999E-2</v>
      </c>
      <c r="N10" s="499">
        <f t="shared" si="0"/>
        <v>8.6229999999999993</v>
      </c>
      <c r="O10" s="45" t="s">
        <v>1122</v>
      </c>
    </row>
    <row r="11" spans="2:15">
      <c r="B11" s="570" t="s">
        <v>1119</v>
      </c>
      <c r="C11">
        <v>3.7074099999999999</v>
      </c>
      <c r="D11">
        <v>0.31234000000000001</v>
      </c>
      <c r="E11">
        <v>11.87</v>
      </c>
      <c r="F11" t="s">
        <v>1120</v>
      </c>
      <c r="G11" s="431">
        <v>2E-16</v>
      </c>
      <c r="H11" t="s">
        <v>1121</v>
      </c>
      <c r="K11" t="s">
        <v>1128</v>
      </c>
    </row>
    <row r="12" spans="2:15">
      <c r="B12" s="570" t="s">
        <v>979</v>
      </c>
      <c r="C12">
        <v>0.21673000000000001</v>
      </c>
      <c r="D12">
        <v>2.5139999999999999E-2</v>
      </c>
      <c r="E12">
        <v>8.6229999999999993</v>
      </c>
      <c r="F12" s="431">
        <v>1.34E-11</v>
      </c>
      <c r="G12" t="s">
        <v>1121</v>
      </c>
      <c r="K12" t="s">
        <v>1123</v>
      </c>
    </row>
    <row r="13" spans="2:15">
      <c r="B13" s="570" t="s">
        <v>976</v>
      </c>
      <c r="K13" t="s">
        <v>1130</v>
      </c>
    </row>
    <row r="14" spans="2:15" ht="16.2">
      <c r="B14" s="570" t="s">
        <v>977</v>
      </c>
      <c r="K14" t="s">
        <v>1131</v>
      </c>
    </row>
    <row r="15" spans="2:15">
      <c r="B15" s="569"/>
    </row>
    <row r="16" spans="2:15">
      <c r="B16" s="570" t="s">
        <v>1108</v>
      </c>
    </row>
    <row r="17" spans="2:10">
      <c r="B17" s="569"/>
    </row>
    <row r="18" spans="2:10">
      <c r="B18" s="570" t="s">
        <v>987</v>
      </c>
    </row>
    <row r="19" spans="2:10" ht="15" thickBot="1">
      <c r="J19" s="27"/>
    </row>
    <row r="20" spans="2:10" ht="21.6" thickBot="1">
      <c r="B20" s="574">
        <v>124834143</v>
      </c>
      <c r="C20" s="577" t="s">
        <v>1002</v>
      </c>
      <c r="D20" s="575"/>
      <c r="E20" s="575"/>
      <c r="F20" s="575"/>
      <c r="G20" s="576"/>
      <c r="J20" s="27"/>
    </row>
    <row r="21" spans="2:10">
      <c r="B21" s="616" t="s">
        <v>1109</v>
      </c>
    </row>
    <row r="23" spans="2:10">
      <c r="B23" s="245"/>
      <c r="C23" s="245"/>
      <c r="D23" s="245"/>
    </row>
    <row r="24" spans="2:10">
      <c r="B24">
        <f>B20/5174</f>
        <v>24127.20197139544</v>
      </c>
      <c r="C24">
        <v>23388</v>
      </c>
      <c r="D24" t="s">
        <v>1134</v>
      </c>
      <c r="E24" s="619">
        <f>C24*5176</f>
        <v>121056288</v>
      </c>
      <c r="F24" s="39">
        <f>1/(B20/E24)</f>
        <v>0.96973700536398932</v>
      </c>
    </row>
    <row r="25" spans="2:10">
      <c r="B25" t="s">
        <v>1003</v>
      </c>
    </row>
    <row r="26" spans="2:10">
      <c r="B26" t="s">
        <v>1004</v>
      </c>
    </row>
    <row r="27" spans="2:10">
      <c r="B27" t="s">
        <v>1005</v>
      </c>
    </row>
    <row r="28" spans="2:10">
      <c r="B28" t="s">
        <v>1006</v>
      </c>
    </row>
    <row r="29" spans="2:10">
      <c r="B29" t="s">
        <v>1007</v>
      </c>
    </row>
    <row r="30" spans="2:10">
      <c r="B30" t="s">
        <v>1008</v>
      </c>
    </row>
    <row r="32" spans="2:10">
      <c r="B32">
        <f>B24/0.6</f>
        <v>40212.00328565907</v>
      </c>
    </row>
    <row r="33" spans="2:3">
      <c r="B33">
        <f>B24/0.5</f>
        <v>48254.403942790879</v>
      </c>
    </row>
    <row r="35" spans="2:3">
      <c r="C35" s="57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O48"/>
  <sheetViews>
    <sheetView zoomScaleNormal="100" workbookViewId="0">
      <selection activeCell="A22" sqref="A22"/>
    </sheetView>
  </sheetViews>
  <sheetFormatPr defaultRowHeight="14.4"/>
  <cols>
    <col min="2" max="2" width="15.5546875" bestFit="1" customWidth="1"/>
    <col min="3" max="3" width="12.44140625" customWidth="1"/>
    <col min="4" max="4" width="12" bestFit="1" customWidth="1"/>
  </cols>
  <sheetData>
    <row r="1" spans="2:15" ht="18">
      <c r="B1" s="573" t="s">
        <v>988</v>
      </c>
    </row>
    <row r="2" spans="2:15">
      <c r="B2" s="570" t="s">
        <v>971</v>
      </c>
    </row>
    <row r="3" spans="2:15">
      <c r="B3" s="570" t="s">
        <v>972</v>
      </c>
      <c r="I3" s="616"/>
      <c r="J3" s="617" t="s">
        <v>1106</v>
      </c>
      <c r="K3" s="616">
        <v>0.93140000000000001</v>
      </c>
    </row>
    <row r="4" spans="2:15">
      <c r="B4" s="570" t="s">
        <v>1097</v>
      </c>
    </row>
    <row r="5" spans="2:15">
      <c r="B5" s="569"/>
    </row>
    <row r="6" spans="2:15">
      <c r="B6" s="570" t="s">
        <v>973</v>
      </c>
    </row>
    <row r="7" spans="2:15">
      <c r="B7" s="570" t="s">
        <v>974</v>
      </c>
    </row>
    <row r="8" spans="2:15">
      <c r="B8" s="569"/>
      <c r="K8" s="46" t="s">
        <v>1110</v>
      </c>
      <c r="L8" s="46" t="s">
        <v>562</v>
      </c>
      <c r="M8" s="46" t="s">
        <v>563</v>
      </c>
      <c r="N8" s="46" t="s">
        <v>1113</v>
      </c>
      <c r="O8" s="46" t="s">
        <v>1114</v>
      </c>
    </row>
    <row r="9" spans="2:15">
      <c r="B9" s="570" t="s">
        <v>975</v>
      </c>
      <c r="K9" s="499" t="s">
        <v>1111</v>
      </c>
      <c r="L9" s="499">
        <f t="shared" ref="L9:N10" si="0">C11</f>
        <v>4.9978899999999999</v>
      </c>
      <c r="M9" s="499">
        <f t="shared" si="0"/>
        <v>6.2577999999999995E-2</v>
      </c>
      <c r="N9" s="499">
        <f t="shared" si="0"/>
        <v>79.866</v>
      </c>
      <c r="O9" s="618" t="s">
        <v>1122</v>
      </c>
    </row>
    <row r="10" spans="2:15">
      <c r="B10" s="570"/>
      <c r="C10" t="s">
        <v>562</v>
      </c>
      <c r="D10" t="s">
        <v>1115</v>
      </c>
      <c r="E10" t="s">
        <v>1116</v>
      </c>
      <c r="F10" t="s">
        <v>1113</v>
      </c>
      <c r="G10" t="s">
        <v>1117</v>
      </c>
      <c r="H10" t="s">
        <v>1118</v>
      </c>
      <c r="K10" s="499" t="s">
        <v>1112</v>
      </c>
      <c r="L10" s="499">
        <f t="shared" si="0"/>
        <v>0.14208100000000001</v>
      </c>
      <c r="M10" s="499">
        <f t="shared" si="0"/>
        <v>5.7229999999999998E-3</v>
      </c>
      <c r="N10" s="499">
        <f t="shared" si="0"/>
        <v>24.826000000000001</v>
      </c>
      <c r="O10" s="618" t="s">
        <v>1122</v>
      </c>
    </row>
    <row r="11" spans="2:15">
      <c r="B11" s="570" t="s">
        <v>1119</v>
      </c>
      <c r="C11">
        <v>4.9978899999999999</v>
      </c>
      <c r="D11">
        <v>6.2577999999999995E-2</v>
      </c>
      <c r="E11">
        <v>79.866</v>
      </c>
      <c r="F11" s="431">
        <v>2E-16</v>
      </c>
      <c r="H11" t="s">
        <v>1121</v>
      </c>
      <c r="K11" t="s">
        <v>1132</v>
      </c>
      <c r="L11" s="499">
        <f>C13</f>
        <v>-0.30677199999999999</v>
      </c>
      <c r="M11" s="499">
        <f>D13</f>
        <v>1.175638</v>
      </c>
      <c r="N11" s="499">
        <f t="shared" ref="N11:O12" si="1">E13</f>
        <v>-0.26100000000000001</v>
      </c>
      <c r="O11" s="76">
        <f t="shared" si="1"/>
        <v>0.79500000000000004</v>
      </c>
    </row>
    <row r="12" spans="2:15">
      <c r="B12" s="570" t="s">
        <v>979</v>
      </c>
      <c r="C12">
        <v>0.14208100000000001</v>
      </c>
      <c r="D12">
        <v>5.7229999999999998E-3</v>
      </c>
      <c r="E12">
        <v>24.826000000000001</v>
      </c>
      <c r="F12" s="431">
        <v>2E-16</v>
      </c>
      <c r="H12" t="s">
        <v>1121</v>
      </c>
      <c r="K12" t="s">
        <v>1133</v>
      </c>
      <c r="L12" s="499">
        <f>C14</f>
        <v>-0.48937199999999997</v>
      </c>
      <c r="M12" s="499">
        <f>D14</f>
        <v>9.7921999999999995E-2</v>
      </c>
      <c r="N12" s="499">
        <f t="shared" si="1"/>
        <v>-4.9980000000000002</v>
      </c>
      <c r="O12" s="618" t="s">
        <v>1122</v>
      </c>
    </row>
    <row r="13" spans="2:15">
      <c r="B13" s="570" t="s">
        <v>980</v>
      </c>
      <c r="C13">
        <v>-0.30677199999999999</v>
      </c>
      <c r="D13">
        <v>1.175638</v>
      </c>
      <c r="E13">
        <v>-0.26100000000000001</v>
      </c>
      <c r="F13">
        <v>0.79500000000000004</v>
      </c>
      <c r="K13" s="499" t="s">
        <v>1125</v>
      </c>
      <c r="L13" s="499"/>
      <c r="M13" s="499"/>
      <c r="N13" s="499"/>
      <c r="O13" s="499"/>
    </row>
    <row r="14" spans="2:15">
      <c r="B14" s="570" t="s">
        <v>1127</v>
      </c>
      <c r="C14">
        <v>-0.48937199999999997</v>
      </c>
      <c r="D14">
        <v>9.7921999999999995E-2</v>
      </c>
      <c r="E14">
        <v>-4.9980000000000002</v>
      </c>
      <c r="F14" s="431">
        <v>7.5000000000000002E-6</v>
      </c>
      <c r="G14" t="s">
        <v>1121</v>
      </c>
      <c r="K14" s="499" t="s">
        <v>1129</v>
      </c>
      <c r="L14" s="499"/>
      <c r="M14" s="499"/>
      <c r="N14" s="499"/>
      <c r="O14" s="499"/>
    </row>
    <row r="15" spans="2:15">
      <c r="B15" s="570" t="s">
        <v>976</v>
      </c>
      <c r="K15" s="499" t="s">
        <v>1124</v>
      </c>
      <c r="L15" s="499"/>
      <c r="M15" s="499"/>
      <c r="N15" s="499"/>
      <c r="O15" s="499"/>
    </row>
    <row r="16" spans="2:15" ht="16.2">
      <c r="B16" s="570" t="s">
        <v>977</v>
      </c>
      <c r="K16" s="499" t="s">
        <v>1126</v>
      </c>
    </row>
    <row r="17" spans="1:9">
      <c r="B17" s="569"/>
    </row>
    <row r="18" spans="1:9">
      <c r="B18" s="570" t="s">
        <v>1098</v>
      </c>
    </row>
    <row r="19" spans="1:9">
      <c r="B19" s="569"/>
    </row>
    <row r="20" spans="1:9">
      <c r="B20" s="570" t="s">
        <v>978</v>
      </c>
    </row>
    <row r="21" spans="1:9" ht="15" thickBot="1"/>
    <row r="22" spans="1:9" ht="21.6" thickBot="1">
      <c r="A22">
        <v>1</v>
      </c>
      <c r="B22" s="574">
        <v>1865950</v>
      </c>
      <c r="C22" s="577" t="s">
        <v>1104</v>
      </c>
      <c r="D22" s="575"/>
      <c r="E22" s="575"/>
      <c r="F22" s="575"/>
      <c r="G22" s="576"/>
      <c r="I22" s="27">
        <f>B22/B23</f>
        <v>1.5968831702317938</v>
      </c>
    </row>
    <row r="23" spans="1:9" ht="21.6" thickBot="1">
      <c r="A23">
        <v>0</v>
      </c>
      <c r="B23" s="574">
        <v>1168495</v>
      </c>
      <c r="C23" s="577" t="s">
        <v>1001</v>
      </c>
      <c r="D23" s="575"/>
      <c r="E23" s="575"/>
      <c r="F23" s="575"/>
      <c r="G23" s="576"/>
      <c r="I23" s="27"/>
    </row>
    <row r="24" spans="1:9" ht="21.6" thickBot="1">
      <c r="A24">
        <v>2</v>
      </c>
      <c r="B24" s="574">
        <v>1277604</v>
      </c>
      <c r="C24" s="577" t="s">
        <v>1105</v>
      </c>
      <c r="I24" s="27">
        <f>B24/B23</f>
        <v>1.0933756669904451</v>
      </c>
    </row>
    <row r="26" spans="1:9">
      <c r="B26" s="570" t="s">
        <v>1101</v>
      </c>
    </row>
    <row r="27" spans="1:9">
      <c r="B27" s="570" t="s">
        <v>1102</v>
      </c>
    </row>
    <row r="28" spans="1:9">
      <c r="B28" s="570" t="s">
        <v>1103</v>
      </c>
    </row>
    <row r="30" spans="1:9">
      <c r="D30">
        <f>1278432/B23</f>
        <v>1.0940842707927718</v>
      </c>
      <c r="E30">
        <f>B23/1278432</f>
        <v>0.91400637656128758</v>
      </c>
    </row>
    <row r="33" spans="2:4">
      <c r="B33" s="571" t="s">
        <v>969</v>
      </c>
      <c r="C33" s="571" t="s">
        <v>970</v>
      </c>
      <c r="D33" t="s">
        <v>985</v>
      </c>
    </row>
    <row r="34" spans="2:4">
      <c r="B34" s="18">
        <v>0.57842205323193918</v>
      </c>
      <c r="C34" s="18">
        <v>0.42157794676806082</v>
      </c>
      <c r="D34" t="s">
        <v>986</v>
      </c>
    </row>
    <row r="36" spans="2:4">
      <c r="B36" t="s">
        <v>990</v>
      </c>
    </row>
    <row r="37" spans="2:4">
      <c r="B37" t="s">
        <v>991</v>
      </c>
    </row>
    <row r="38" spans="2:4">
      <c r="B38" t="s">
        <v>992</v>
      </c>
    </row>
    <row r="39" spans="2:4">
      <c r="B39" t="s">
        <v>993</v>
      </c>
    </row>
    <row r="40" spans="2:4">
      <c r="B40" t="s">
        <v>1099</v>
      </c>
    </row>
    <row r="41" spans="2:4">
      <c r="B41" t="s">
        <v>994</v>
      </c>
    </row>
    <row r="42" spans="2:4">
      <c r="B42" t="s">
        <v>995</v>
      </c>
    </row>
    <row r="43" spans="2:4">
      <c r="B43" t="s">
        <v>996</v>
      </c>
    </row>
    <row r="44" spans="2:4">
      <c r="B44" t="s">
        <v>997</v>
      </c>
    </row>
    <row r="45" spans="2:4">
      <c r="B45" t="s">
        <v>998</v>
      </c>
    </row>
    <row r="46" spans="2:4">
      <c r="B46" t="s">
        <v>999</v>
      </c>
    </row>
    <row r="47" spans="2:4">
      <c r="B47" t="s">
        <v>1000</v>
      </c>
    </row>
    <row r="48" spans="2:4">
      <c r="B48" t="s">
        <v>1100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7"/>
  <sheetViews>
    <sheetView workbookViewId="0">
      <selection activeCell="J13" sqref="J13"/>
    </sheetView>
  </sheetViews>
  <sheetFormatPr defaultColWidth="9.109375" defaultRowHeight="14.4"/>
  <cols>
    <col min="1" max="1" width="9.109375" style="499"/>
    <col min="2" max="5" width="9.109375" style="28"/>
    <col min="6" max="6" width="9.109375" style="65"/>
    <col min="7" max="8" width="9.109375" style="38"/>
    <col min="9" max="10" width="9.109375" style="499"/>
    <col min="11" max="11" width="9" style="499" bestFit="1" customWidth="1"/>
    <col min="12" max="16384" width="9.109375" style="499"/>
  </cols>
  <sheetData>
    <row r="1" spans="1:13">
      <c r="A1" s="499" t="s">
        <v>1141</v>
      </c>
    </row>
    <row r="2" spans="1:13">
      <c r="B2" s="28" t="s">
        <v>1042</v>
      </c>
      <c r="C2" s="622" t="s">
        <v>1142</v>
      </c>
      <c r="D2" s="132"/>
      <c r="E2" s="622"/>
      <c r="F2" s="623" t="s">
        <v>1143</v>
      </c>
      <c r="G2" s="624"/>
      <c r="H2" s="624"/>
    </row>
    <row r="3" spans="1:13">
      <c r="A3" s="499" t="s">
        <v>618</v>
      </c>
      <c r="B3" s="28" t="s">
        <v>1144</v>
      </c>
      <c r="C3" s="132" t="s">
        <v>1145</v>
      </c>
      <c r="D3" s="132" t="s">
        <v>1078</v>
      </c>
      <c r="E3" s="132" t="s">
        <v>1146</v>
      </c>
      <c r="F3" s="625" t="s">
        <v>1145</v>
      </c>
      <c r="G3" s="624" t="s">
        <v>1078</v>
      </c>
      <c r="H3" s="624" t="s">
        <v>1146</v>
      </c>
    </row>
    <row r="4" spans="1:13">
      <c r="A4" s="499">
        <v>323</v>
      </c>
      <c r="B4" s="26">
        <v>864.74902899999995</v>
      </c>
      <c r="C4" s="10">
        <v>21.599999999999998</v>
      </c>
      <c r="D4" s="10">
        <v>21.599999999999998</v>
      </c>
      <c r="E4" s="10">
        <v>21.599999999999998</v>
      </c>
      <c r="F4" s="65">
        <f t="shared" ref="F4:H19" si="0">(97.886/(1+EXP(-((C4-24.35322)/-0.5033))))/100</f>
        <v>0.97475645241763909</v>
      </c>
      <c r="G4" s="65">
        <f t="shared" si="0"/>
        <v>0.97475645241763909</v>
      </c>
      <c r="H4" s="65">
        <f t="shared" si="0"/>
        <v>0.97475645241763909</v>
      </c>
    </row>
    <row r="5" spans="1:13">
      <c r="A5" s="499">
        <v>348</v>
      </c>
      <c r="B5" s="26">
        <v>998.70048299999996</v>
      </c>
      <c r="C5" s="10">
        <v>21.599999999999998</v>
      </c>
      <c r="D5" s="10">
        <v>21.599999999999998</v>
      </c>
      <c r="E5" s="10">
        <v>21.599999999999998</v>
      </c>
      <c r="F5" s="65">
        <f>(97.886/(1+EXP(-((C5-24.35322)/-0.5033))))/100</f>
        <v>0.97475645241763909</v>
      </c>
      <c r="G5" s="65">
        <f t="shared" si="0"/>
        <v>0.97475645241763909</v>
      </c>
      <c r="H5" s="65">
        <f t="shared" si="0"/>
        <v>0.97475645241763909</v>
      </c>
      <c r="J5" s="1" t="s">
        <v>1147</v>
      </c>
    </row>
    <row r="6" spans="1:13">
      <c r="A6" s="499">
        <v>13</v>
      </c>
      <c r="B6" s="26">
        <v>999.28890899999999</v>
      </c>
      <c r="C6" s="10">
        <v>21.599999999999998</v>
      </c>
      <c r="D6" s="10">
        <v>21.599999999999998</v>
      </c>
      <c r="E6" s="10">
        <v>21.599999999999998</v>
      </c>
      <c r="F6" s="65">
        <f t="shared" ref="F6:H69" si="1">(97.886/(1+EXP(-((C6-24.35322)/-0.5033))))/100</f>
        <v>0.97475645241763909</v>
      </c>
      <c r="G6" s="65">
        <f t="shared" si="0"/>
        <v>0.97475645241763909</v>
      </c>
      <c r="H6" s="65">
        <f t="shared" si="0"/>
        <v>0.97475645241763909</v>
      </c>
      <c r="K6" s="263">
        <f>SUMPRODUCT(B4:B487,F4:F487)/SUM(B4:B487)</f>
        <v>0.73376111023660284</v>
      </c>
      <c r="L6" s="499" t="s">
        <v>1145</v>
      </c>
      <c r="M6" s="499" t="s">
        <v>1148</v>
      </c>
    </row>
    <row r="7" spans="1:13">
      <c r="A7" s="499">
        <v>353</v>
      </c>
      <c r="B7" s="26">
        <v>999.54353700000001</v>
      </c>
      <c r="C7" s="10">
        <v>21.599999999999998</v>
      </c>
      <c r="D7" s="10">
        <v>21.599999999999998</v>
      </c>
      <c r="E7" s="10">
        <v>21.599999999999998</v>
      </c>
      <c r="F7" s="65">
        <f t="shared" si="1"/>
        <v>0.97475645241763909</v>
      </c>
      <c r="G7" s="65">
        <f t="shared" si="0"/>
        <v>0.97475645241763909</v>
      </c>
      <c r="H7" s="65">
        <f t="shared" si="0"/>
        <v>0.97475645241763909</v>
      </c>
      <c r="K7" s="263">
        <f>SUMPRODUCT(B4:B487,G4:G487)/SUM(B4:B487)</f>
        <v>0.83134014414335766</v>
      </c>
      <c r="L7" s="499" t="s">
        <v>1078</v>
      </c>
    </row>
    <row r="8" spans="1:13">
      <c r="A8" s="499">
        <v>484</v>
      </c>
      <c r="B8" s="26">
        <v>1000.085381</v>
      </c>
      <c r="C8" s="10">
        <v>21.599999999999998</v>
      </c>
      <c r="D8" s="10">
        <v>21.599999999999998</v>
      </c>
      <c r="E8" s="10">
        <v>21.599999999999998</v>
      </c>
      <c r="F8" s="65">
        <f t="shared" si="1"/>
        <v>0.97475645241763909</v>
      </c>
      <c r="G8" s="65">
        <f t="shared" si="0"/>
        <v>0.97475645241763909</v>
      </c>
      <c r="H8" s="65">
        <f t="shared" si="0"/>
        <v>0.97475645241763909</v>
      </c>
      <c r="K8" s="263">
        <f>SUMPRODUCT(B4:B487,H4:H487)/SUM(B4:B487)</f>
        <v>0.7485312854790237</v>
      </c>
      <c r="L8" s="499" t="s">
        <v>1095</v>
      </c>
    </row>
    <row r="9" spans="1:13">
      <c r="A9" s="499">
        <v>18</v>
      </c>
      <c r="B9" s="26">
        <v>1001.458899</v>
      </c>
      <c r="C9" s="10">
        <v>21.599999999999998</v>
      </c>
      <c r="D9" s="10">
        <v>21.599999999999998</v>
      </c>
      <c r="E9" s="10">
        <v>21.599999999999998</v>
      </c>
      <c r="F9" s="65">
        <f t="shared" si="1"/>
        <v>0.97475645241763909</v>
      </c>
      <c r="G9" s="65">
        <f t="shared" si="0"/>
        <v>0.97475645241763909</v>
      </c>
      <c r="H9" s="65">
        <f t="shared" si="0"/>
        <v>0.97475645241763909</v>
      </c>
      <c r="J9" s="1" t="s">
        <v>1149</v>
      </c>
      <c r="K9" s="263"/>
    </row>
    <row r="10" spans="1:13">
      <c r="A10" s="499">
        <v>231</v>
      </c>
      <c r="B10" s="26">
        <v>717.29311900000005</v>
      </c>
      <c r="C10" s="10">
        <v>22.798845</v>
      </c>
      <c r="D10" s="10">
        <v>22.798845</v>
      </c>
      <c r="E10" s="10">
        <v>22.798845</v>
      </c>
      <c r="F10" s="65">
        <f t="shared" si="1"/>
        <v>0.93619181311363642</v>
      </c>
      <c r="G10" s="65">
        <f t="shared" si="0"/>
        <v>0.93619181311363642</v>
      </c>
      <c r="H10" s="65">
        <f t="shared" si="0"/>
        <v>0.93619181311363642</v>
      </c>
      <c r="I10" s="499" t="s">
        <v>1094</v>
      </c>
      <c r="J10" s="499">
        <v>1</v>
      </c>
      <c r="K10" s="15">
        <v>1</v>
      </c>
      <c r="L10" s="499" t="s">
        <v>1150</v>
      </c>
    </row>
    <row r="11" spans="1:13">
      <c r="A11" s="499">
        <v>421</v>
      </c>
      <c r="B11" s="26">
        <v>705.35711000000003</v>
      </c>
      <c r="C11" s="10">
        <v>22.4924</v>
      </c>
      <c r="D11" s="10">
        <v>22.4924</v>
      </c>
      <c r="E11" s="10">
        <v>22.4924</v>
      </c>
      <c r="F11" s="65">
        <f t="shared" si="1"/>
        <v>0.95517928905931782</v>
      </c>
      <c r="G11" s="65">
        <f t="shared" si="0"/>
        <v>0.95517928905931782</v>
      </c>
      <c r="H11" s="65">
        <f t="shared" si="0"/>
        <v>0.95517928905931782</v>
      </c>
      <c r="I11" s="499" t="s">
        <v>1078</v>
      </c>
      <c r="J11" s="499">
        <v>2</v>
      </c>
      <c r="K11" s="15">
        <f>K7/K6</f>
        <v>1.1329847446879411</v>
      </c>
      <c r="L11" s="499" t="s">
        <v>1151</v>
      </c>
    </row>
    <row r="12" spans="1:13">
      <c r="A12" s="499">
        <v>394</v>
      </c>
      <c r="B12" s="26">
        <v>1067.8866089999999</v>
      </c>
      <c r="C12" s="10">
        <v>24.891487999999999</v>
      </c>
      <c r="D12" s="10">
        <v>24.891487999999999</v>
      </c>
      <c r="E12" s="10">
        <v>24.891487999999999</v>
      </c>
      <c r="F12" s="65">
        <f t="shared" si="1"/>
        <v>0.25010114940451283</v>
      </c>
      <c r="G12" s="65">
        <f t="shared" si="0"/>
        <v>0.25010114940451283</v>
      </c>
      <c r="H12" s="65">
        <f t="shared" si="0"/>
        <v>0.25010114940451283</v>
      </c>
      <c r="I12" s="499" t="s">
        <v>1146</v>
      </c>
      <c r="J12" s="499">
        <v>3</v>
      </c>
      <c r="K12" s="15">
        <f>K8/K6</f>
        <v>1.020129405928393</v>
      </c>
      <c r="L12" s="499" t="s">
        <v>1152</v>
      </c>
    </row>
    <row r="13" spans="1:13">
      <c r="A13" s="499">
        <v>63</v>
      </c>
      <c r="B13" s="26">
        <v>1087.6440319999999</v>
      </c>
      <c r="C13" s="10">
        <v>16.469284999999999</v>
      </c>
      <c r="D13" s="10">
        <v>16.469284999999999</v>
      </c>
      <c r="E13" s="10">
        <v>16.469284999999999</v>
      </c>
      <c r="F13" s="65">
        <f t="shared" si="1"/>
        <v>0.9788598459288318</v>
      </c>
      <c r="G13" s="65">
        <f t="shared" si="0"/>
        <v>0.9788598459288318</v>
      </c>
      <c r="H13" s="65">
        <f t="shared" si="0"/>
        <v>0.9788598459288318</v>
      </c>
      <c r="J13" s="1" t="s">
        <v>1153</v>
      </c>
      <c r="K13" s="15"/>
    </row>
    <row r="14" spans="1:13">
      <c r="A14" s="499">
        <v>217</v>
      </c>
      <c r="B14" s="26">
        <v>1258.3899200000001</v>
      </c>
      <c r="C14" s="10">
        <v>21.22373</v>
      </c>
      <c r="D14" s="10">
        <v>21.22373</v>
      </c>
      <c r="E14" s="10">
        <v>21.22373</v>
      </c>
      <c r="F14" s="65">
        <f t="shared" si="1"/>
        <v>0.97691267685439487</v>
      </c>
      <c r="G14" s="65">
        <f t="shared" si="0"/>
        <v>0.97691267685439487</v>
      </c>
      <c r="H14" s="65">
        <f t="shared" si="0"/>
        <v>0.97691267685439487</v>
      </c>
      <c r="K14" s="626">
        <v>0.55000000000000004</v>
      </c>
      <c r="L14" s="499" t="s">
        <v>1154</v>
      </c>
    </row>
    <row r="15" spans="1:13">
      <c r="A15" s="499">
        <v>168</v>
      </c>
      <c r="B15" s="26">
        <v>1813.945686</v>
      </c>
      <c r="C15" s="10">
        <v>20.236090999999998</v>
      </c>
      <c r="D15" s="10">
        <v>20.236090999999998</v>
      </c>
      <c r="E15" s="10">
        <v>20.236090999999998</v>
      </c>
      <c r="F15" s="65">
        <f t="shared" si="1"/>
        <v>0.97858587187927826</v>
      </c>
      <c r="G15" s="65">
        <f t="shared" si="0"/>
        <v>0.97858587187927826</v>
      </c>
      <c r="H15" s="65">
        <f t="shared" si="0"/>
        <v>0.97858587187927826</v>
      </c>
      <c r="K15" s="15">
        <f>K14*K11</f>
        <v>0.62314160957836762</v>
      </c>
      <c r="L15" s="499" t="s">
        <v>1155</v>
      </c>
    </row>
    <row r="16" spans="1:13">
      <c r="A16" s="499">
        <v>147</v>
      </c>
      <c r="B16" s="26">
        <v>906.65360599999997</v>
      </c>
      <c r="C16" s="10">
        <v>21.106905999999999</v>
      </c>
      <c r="D16" s="10">
        <v>21.106905999999999</v>
      </c>
      <c r="E16" s="10">
        <v>21.106905999999999</v>
      </c>
      <c r="F16" s="65">
        <f t="shared" si="1"/>
        <v>0.97731542031314478</v>
      </c>
      <c r="G16" s="65">
        <f t="shared" si="0"/>
        <v>0.97731542031314478</v>
      </c>
      <c r="H16" s="65">
        <f t="shared" si="0"/>
        <v>0.97731542031314478</v>
      </c>
      <c r="K16" s="15">
        <f>K14*K12</f>
        <v>0.56107117326061617</v>
      </c>
      <c r="L16" s="499" t="s">
        <v>1156</v>
      </c>
    </row>
    <row r="17" spans="1:8">
      <c r="A17" s="499">
        <v>325</v>
      </c>
      <c r="B17" s="26">
        <v>1001.82937</v>
      </c>
      <c r="C17" s="10">
        <v>20.236090999999998</v>
      </c>
      <c r="D17" s="10">
        <v>20.236090999999998</v>
      </c>
      <c r="E17" s="10">
        <v>20.236090999999998</v>
      </c>
      <c r="F17" s="65">
        <f t="shared" si="1"/>
        <v>0.97858587187927826</v>
      </c>
      <c r="G17" s="65">
        <f t="shared" si="0"/>
        <v>0.97858587187927826</v>
      </c>
      <c r="H17" s="65">
        <f t="shared" si="0"/>
        <v>0.97858587187927826</v>
      </c>
    </row>
    <row r="18" spans="1:8">
      <c r="A18" s="499">
        <v>10</v>
      </c>
      <c r="B18" s="26">
        <v>1397.113085</v>
      </c>
      <c r="C18" s="10">
        <v>16.839841</v>
      </c>
      <c r="D18" s="10">
        <v>16.839841</v>
      </c>
      <c r="E18" s="10">
        <v>16.839841</v>
      </c>
      <c r="F18" s="65">
        <f t="shared" si="1"/>
        <v>0.97885967828463738</v>
      </c>
      <c r="G18" s="65">
        <f t="shared" si="0"/>
        <v>0.97885967828463738</v>
      </c>
      <c r="H18" s="65">
        <f t="shared" si="0"/>
        <v>0.97885967828463738</v>
      </c>
    </row>
    <row r="19" spans="1:8">
      <c r="A19" s="499">
        <v>320</v>
      </c>
      <c r="B19" s="26">
        <v>1320.2878639999999</v>
      </c>
      <c r="C19" s="10">
        <v>18.737535000000001</v>
      </c>
      <c r="D19" s="10">
        <v>18.737535000000001</v>
      </c>
      <c r="E19" s="10">
        <v>18.737535000000001</v>
      </c>
      <c r="F19" s="65">
        <f t="shared" si="1"/>
        <v>0.97884603714408225</v>
      </c>
      <c r="G19" s="65">
        <f t="shared" si="0"/>
        <v>0.97884603714408225</v>
      </c>
      <c r="H19" s="65">
        <f t="shared" si="0"/>
        <v>0.97884603714408225</v>
      </c>
    </row>
    <row r="20" spans="1:8">
      <c r="A20" s="499">
        <v>91</v>
      </c>
      <c r="B20" s="26">
        <v>1028.8641250000001</v>
      </c>
      <c r="C20" s="10">
        <v>17.139959999999999</v>
      </c>
      <c r="D20" s="10">
        <v>17.139959999999999</v>
      </c>
      <c r="E20" s="10">
        <v>17.139959999999999</v>
      </c>
      <c r="F20" s="65">
        <f t="shared" si="1"/>
        <v>0.97885941596008763</v>
      </c>
      <c r="G20" s="65">
        <f t="shared" si="1"/>
        <v>0.97885941596008763</v>
      </c>
      <c r="H20" s="65">
        <f t="shared" si="1"/>
        <v>0.97885941596008763</v>
      </c>
    </row>
    <row r="21" spans="1:8">
      <c r="A21" s="499">
        <v>401</v>
      </c>
      <c r="B21" s="26">
        <v>1806.805196</v>
      </c>
      <c r="C21" s="10">
        <v>18.737535000000001</v>
      </c>
      <c r="D21" s="10">
        <v>18.737535000000001</v>
      </c>
      <c r="E21" s="10">
        <v>18.737535000000001</v>
      </c>
      <c r="F21" s="65">
        <f t="shared" si="1"/>
        <v>0.97884603714408225</v>
      </c>
      <c r="G21" s="65">
        <f t="shared" si="1"/>
        <v>0.97884603714408225</v>
      </c>
      <c r="H21" s="65">
        <f t="shared" si="1"/>
        <v>0.97884603714408225</v>
      </c>
    </row>
    <row r="22" spans="1:8">
      <c r="A22" s="499">
        <v>450</v>
      </c>
      <c r="B22" s="26">
        <v>1072.5076240000001</v>
      </c>
      <c r="C22" s="10">
        <v>24.609262000000001</v>
      </c>
      <c r="D22" s="10">
        <v>24.609262000000001</v>
      </c>
      <c r="E22" s="10">
        <v>24.609262000000001</v>
      </c>
      <c r="F22" s="65">
        <f t="shared" si="1"/>
        <v>0.36755422948960492</v>
      </c>
      <c r="G22" s="65">
        <f t="shared" si="1"/>
        <v>0.36755422948960492</v>
      </c>
      <c r="H22" s="65">
        <f t="shared" si="1"/>
        <v>0.36755422948960492</v>
      </c>
    </row>
    <row r="23" spans="1:8">
      <c r="A23" s="499">
        <v>35</v>
      </c>
      <c r="B23" s="26">
        <v>1001.829871</v>
      </c>
      <c r="C23" s="10">
        <v>24.609262000000001</v>
      </c>
      <c r="D23" s="10">
        <v>24.609262000000001</v>
      </c>
      <c r="E23" s="10">
        <v>24.609262000000001</v>
      </c>
      <c r="F23" s="65">
        <f t="shared" si="1"/>
        <v>0.36755422948960492</v>
      </c>
      <c r="G23" s="65">
        <f t="shared" si="1"/>
        <v>0.36755422948960492</v>
      </c>
      <c r="H23" s="65">
        <f t="shared" si="1"/>
        <v>0.36755422948960492</v>
      </c>
    </row>
    <row r="24" spans="1:8">
      <c r="A24" s="499">
        <v>355</v>
      </c>
      <c r="B24" s="26">
        <v>987.27402400000005</v>
      </c>
      <c r="C24" s="10">
        <v>21.148700000000002</v>
      </c>
      <c r="D24" s="10">
        <v>21.148700000000002</v>
      </c>
      <c r="E24" s="10">
        <v>21.148700000000002</v>
      </c>
      <c r="F24" s="65">
        <f t="shared" si="1"/>
        <v>0.97718191183945025</v>
      </c>
      <c r="G24" s="65">
        <f t="shared" si="1"/>
        <v>0.97718191183945025</v>
      </c>
      <c r="H24" s="65">
        <f t="shared" si="1"/>
        <v>0.97718191183945025</v>
      </c>
    </row>
    <row r="25" spans="1:8">
      <c r="A25" s="499">
        <v>103</v>
      </c>
      <c r="B25" s="26">
        <v>1001.2438540000001</v>
      </c>
      <c r="C25" s="10">
        <v>21.148700000000002</v>
      </c>
      <c r="D25" s="10">
        <v>21.148700000000002</v>
      </c>
      <c r="E25" s="10">
        <v>21.148700000000002</v>
      </c>
      <c r="F25" s="65">
        <f t="shared" si="1"/>
        <v>0.97718191183945025</v>
      </c>
      <c r="G25" s="65">
        <f t="shared" si="1"/>
        <v>0.97718191183945025</v>
      </c>
      <c r="H25" s="65">
        <f t="shared" si="1"/>
        <v>0.97718191183945025</v>
      </c>
    </row>
    <row r="26" spans="1:8">
      <c r="A26" s="499">
        <v>118</v>
      </c>
      <c r="B26" s="26">
        <v>1252.9608720000001</v>
      </c>
      <c r="C26" s="10">
        <v>22.592642000000001</v>
      </c>
      <c r="D26" s="10">
        <v>22.592642000000001</v>
      </c>
      <c r="E26" s="10">
        <v>22.592642000000001</v>
      </c>
      <c r="F26" s="65">
        <f t="shared" si="1"/>
        <v>0.95011359251923333</v>
      </c>
      <c r="G26" s="65">
        <f t="shared" si="1"/>
        <v>0.95011359251923333</v>
      </c>
      <c r="H26" s="65">
        <f t="shared" si="1"/>
        <v>0.95011359251923333</v>
      </c>
    </row>
    <row r="27" spans="1:8">
      <c r="A27" s="499">
        <v>480</v>
      </c>
      <c r="B27" s="26">
        <v>1466.443127</v>
      </c>
      <c r="C27" s="10">
        <v>24.300045000000001</v>
      </c>
      <c r="D27" s="10">
        <v>24.300045000000001</v>
      </c>
      <c r="E27" s="10">
        <v>24.300045000000001</v>
      </c>
      <c r="F27" s="65">
        <f t="shared" si="1"/>
        <v>0.51526077506473345</v>
      </c>
      <c r="G27" s="65">
        <f t="shared" si="1"/>
        <v>0.51526077506473345</v>
      </c>
      <c r="H27" s="65">
        <f t="shared" si="1"/>
        <v>0.51526077506473345</v>
      </c>
    </row>
    <row r="28" spans="1:8">
      <c r="A28" s="499">
        <v>29</v>
      </c>
      <c r="B28" s="26">
        <v>1430.906508</v>
      </c>
      <c r="C28" s="10">
        <v>19.297452</v>
      </c>
      <c r="D28" s="10">
        <v>19.297452</v>
      </c>
      <c r="E28" s="10">
        <v>19.297452</v>
      </c>
      <c r="F28" s="65">
        <f t="shared" si="1"/>
        <v>0.97881752723341475</v>
      </c>
      <c r="G28" s="65">
        <f t="shared" si="1"/>
        <v>0.97881752723341475</v>
      </c>
      <c r="H28" s="65">
        <f t="shared" si="1"/>
        <v>0.97881752723341475</v>
      </c>
    </row>
    <row r="29" spans="1:8">
      <c r="A29" s="499">
        <v>479</v>
      </c>
      <c r="B29" s="26">
        <v>999.16552899999999</v>
      </c>
      <c r="C29" s="10">
        <v>22.592642000000001</v>
      </c>
      <c r="D29" s="10">
        <v>22.592642000000001</v>
      </c>
      <c r="E29" s="10">
        <v>22.592642000000001</v>
      </c>
      <c r="F29" s="65">
        <f t="shared" si="1"/>
        <v>0.95011359251923333</v>
      </c>
      <c r="G29" s="65">
        <f t="shared" si="1"/>
        <v>0.95011359251923333</v>
      </c>
      <c r="H29" s="65">
        <f t="shared" si="1"/>
        <v>0.95011359251923333</v>
      </c>
    </row>
    <row r="30" spans="1:8">
      <c r="A30" s="499">
        <v>189</v>
      </c>
      <c r="B30" s="26">
        <v>567.449207</v>
      </c>
      <c r="C30" s="10">
        <v>19.404637999999998</v>
      </c>
      <c r="D30" s="10">
        <v>19.404637999999998</v>
      </c>
      <c r="E30" s="10">
        <v>19.404637999999998</v>
      </c>
      <c r="F30" s="65">
        <f t="shared" si="1"/>
        <v>0.9788074471564252</v>
      </c>
      <c r="G30" s="65">
        <f t="shared" si="1"/>
        <v>0.9788074471564252</v>
      </c>
      <c r="H30" s="65">
        <f t="shared" si="1"/>
        <v>0.9788074471564252</v>
      </c>
    </row>
    <row r="31" spans="1:8">
      <c r="A31" s="499">
        <v>74</v>
      </c>
      <c r="B31" s="26">
        <v>998.47869400000002</v>
      </c>
      <c r="C31" s="10">
        <v>22.592642000000001</v>
      </c>
      <c r="D31" s="10">
        <v>22.592642000000001</v>
      </c>
      <c r="E31" s="10">
        <v>22.592642000000001</v>
      </c>
      <c r="F31" s="65">
        <f t="shared" si="1"/>
        <v>0.95011359251923333</v>
      </c>
      <c r="G31" s="65">
        <f t="shared" si="1"/>
        <v>0.95011359251923333</v>
      </c>
      <c r="H31" s="65">
        <f t="shared" si="1"/>
        <v>0.95011359251923333</v>
      </c>
    </row>
    <row r="32" spans="1:8">
      <c r="A32" s="499">
        <v>322</v>
      </c>
      <c r="B32" s="26">
        <v>878.943623</v>
      </c>
      <c r="C32" s="10">
        <v>23.610721999999999</v>
      </c>
      <c r="D32" s="10">
        <v>23.610721999999999</v>
      </c>
      <c r="E32" s="10">
        <v>23.610721999999999</v>
      </c>
      <c r="F32" s="65">
        <f t="shared" si="1"/>
        <v>0.79665055182835542</v>
      </c>
      <c r="G32" s="65">
        <f t="shared" si="1"/>
        <v>0.79665055182835542</v>
      </c>
      <c r="H32" s="65">
        <f t="shared" si="1"/>
        <v>0.79665055182835542</v>
      </c>
    </row>
    <row r="33" spans="1:8">
      <c r="A33" s="499">
        <v>174</v>
      </c>
      <c r="B33" s="26">
        <v>870.36807699999997</v>
      </c>
      <c r="C33" s="10">
        <v>19.295921</v>
      </c>
      <c r="D33" s="10">
        <v>19.295921</v>
      </c>
      <c r="E33" s="10">
        <v>19.295921</v>
      </c>
      <c r="F33" s="65">
        <f t="shared" si="1"/>
        <v>0.97881765623042549</v>
      </c>
      <c r="G33" s="65">
        <f t="shared" si="1"/>
        <v>0.97881765623042549</v>
      </c>
      <c r="H33" s="65">
        <f t="shared" si="1"/>
        <v>0.97881765623042549</v>
      </c>
    </row>
    <row r="34" spans="1:8">
      <c r="A34" s="499">
        <v>452</v>
      </c>
      <c r="B34" s="26">
        <v>666.07231100000001</v>
      </c>
      <c r="C34" s="10">
        <v>20.233028999999998</v>
      </c>
      <c r="D34" s="10">
        <v>20.233028999999998</v>
      </c>
      <c r="E34" s="10">
        <v>20.233028999999998</v>
      </c>
      <c r="F34" s="65">
        <f t="shared" si="1"/>
        <v>0.97858753410700106</v>
      </c>
      <c r="G34" s="65">
        <f t="shared" si="1"/>
        <v>0.97858753410700106</v>
      </c>
      <c r="H34" s="65">
        <f t="shared" si="1"/>
        <v>0.97858753410700106</v>
      </c>
    </row>
    <row r="35" spans="1:8">
      <c r="A35" s="499">
        <v>456</v>
      </c>
      <c r="B35" s="26">
        <v>1618.851672</v>
      </c>
      <c r="C35" s="10">
        <v>20.73527</v>
      </c>
      <c r="D35" s="10">
        <v>20.73527</v>
      </c>
      <c r="E35" s="10">
        <v>20.73527</v>
      </c>
      <c r="F35" s="65">
        <f t="shared" si="1"/>
        <v>0.97812126981210734</v>
      </c>
      <c r="G35" s="65">
        <f t="shared" si="1"/>
        <v>0.97812126981210734</v>
      </c>
      <c r="H35" s="65">
        <f t="shared" si="1"/>
        <v>0.97812126981210734</v>
      </c>
    </row>
    <row r="36" spans="1:8">
      <c r="A36" s="499">
        <v>41</v>
      </c>
      <c r="B36" s="26">
        <v>1000.828038</v>
      </c>
      <c r="C36" s="10">
        <v>21.148700000000002</v>
      </c>
      <c r="D36" s="10">
        <v>21.148700000000002</v>
      </c>
      <c r="E36" s="10">
        <v>21.148700000000002</v>
      </c>
      <c r="F36" s="65">
        <f t="shared" si="1"/>
        <v>0.97718191183945025</v>
      </c>
      <c r="G36" s="65">
        <f t="shared" si="1"/>
        <v>0.97718191183945025</v>
      </c>
      <c r="H36" s="65">
        <f t="shared" si="1"/>
        <v>0.97718191183945025</v>
      </c>
    </row>
    <row r="37" spans="1:8">
      <c r="A37" s="499">
        <v>263</v>
      </c>
      <c r="B37" s="26">
        <v>998.96187699999996</v>
      </c>
      <c r="C37" s="10">
        <v>22.592642000000001</v>
      </c>
      <c r="D37" s="10">
        <v>22.592642000000001</v>
      </c>
      <c r="E37" s="10">
        <v>22.592642000000001</v>
      </c>
      <c r="F37" s="65">
        <f t="shared" si="1"/>
        <v>0.95011359251923333</v>
      </c>
      <c r="G37" s="65">
        <f t="shared" si="1"/>
        <v>0.95011359251923333</v>
      </c>
      <c r="H37" s="65">
        <f t="shared" si="1"/>
        <v>0.95011359251923333</v>
      </c>
    </row>
    <row r="38" spans="1:8">
      <c r="A38" s="499">
        <v>129</v>
      </c>
      <c r="B38" s="26">
        <v>1706.8646180000001</v>
      </c>
      <c r="C38" s="10">
        <v>18.952926999999999</v>
      </c>
      <c r="D38" s="10">
        <v>18.952926999999999</v>
      </c>
      <c r="E38" s="10">
        <v>18.952926999999999</v>
      </c>
      <c r="F38" s="65">
        <f t="shared" si="1"/>
        <v>0.97883857941225683</v>
      </c>
      <c r="G38" s="65">
        <f t="shared" si="1"/>
        <v>0.97883857941225683</v>
      </c>
      <c r="H38" s="65">
        <f t="shared" si="1"/>
        <v>0.97883857941225683</v>
      </c>
    </row>
    <row r="39" spans="1:8">
      <c r="A39" s="499">
        <v>185</v>
      </c>
      <c r="B39" s="26">
        <v>652.42369399999995</v>
      </c>
      <c r="C39" s="10">
        <v>20.306528</v>
      </c>
      <c r="D39" s="10">
        <v>20.306528</v>
      </c>
      <c r="E39" s="10">
        <v>20.306528</v>
      </c>
      <c r="F39" s="65">
        <f t="shared" si="1"/>
        <v>0.97854470653130321</v>
      </c>
      <c r="G39" s="65">
        <f t="shared" si="1"/>
        <v>0.97854470653130321</v>
      </c>
      <c r="H39" s="65">
        <f t="shared" si="1"/>
        <v>0.97854470653130321</v>
      </c>
    </row>
    <row r="40" spans="1:8">
      <c r="A40" s="499">
        <v>290</v>
      </c>
      <c r="B40" s="26">
        <v>1000.879637</v>
      </c>
      <c r="C40" s="10">
        <v>20.306528</v>
      </c>
      <c r="D40" s="10">
        <v>20.306528</v>
      </c>
      <c r="E40" s="10">
        <v>20.306528</v>
      </c>
      <c r="F40" s="65">
        <f t="shared" si="1"/>
        <v>0.97854470653130321</v>
      </c>
      <c r="G40" s="65">
        <f t="shared" si="1"/>
        <v>0.97854470653130321</v>
      </c>
      <c r="H40" s="65">
        <f t="shared" si="1"/>
        <v>0.97854470653130321</v>
      </c>
    </row>
    <row r="41" spans="1:8">
      <c r="A41" s="499">
        <v>199</v>
      </c>
      <c r="B41" s="26">
        <v>1162.1691820000001</v>
      </c>
      <c r="C41" s="10">
        <v>22.399708</v>
      </c>
      <c r="D41" s="10">
        <v>22.399708</v>
      </c>
      <c r="E41" s="10">
        <v>22.399708</v>
      </c>
      <c r="F41" s="65">
        <f t="shared" si="1"/>
        <v>0.95908200673517197</v>
      </c>
      <c r="G41" s="65">
        <f t="shared" si="1"/>
        <v>0.95908200673517197</v>
      </c>
      <c r="H41" s="65">
        <f t="shared" si="1"/>
        <v>0.95908200673517197</v>
      </c>
    </row>
    <row r="42" spans="1:8">
      <c r="A42" s="499">
        <v>77</v>
      </c>
      <c r="B42" s="26">
        <v>965.321325</v>
      </c>
      <c r="C42" s="10">
        <v>19.304286000000001</v>
      </c>
      <c r="D42" s="10">
        <v>19.304286000000001</v>
      </c>
      <c r="E42" s="10">
        <v>19.304286000000001</v>
      </c>
      <c r="F42" s="65">
        <f t="shared" si="1"/>
        <v>0.97881694661428897</v>
      </c>
      <c r="G42" s="65">
        <f t="shared" si="1"/>
        <v>0.97881694661428897</v>
      </c>
      <c r="H42" s="65">
        <f t="shared" si="1"/>
        <v>0.97881694661428897</v>
      </c>
    </row>
    <row r="43" spans="1:8">
      <c r="A43" s="499">
        <v>230</v>
      </c>
      <c r="B43" s="26">
        <v>656.13298099999997</v>
      </c>
      <c r="C43" s="10">
        <v>20.165309000000001</v>
      </c>
      <c r="D43" s="10">
        <v>20.165309000000001</v>
      </c>
      <c r="E43" s="10">
        <v>20.165309000000001</v>
      </c>
      <c r="F43" s="65">
        <f t="shared" si="1"/>
        <v>0.97862182718378887</v>
      </c>
      <c r="G43" s="65">
        <f t="shared" si="1"/>
        <v>0.97862182718378887</v>
      </c>
      <c r="H43" s="65">
        <f t="shared" si="1"/>
        <v>0.97862182718378887</v>
      </c>
    </row>
    <row r="44" spans="1:8">
      <c r="A44" s="499">
        <v>17</v>
      </c>
      <c r="B44" s="26">
        <v>1122.8720370000001</v>
      </c>
      <c r="C44" s="10">
        <v>19.404637999999998</v>
      </c>
      <c r="D44" s="10">
        <v>19.404637999999998</v>
      </c>
      <c r="E44" s="10">
        <v>19.404637999999998</v>
      </c>
      <c r="F44" s="65">
        <f t="shared" si="1"/>
        <v>0.9788074471564252</v>
      </c>
      <c r="G44" s="65">
        <f t="shared" si="1"/>
        <v>0.9788074471564252</v>
      </c>
      <c r="H44" s="65">
        <f t="shared" si="1"/>
        <v>0.9788074471564252</v>
      </c>
    </row>
    <row r="45" spans="1:8">
      <c r="A45" s="499">
        <v>148</v>
      </c>
      <c r="B45" s="26">
        <v>671.55623600000001</v>
      </c>
      <c r="C45" s="10">
        <v>19.372482000000002</v>
      </c>
      <c r="D45" s="10">
        <v>19.372482000000002</v>
      </c>
      <c r="E45" s="10">
        <v>19.372482000000002</v>
      </c>
      <c r="F45" s="65">
        <f t="shared" si="1"/>
        <v>0.97881069959940636</v>
      </c>
      <c r="G45" s="65">
        <f t="shared" si="1"/>
        <v>0.97881069959940636</v>
      </c>
      <c r="H45" s="65">
        <f t="shared" si="1"/>
        <v>0.97881069959940636</v>
      </c>
    </row>
    <row r="46" spans="1:8">
      <c r="A46" s="499">
        <v>84</v>
      </c>
      <c r="B46" s="26">
        <v>725.16991199999995</v>
      </c>
      <c r="C46" s="10">
        <v>22.767804999999999</v>
      </c>
      <c r="D46" s="10">
        <v>22.767804999999999</v>
      </c>
      <c r="E46" s="10">
        <v>22.767804999999999</v>
      </c>
      <c r="F46" s="65">
        <f t="shared" si="1"/>
        <v>0.9386389240694839</v>
      </c>
      <c r="G46" s="65">
        <f t="shared" si="1"/>
        <v>0.9386389240694839</v>
      </c>
      <c r="H46" s="65">
        <f t="shared" si="1"/>
        <v>0.9386389240694839</v>
      </c>
    </row>
    <row r="47" spans="1:8">
      <c r="A47" s="499">
        <v>354</v>
      </c>
      <c r="B47" s="26">
        <v>1001.519002</v>
      </c>
      <c r="C47" s="10">
        <v>21.148700000000002</v>
      </c>
      <c r="D47" s="10">
        <v>21.148700000000002</v>
      </c>
      <c r="E47" s="10">
        <v>21.148700000000002</v>
      </c>
      <c r="F47" s="65">
        <f t="shared" si="1"/>
        <v>0.97718191183945025</v>
      </c>
      <c r="G47" s="65">
        <f t="shared" si="1"/>
        <v>0.97718191183945025</v>
      </c>
      <c r="H47" s="65">
        <f t="shared" si="1"/>
        <v>0.97718191183945025</v>
      </c>
    </row>
    <row r="48" spans="1:8">
      <c r="A48" s="499">
        <v>462</v>
      </c>
      <c r="B48" s="26">
        <v>998.84816999999998</v>
      </c>
      <c r="C48" s="10">
        <v>18.952926999999999</v>
      </c>
      <c r="D48" s="10">
        <v>18.952926999999999</v>
      </c>
      <c r="E48" s="10">
        <v>18.952926999999999</v>
      </c>
      <c r="F48" s="65">
        <f t="shared" si="1"/>
        <v>0.97883857941225683</v>
      </c>
      <c r="G48" s="65">
        <f t="shared" si="1"/>
        <v>0.97883857941225683</v>
      </c>
      <c r="H48" s="65">
        <f t="shared" si="1"/>
        <v>0.97883857941225683</v>
      </c>
    </row>
    <row r="49" spans="1:8">
      <c r="A49" s="499">
        <v>314</v>
      </c>
      <c r="B49" s="26">
        <v>1077.352533</v>
      </c>
      <c r="C49" s="10">
        <v>21.496413</v>
      </c>
      <c r="D49" s="10">
        <v>21.496413</v>
      </c>
      <c r="E49" s="10">
        <v>21.496413</v>
      </c>
      <c r="F49" s="65">
        <f t="shared" si="1"/>
        <v>0.97551717464143584</v>
      </c>
      <c r="G49" s="65">
        <f t="shared" si="1"/>
        <v>0.97551717464143584</v>
      </c>
      <c r="H49" s="65">
        <f t="shared" si="1"/>
        <v>0.97551717464143584</v>
      </c>
    </row>
    <row r="50" spans="1:8">
      <c r="A50" s="499">
        <v>309</v>
      </c>
      <c r="B50" s="26">
        <v>999.40767300000005</v>
      </c>
      <c r="C50" s="10">
        <v>19.297452</v>
      </c>
      <c r="D50" s="10">
        <v>19.297452</v>
      </c>
      <c r="E50" s="10">
        <v>19.297452</v>
      </c>
      <c r="F50" s="65">
        <f t="shared" si="1"/>
        <v>0.97881752723341475</v>
      </c>
      <c r="G50" s="65">
        <f t="shared" si="1"/>
        <v>0.97881752723341475</v>
      </c>
      <c r="H50" s="65">
        <f t="shared" si="1"/>
        <v>0.97881752723341475</v>
      </c>
    </row>
    <row r="51" spans="1:8">
      <c r="A51" s="499">
        <v>426</v>
      </c>
      <c r="B51" s="26">
        <v>999.13019099999997</v>
      </c>
      <c r="C51" s="10">
        <v>19.372482000000002</v>
      </c>
      <c r="D51" s="10">
        <v>19.372482000000002</v>
      </c>
      <c r="E51" s="10">
        <v>19.372482000000002</v>
      </c>
      <c r="F51" s="65">
        <f t="shared" si="1"/>
        <v>0.97881069959940636</v>
      </c>
      <c r="G51" s="65">
        <f t="shared" si="1"/>
        <v>0.97881069959940636</v>
      </c>
      <c r="H51" s="65">
        <f t="shared" si="1"/>
        <v>0.97881069959940636</v>
      </c>
    </row>
    <row r="52" spans="1:8">
      <c r="A52" s="499">
        <v>423</v>
      </c>
      <c r="B52" s="26">
        <v>998.93141500000002</v>
      </c>
      <c r="C52" s="10">
        <v>20.306528</v>
      </c>
      <c r="D52" s="10">
        <v>20.306528</v>
      </c>
      <c r="E52" s="10">
        <v>20.306528</v>
      </c>
      <c r="F52" s="65">
        <f t="shared" si="1"/>
        <v>0.97854470653130321</v>
      </c>
      <c r="G52" s="65">
        <f t="shared" si="1"/>
        <v>0.97854470653130321</v>
      </c>
      <c r="H52" s="65">
        <f t="shared" si="1"/>
        <v>0.97854470653130321</v>
      </c>
    </row>
    <row r="53" spans="1:8">
      <c r="A53" s="499">
        <v>459</v>
      </c>
      <c r="B53" s="26">
        <v>999.50831000000005</v>
      </c>
      <c r="C53" s="10">
        <v>20.306528</v>
      </c>
      <c r="D53" s="10">
        <v>20.306528</v>
      </c>
      <c r="E53" s="10">
        <v>20.306528</v>
      </c>
      <c r="F53" s="65">
        <f t="shared" si="1"/>
        <v>0.97854470653130321</v>
      </c>
      <c r="G53" s="65">
        <f t="shared" si="1"/>
        <v>0.97854470653130321</v>
      </c>
      <c r="H53" s="65">
        <f t="shared" si="1"/>
        <v>0.97854470653130321</v>
      </c>
    </row>
    <row r="54" spans="1:8">
      <c r="A54" s="499">
        <v>351</v>
      </c>
      <c r="B54" s="26">
        <v>1179.559262</v>
      </c>
      <c r="C54" s="10">
        <v>19.98395</v>
      </c>
      <c r="D54" s="10">
        <v>19.98395</v>
      </c>
      <c r="E54" s="10">
        <v>19.98395</v>
      </c>
      <c r="F54" s="65">
        <f t="shared" si="1"/>
        <v>0.97869387668204066</v>
      </c>
      <c r="G54" s="65">
        <f t="shared" si="1"/>
        <v>0.97869387668204066</v>
      </c>
      <c r="H54" s="65">
        <f t="shared" si="1"/>
        <v>0.97869387668204066</v>
      </c>
    </row>
    <row r="55" spans="1:8">
      <c r="A55" s="499">
        <v>438</v>
      </c>
      <c r="B55" s="26">
        <v>998.71016999999995</v>
      </c>
      <c r="C55" s="10">
        <v>19.536629000000001</v>
      </c>
      <c r="D55" s="10">
        <v>19.536629000000001</v>
      </c>
      <c r="E55" s="10">
        <v>19.536629000000001</v>
      </c>
      <c r="F55" s="65">
        <f t="shared" si="1"/>
        <v>0.97879169013094658</v>
      </c>
      <c r="G55" s="65">
        <f t="shared" si="1"/>
        <v>0.97879169013094658</v>
      </c>
      <c r="H55" s="65">
        <f t="shared" si="1"/>
        <v>0.97879169013094658</v>
      </c>
    </row>
    <row r="56" spans="1:8">
      <c r="A56" s="499">
        <v>447</v>
      </c>
      <c r="B56" s="26">
        <v>1001.523452</v>
      </c>
      <c r="C56" s="10">
        <v>19.155049000000002</v>
      </c>
      <c r="D56" s="10">
        <v>19.155049000000002</v>
      </c>
      <c r="E56" s="10">
        <v>19.155049000000002</v>
      </c>
      <c r="F56" s="65">
        <f t="shared" si="1"/>
        <v>0.97882799362275219</v>
      </c>
      <c r="G56" s="65">
        <f t="shared" si="1"/>
        <v>0.97882799362275219</v>
      </c>
      <c r="H56" s="65">
        <f t="shared" si="1"/>
        <v>0.97882799362275219</v>
      </c>
    </row>
    <row r="57" spans="1:8">
      <c r="A57" s="499">
        <v>296</v>
      </c>
      <c r="B57" s="26">
        <v>1275.7208499999999</v>
      </c>
      <c r="C57" s="10">
        <v>19.839504999999999</v>
      </c>
      <c r="D57" s="10">
        <v>19.839504999999999</v>
      </c>
      <c r="E57" s="10">
        <v>19.839504999999999</v>
      </c>
      <c r="F57" s="65">
        <f t="shared" si="1"/>
        <v>0.97873531670208735</v>
      </c>
      <c r="G57" s="65">
        <f t="shared" si="1"/>
        <v>0.97873531670208735</v>
      </c>
      <c r="H57" s="65">
        <f t="shared" si="1"/>
        <v>0.97873531670208735</v>
      </c>
    </row>
    <row r="58" spans="1:8">
      <c r="A58" s="499">
        <v>159</v>
      </c>
      <c r="B58" s="26">
        <v>1414.8454019999999</v>
      </c>
      <c r="C58" s="10">
        <v>18.196503</v>
      </c>
      <c r="D58" s="10">
        <v>18.196503</v>
      </c>
      <c r="E58" s="10">
        <v>18.196503</v>
      </c>
      <c r="F58" s="65">
        <f t="shared" si="1"/>
        <v>0.97885523431707611</v>
      </c>
      <c r="G58" s="65">
        <f t="shared" si="1"/>
        <v>0.97885523431707611</v>
      </c>
      <c r="H58" s="65">
        <f t="shared" si="1"/>
        <v>0.97885523431707611</v>
      </c>
    </row>
    <row r="59" spans="1:8">
      <c r="A59" s="499">
        <v>82</v>
      </c>
      <c r="B59" s="26">
        <v>1106.5522109999999</v>
      </c>
      <c r="C59" s="10">
        <v>19.155049000000002</v>
      </c>
      <c r="D59" s="10">
        <v>19.155049000000002</v>
      </c>
      <c r="E59" s="10">
        <v>19.155049000000002</v>
      </c>
      <c r="F59" s="65">
        <f t="shared" si="1"/>
        <v>0.97882799362275219</v>
      </c>
      <c r="G59" s="65">
        <f t="shared" si="1"/>
        <v>0.97882799362275219</v>
      </c>
      <c r="H59" s="65">
        <f t="shared" si="1"/>
        <v>0.97882799362275219</v>
      </c>
    </row>
    <row r="60" spans="1:8">
      <c r="A60" s="499">
        <v>278</v>
      </c>
      <c r="B60" s="26">
        <v>1111.873971</v>
      </c>
      <c r="C60" s="10">
        <v>16.714791000000002</v>
      </c>
      <c r="D60" s="10">
        <v>16.714791000000002</v>
      </c>
      <c r="E60" s="10">
        <v>16.714791000000002</v>
      </c>
      <c r="F60" s="65">
        <f t="shared" si="1"/>
        <v>0.97885974906169881</v>
      </c>
      <c r="G60" s="65">
        <f t="shared" si="1"/>
        <v>0.97885974906169881</v>
      </c>
      <c r="H60" s="65">
        <f t="shared" si="1"/>
        <v>0.97885974906169881</v>
      </c>
    </row>
    <row r="61" spans="1:8">
      <c r="A61" s="499">
        <v>361</v>
      </c>
      <c r="B61" s="26">
        <v>838.15813600000001</v>
      </c>
      <c r="C61" s="10">
        <v>22.712561000000001</v>
      </c>
      <c r="D61" s="10">
        <v>22.712561000000001</v>
      </c>
      <c r="E61" s="10">
        <v>22.712561000000001</v>
      </c>
      <c r="F61" s="65">
        <f t="shared" si="1"/>
        <v>0.94266546413629326</v>
      </c>
      <c r="G61" s="65">
        <f t="shared" si="1"/>
        <v>0.94266546413629326</v>
      </c>
      <c r="H61" s="65">
        <f t="shared" si="1"/>
        <v>0.94266546413629326</v>
      </c>
    </row>
    <row r="62" spans="1:8">
      <c r="A62" s="499">
        <v>346</v>
      </c>
      <c r="B62" s="26">
        <v>1001.062968</v>
      </c>
      <c r="C62" s="10">
        <v>24.422453000000001</v>
      </c>
      <c r="D62" s="10">
        <v>24.422453000000001</v>
      </c>
      <c r="E62" s="10">
        <v>24.422453000000001</v>
      </c>
      <c r="F62" s="65">
        <f t="shared" si="1"/>
        <v>0.45582044615529926</v>
      </c>
      <c r="G62" s="65">
        <f t="shared" si="1"/>
        <v>0.45582044615529926</v>
      </c>
      <c r="H62" s="65">
        <f t="shared" si="1"/>
        <v>0.45582044615529926</v>
      </c>
    </row>
    <row r="63" spans="1:8">
      <c r="A63" s="499">
        <v>27</v>
      </c>
      <c r="B63" s="26">
        <v>640.74465299999997</v>
      </c>
      <c r="C63" s="10">
        <v>20.523961</v>
      </c>
      <c r="D63" s="10">
        <v>20.523961</v>
      </c>
      <c r="E63" s="10">
        <v>20.523961</v>
      </c>
      <c r="F63" s="65">
        <f t="shared" si="1"/>
        <v>0.97837441977350947</v>
      </c>
      <c r="G63" s="65">
        <f t="shared" si="1"/>
        <v>0.97837441977350947</v>
      </c>
      <c r="H63" s="65">
        <f t="shared" si="1"/>
        <v>0.97837441977350947</v>
      </c>
    </row>
    <row r="64" spans="1:8">
      <c r="A64" s="499">
        <v>191</v>
      </c>
      <c r="B64" s="26">
        <v>1275.4891689999999</v>
      </c>
      <c r="C64" s="10">
        <v>24.422453000000001</v>
      </c>
      <c r="D64" s="10">
        <v>24.422453000000001</v>
      </c>
      <c r="E64" s="10">
        <v>24.422453000000001</v>
      </c>
      <c r="F64" s="65">
        <f t="shared" si="1"/>
        <v>0.45582044615529926</v>
      </c>
      <c r="G64" s="65">
        <f t="shared" si="1"/>
        <v>0.45582044615529926</v>
      </c>
      <c r="H64" s="65">
        <f t="shared" si="1"/>
        <v>0.45582044615529926</v>
      </c>
    </row>
    <row r="65" spans="1:8">
      <c r="A65" s="499">
        <v>65</v>
      </c>
      <c r="B65" s="26">
        <v>1001.972769</v>
      </c>
      <c r="C65" s="10">
        <v>16.994494</v>
      </c>
      <c r="D65" s="10">
        <v>16.994494</v>
      </c>
      <c r="E65" s="10">
        <v>16.994494</v>
      </c>
      <c r="F65" s="65">
        <f t="shared" si="1"/>
        <v>0.97885956255760231</v>
      </c>
      <c r="G65" s="65">
        <f t="shared" si="1"/>
        <v>0.97885956255760231</v>
      </c>
      <c r="H65" s="65">
        <f t="shared" si="1"/>
        <v>0.97885956255760231</v>
      </c>
    </row>
    <row r="66" spans="1:8">
      <c r="A66" s="499">
        <v>56</v>
      </c>
      <c r="B66" s="26">
        <v>1000.871273</v>
      </c>
      <c r="C66" s="10">
        <v>20.73527</v>
      </c>
      <c r="D66" s="10">
        <v>20.73527</v>
      </c>
      <c r="E66" s="10">
        <v>20.73527</v>
      </c>
      <c r="F66" s="65">
        <f t="shared" si="1"/>
        <v>0.97812126981210734</v>
      </c>
      <c r="G66" s="65">
        <f t="shared" si="1"/>
        <v>0.97812126981210734</v>
      </c>
      <c r="H66" s="65">
        <f t="shared" si="1"/>
        <v>0.97812126981210734</v>
      </c>
    </row>
    <row r="67" spans="1:8">
      <c r="A67" s="499">
        <v>11</v>
      </c>
      <c r="B67" s="26">
        <v>1527.9393500000001</v>
      </c>
      <c r="C67" s="10">
        <v>16.994494</v>
      </c>
      <c r="D67" s="10">
        <v>16.994494</v>
      </c>
      <c r="E67" s="10">
        <v>16.994494</v>
      </c>
      <c r="F67" s="65">
        <f t="shared" si="1"/>
        <v>0.97885956255760231</v>
      </c>
      <c r="G67" s="65">
        <f t="shared" si="1"/>
        <v>0.97885956255760231</v>
      </c>
      <c r="H67" s="65">
        <f t="shared" si="1"/>
        <v>0.97885956255760231</v>
      </c>
    </row>
    <row r="68" spans="1:8">
      <c r="A68" s="499">
        <v>86</v>
      </c>
      <c r="B68" s="26">
        <v>998.96324900000002</v>
      </c>
      <c r="C68" s="10">
        <v>19.297452</v>
      </c>
      <c r="D68" s="10">
        <v>19.297452</v>
      </c>
      <c r="E68" s="10">
        <v>19.297452</v>
      </c>
      <c r="F68" s="65">
        <f t="shared" si="1"/>
        <v>0.97881752723341475</v>
      </c>
      <c r="G68" s="65">
        <f t="shared" si="1"/>
        <v>0.97881752723341475</v>
      </c>
      <c r="H68" s="65">
        <f t="shared" si="1"/>
        <v>0.97881752723341475</v>
      </c>
    </row>
    <row r="69" spans="1:8">
      <c r="A69" s="499">
        <v>221</v>
      </c>
      <c r="B69" s="26">
        <v>683.84576000000004</v>
      </c>
      <c r="C69" s="10">
        <v>19.727077000000001</v>
      </c>
      <c r="D69" s="10">
        <v>19.727077000000001</v>
      </c>
      <c r="E69" s="10">
        <v>19.727077000000001</v>
      </c>
      <c r="F69" s="65">
        <f t="shared" si="1"/>
        <v>0.97876027456852288</v>
      </c>
      <c r="G69" s="65">
        <f t="shared" si="1"/>
        <v>0.97876027456852288</v>
      </c>
      <c r="H69" s="65">
        <f t="shared" si="1"/>
        <v>0.97876027456852288</v>
      </c>
    </row>
    <row r="70" spans="1:8">
      <c r="A70" s="499">
        <v>241</v>
      </c>
      <c r="B70" s="26">
        <v>1215.176682</v>
      </c>
      <c r="C70" s="10">
        <v>16.87659</v>
      </c>
      <c r="D70" s="10">
        <v>16.87659</v>
      </c>
      <c r="E70" s="10">
        <v>16.87659</v>
      </c>
      <c r="F70" s="65">
        <f t="shared" ref="F70:H133" si="2">(97.886/(1+EXP(-((C70-24.35322)/-0.5033))))/100</f>
        <v>0.97885965391539909</v>
      </c>
      <c r="G70" s="65">
        <f t="shared" si="2"/>
        <v>0.97885965391539909</v>
      </c>
      <c r="H70" s="65">
        <f t="shared" si="2"/>
        <v>0.97885965391539909</v>
      </c>
    </row>
    <row r="71" spans="1:8">
      <c r="A71" s="499">
        <v>114</v>
      </c>
      <c r="B71" s="26">
        <v>1418.616021</v>
      </c>
      <c r="C71" s="10">
        <v>18.622183</v>
      </c>
      <c r="D71" s="10">
        <v>18.622183</v>
      </c>
      <c r="E71" s="10">
        <v>18.622183</v>
      </c>
      <c r="F71" s="65">
        <f t="shared" si="2"/>
        <v>0.97884889703444711</v>
      </c>
      <c r="G71" s="65">
        <f t="shared" si="2"/>
        <v>0.97884889703444711</v>
      </c>
      <c r="H71" s="65">
        <f t="shared" si="2"/>
        <v>0.97884889703444711</v>
      </c>
    </row>
    <row r="72" spans="1:8">
      <c r="A72" s="499">
        <v>141</v>
      </c>
      <c r="B72" s="26">
        <v>738.84621000000004</v>
      </c>
      <c r="C72" s="10">
        <v>24.422453000000001</v>
      </c>
      <c r="D72" s="10">
        <v>24.422453000000001</v>
      </c>
      <c r="E72" s="10">
        <v>24.422453000000001</v>
      </c>
      <c r="F72" s="65">
        <f t="shared" si="2"/>
        <v>0.45582044615529926</v>
      </c>
      <c r="G72" s="65">
        <f t="shared" si="2"/>
        <v>0.45582044615529926</v>
      </c>
      <c r="H72" s="65">
        <f t="shared" si="2"/>
        <v>0.45582044615529926</v>
      </c>
    </row>
    <row r="73" spans="1:8">
      <c r="A73" s="499">
        <v>15</v>
      </c>
      <c r="B73" s="26">
        <v>1000.722036</v>
      </c>
      <c r="C73" s="10">
        <v>21.280384999999999</v>
      </c>
      <c r="D73" s="10">
        <v>21.280384999999999</v>
      </c>
      <c r="E73" s="10">
        <v>21.280384999999999</v>
      </c>
      <c r="F73" s="65">
        <f t="shared" si="2"/>
        <v>0.97668117500130536</v>
      </c>
      <c r="G73" s="65">
        <f t="shared" si="2"/>
        <v>0.97668117500130536</v>
      </c>
      <c r="H73" s="65">
        <f t="shared" si="2"/>
        <v>0.97668117500130536</v>
      </c>
    </row>
    <row r="74" spans="1:8">
      <c r="A74" s="499">
        <v>43</v>
      </c>
      <c r="B74" s="26">
        <v>1247.097867</v>
      </c>
      <c r="C74" s="10">
        <v>18.370144</v>
      </c>
      <c r="D74" s="10">
        <v>18.370144</v>
      </c>
      <c r="E74" s="10">
        <v>18.370144</v>
      </c>
      <c r="F74" s="65">
        <f t="shared" si="2"/>
        <v>0.97885327088382379</v>
      </c>
      <c r="G74" s="65">
        <f t="shared" si="2"/>
        <v>0.97885327088382379</v>
      </c>
      <c r="H74" s="65">
        <f t="shared" si="2"/>
        <v>0.97885327088382379</v>
      </c>
    </row>
    <row r="75" spans="1:8">
      <c r="A75" s="499">
        <v>366</v>
      </c>
      <c r="B75" s="26">
        <v>783.80201299999999</v>
      </c>
      <c r="C75" s="10">
        <v>21.416664000000001</v>
      </c>
      <c r="D75" s="10">
        <v>21.416664000000001</v>
      </c>
      <c r="E75" s="10">
        <v>21.416664000000001</v>
      </c>
      <c r="F75" s="65">
        <f t="shared" si="2"/>
        <v>0.97600559133492371</v>
      </c>
      <c r="G75" s="65">
        <f t="shared" si="2"/>
        <v>0.97600559133492371</v>
      </c>
      <c r="H75" s="65">
        <f t="shared" si="2"/>
        <v>0.97600559133492371</v>
      </c>
    </row>
    <row r="76" spans="1:8">
      <c r="A76" s="499">
        <v>14</v>
      </c>
      <c r="B76" s="26">
        <v>1000.738935</v>
      </c>
      <c r="C76" s="10">
        <v>16.469284999999999</v>
      </c>
      <c r="D76" s="10">
        <v>16.469284999999999</v>
      </c>
      <c r="E76" s="10">
        <v>16.469284999999999</v>
      </c>
      <c r="F76" s="65">
        <f t="shared" si="2"/>
        <v>0.9788598459288318</v>
      </c>
      <c r="G76" s="65">
        <f t="shared" si="2"/>
        <v>0.9788598459288318</v>
      </c>
      <c r="H76" s="65">
        <f t="shared" si="2"/>
        <v>0.9788598459288318</v>
      </c>
    </row>
    <row r="77" spans="1:8">
      <c r="A77" s="499">
        <v>121</v>
      </c>
      <c r="B77" s="26">
        <v>807.34409800000003</v>
      </c>
      <c r="C77" s="10">
        <v>19.839504999999999</v>
      </c>
      <c r="D77" s="10">
        <v>19.839504999999999</v>
      </c>
      <c r="E77" s="10">
        <v>19.839504999999999</v>
      </c>
      <c r="F77" s="65">
        <f t="shared" si="2"/>
        <v>0.97873531670208735</v>
      </c>
      <c r="G77" s="65">
        <f t="shared" si="2"/>
        <v>0.97873531670208735</v>
      </c>
      <c r="H77" s="65">
        <f t="shared" si="2"/>
        <v>0.97873531670208735</v>
      </c>
    </row>
    <row r="78" spans="1:8">
      <c r="A78" s="499">
        <v>55</v>
      </c>
      <c r="B78" s="26">
        <v>1000.615959</v>
      </c>
      <c r="C78" s="10">
        <v>19.297452</v>
      </c>
      <c r="D78" s="10">
        <v>19.297452</v>
      </c>
      <c r="E78" s="10">
        <v>19.297452</v>
      </c>
      <c r="F78" s="65">
        <f t="shared" si="2"/>
        <v>0.97881752723341475</v>
      </c>
      <c r="G78" s="65">
        <f t="shared" si="2"/>
        <v>0.97881752723341475</v>
      </c>
      <c r="H78" s="65">
        <f t="shared" si="2"/>
        <v>0.97881752723341475</v>
      </c>
    </row>
    <row r="79" spans="1:8">
      <c r="A79" s="499">
        <v>172</v>
      </c>
      <c r="B79" s="26">
        <v>958.50946699999997</v>
      </c>
      <c r="C79" s="10">
        <v>16.714791000000002</v>
      </c>
      <c r="D79" s="10">
        <v>16.714791000000002</v>
      </c>
      <c r="E79" s="10">
        <v>16.714791000000002</v>
      </c>
      <c r="F79" s="65">
        <f t="shared" si="2"/>
        <v>0.97885974906169881</v>
      </c>
      <c r="G79" s="65">
        <f t="shared" si="2"/>
        <v>0.97885974906169881</v>
      </c>
      <c r="H79" s="65">
        <f t="shared" si="2"/>
        <v>0.97885974906169881</v>
      </c>
    </row>
    <row r="80" spans="1:8">
      <c r="A80" s="499">
        <v>143</v>
      </c>
      <c r="B80" s="26">
        <v>1000.199698</v>
      </c>
      <c r="C80" s="10">
        <v>18.196503</v>
      </c>
      <c r="D80" s="10">
        <v>18.196503</v>
      </c>
      <c r="E80" s="10">
        <v>18.196503</v>
      </c>
      <c r="F80" s="65">
        <f t="shared" si="2"/>
        <v>0.97885523431707611</v>
      </c>
      <c r="G80" s="65">
        <f t="shared" si="2"/>
        <v>0.97885523431707611</v>
      </c>
      <c r="H80" s="65">
        <f t="shared" si="2"/>
        <v>0.97885523431707611</v>
      </c>
    </row>
    <row r="81" spans="1:8">
      <c r="A81" s="499">
        <v>260</v>
      </c>
      <c r="B81" s="26">
        <v>1001.788756</v>
      </c>
      <c r="C81" s="10">
        <v>20.73527</v>
      </c>
      <c r="D81" s="10">
        <v>20.73527</v>
      </c>
      <c r="E81" s="10">
        <v>20.73527</v>
      </c>
      <c r="F81" s="65">
        <f t="shared" si="2"/>
        <v>0.97812126981210734</v>
      </c>
      <c r="G81" s="65">
        <f t="shared" si="2"/>
        <v>0.97812126981210734</v>
      </c>
      <c r="H81" s="65">
        <f t="shared" si="2"/>
        <v>0.97812126981210734</v>
      </c>
    </row>
    <row r="82" spans="1:8">
      <c r="A82" s="499">
        <v>132</v>
      </c>
      <c r="B82" s="26">
        <v>1805.551528</v>
      </c>
      <c r="C82" s="10">
        <v>19.679237000000001</v>
      </c>
      <c r="D82" s="10">
        <v>19.679237000000001</v>
      </c>
      <c r="E82" s="10">
        <v>19.679237000000001</v>
      </c>
      <c r="F82" s="65">
        <f t="shared" si="2"/>
        <v>0.97876931632881403</v>
      </c>
      <c r="G82" s="65">
        <f t="shared" si="2"/>
        <v>0.97876931632881403</v>
      </c>
      <c r="H82" s="65">
        <f t="shared" si="2"/>
        <v>0.97876931632881403</v>
      </c>
    </row>
    <row r="83" spans="1:8">
      <c r="A83" s="499">
        <v>392</v>
      </c>
      <c r="B83" s="26">
        <v>1000.478463</v>
      </c>
      <c r="C83" s="10">
        <v>22.399708</v>
      </c>
      <c r="D83" s="10">
        <v>22.399708</v>
      </c>
      <c r="E83" s="10">
        <v>22.399708</v>
      </c>
      <c r="F83" s="65">
        <f t="shared" si="2"/>
        <v>0.95908200673517197</v>
      </c>
      <c r="G83" s="65">
        <f t="shared" si="2"/>
        <v>0.95908200673517197</v>
      </c>
      <c r="H83" s="65">
        <f t="shared" si="2"/>
        <v>0.95908200673517197</v>
      </c>
    </row>
    <row r="84" spans="1:8">
      <c r="A84" s="499">
        <v>215</v>
      </c>
      <c r="B84" s="26">
        <v>1001.53987</v>
      </c>
      <c r="C84" s="10">
        <v>21.22373</v>
      </c>
      <c r="D84" s="10">
        <v>21.22373</v>
      </c>
      <c r="E84" s="10">
        <v>21.22373</v>
      </c>
      <c r="F84" s="65">
        <f t="shared" si="2"/>
        <v>0.97691267685439487</v>
      </c>
      <c r="G84" s="65">
        <f t="shared" si="2"/>
        <v>0.97691267685439487</v>
      </c>
      <c r="H84" s="65">
        <f t="shared" si="2"/>
        <v>0.97691267685439487</v>
      </c>
    </row>
    <row r="85" spans="1:8">
      <c r="A85" s="499">
        <v>440</v>
      </c>
      <c r="B85" s="26">
        <v>999.734059</v>
      </c>
      <c r="C85" s="10">
        <v>17.540375000000001</v>
      </c>
      <c r="D85" s="10">
        <v>17.540375000000001</v>
      </c>
      <c r="E85" s="10">
        <v>17.540375000000001</v>
      </c>
      <c r="F85" s="65">
        <f t="shared" si="2"/>
        <v>0.9788587059297329</v>
      </c>
      <c r="G85" s="65">
        <f t="shared" si="2"/>
        <v>0.9788587059297329</v>
      </c>
      <c r="H85" s="65">
        <f t="shared" si="2"/>
        <v>0.9788587059297329</v>
      </c>
    </row>
    <row r="86" spans="1:8">
      <c r="A86" s="499">
        <v>312</v>
      </c>
      <c r="B86" s="26">
        <v>1642.933462</v>
      </c>
      <c r="C86" s="10">
        <v>17.357393999999999</v>
      </c>
      <c r="D86" s="10">
        <v>17.357393999999999</v>
      </c>
      <c r="E86" s="10">
        <v>17.357393999999999</v>
      </c>
      <c r="F86" s="65">
        <f t="shared" si="2"/>
        <v>0.97885910036808954</v>
      </c>
      <c r="G86" s="65">
        <f t="shared" si="2"/>
        <v>0.97885910036808954</v>
      </c>
      <c r="H86" s="65">
        <f t="shared" si="2"/>
        <v>0.97885910036808954</v>
      </c>
    </row>
    <row r="87" spans="1:8">
      <c r="A87" s="499">
        <v>32</v>
      </c>
      <c r="B87" s="26">
        <v>999.75583700000004</v>
      </c>
      <c r="C87" s="10">
        <v>16.469284999999999</v>
      </c>
      <c r="D87" s="10">
        <v>16.469284999999999</v>
      </c>
      <c r="E87" s="10">
        <v>16.469284999999999</v>
      </c>
      <c r="F87" s="65">
        <f t="shared" si="2"/>
        <v>0.9788598459288318</v>
      </c>
      <c r="G87" s="65">
        <f t="shared" si="2"/>
        <v>0.9788598459288318</v>
      </c>
      <c r="H87" s="65">
        <f t="shared" si="2"/>
        <v>0.9788598459288318</v>
      </c>
    </row>
    <row r="88" spans="1:8">
      <c r="A88" s="499">
        <v>153</v>
      </c>
      <c r="B88" s="26">
        <v>1485.4842839999999</v>
      </c>
      <c r="C88" s="10">
        <v>23.139669999999999</v>
      </c>
      <c r="D88" s="10">
        <v>23.139669999999999</v>
      </c>
      <c r="E88" s="10">
        <v>23.139669999999999</v>
      </c>
      <c r="F88" s="65">
        <f t="shared" si="2"/>
        <v>0.89827665956951197</v>
      </c>
      <c r="G88" s="65">
        <f t="shared" si="2"/>
        <v>0.89827665956951197</v>
      </c>
      <c r="H88" s="65">
        <f t="shared" si="2"/>
        <v>0.89827665956951197</v>
      </c>
    </row>
    <row r="89" spans="1:8">
      <c r="A89" s="499">
        <v>133</v>
      </c>
      <c r="B89" s="26">
        <v>1001.879114</v>
      </c>
      <c r="C89" s="10">
        <v>19.155049000000002</v>
      </c>
      <c r="D89" s="10">
        <v>19.155049000000002</v>
      </c>
      <c r="E89" s="10">
        <v>19.155049000000002</v>
      </c>
      <c r="F89" s="65">
        <f t="shared" si="2"/>
        <v>0.97882799362275219</v>
      </c>
      <c r="G89" s="65">
        <f t="shared" si="2"/>
        <v>0.97882799362275219</v>
      </c>
      <c r="H89" s="65">
        <f t="shared" si="2"/>
        <v>0.97882799362275219</v>
      </c>
    </row>
    <row r="90" spans="1:8">
      <c r="A90" s="499">
        <v>298</v>
      </c>
      <c r="B90" s="26">
        <v>1000.904847</v>
      </c>
      <c r="C90" s="10">
        <v>16.87659</v>
      </c>
      <c r="D90" s="10">
        <v>16.87659</v>
      </c>
      <c r="E90" s="10">
        <v>16.87659</v>
      </c>
      <c r="F90" s="65">
        <f t="shared" si="2"/>
        <v>0.97885965391539909</v>
      </c>
      <c r="G90" s="65">
        <f t="shared" si="2"/>
        <v>0.97885965391539909</v>
      </c>
      <c r="H90" s="65">
        <f t="shared" si="2"/>
        <v>0.97885965391539909</v>
      </c>
    </row>
    <row r="91" spans="1:8">
      <c r="A91" s="499">
        <v>433</v>
      </c>
      <c r="B91" s="26">
        <v>1584.2477220000001</v>
      </c>
      <c r="C91" s="10">
        <v>18.462935999999999</v>
      </c>
      <c r="D91" s="10">
        <v>18.462935999999999</v>
      </c>
      <c r="E91" s="10">
        <v>18.462935999999999</v>
      </c>
      <c r="F91" s="65">
        <f t="shared" si="2"/>
        <v>0.97885190853668747</v>
      </c>
      <c r="G91" s="65">
        <f t="shared" si="2"/>
        <v>0.97885190853668747</v>
      </c>
      <c r="H91" s="65">
        <f t="shared" si="2"/>
        <v>0.97885190853668747</v>
      </c>
    </row>
    <row r="92" spans="1:8">
      <c r="A92" s="499">
        <v>371</v>
      </c>
      <c r="B92" s="26">
        <v>998.78193899999997</v>
      </c>
      <c r="C92" s="10">
        <v>21.416664000000001</v>
      </c>
      <c r="D92" s="10">
        <v>21.416664000000001</v>
      </c>
      <c r="E92" s="10">
        <v>21.416664000000001</v>
      </c>
      <c r="F92" s="65">
        <f t="shared" si="2"/>
        <v>0.97600559133492371</v>
      </c>
      <c r="G92" s="65">
        <f t="shared" si="2"/>
        <v>0.97600559133492371</v>
      </c>
      <c r="H92" s="65">
        <f t="shared" si="2"/>
        <v>0.97600559133492371</v>
      </c>
    </row>
    <row r="93" spans="1:8">
      <c r="A93" s="499">
        <v>311</v>
      </c>
      <c r="B93" s="26">
        <v>999.63654499999996</v>
      </c>
      <c r="C93" s="10">
        <v>19.297452</v>
      </c>
      <c r="D93" s="10">
        <v>19.297452</v>
      </c>
      <c r="E93" s="10">
        <v>19.297452</v>
      </c>
      <c r="F93" s="65">
        <f t="shared" si="2"/>
        <v>0.97881752723341475</v>
      </c>
      <c r="G93" s="65">
        <f t="shared" si="2"/>
        <v>0.97881752723341475</v>
      </c>
      <c r="H93" s="65">
        <f t="shared" si="2"/>
        <v>0.97881752723341475</v>
      </c>
    </row>
    <row r="94" spans="1:8">
      <c r="A94" s="499">
        <v>279</v>
      </c>
      <c r="B94" s="26">
        <v>1001.769822</v>
      </c>
      <c r="C94" s="10">
        <v>20.707708</v>
      </c>
      <c r="D94" s="10">
        <v>20.707708</v>
      </c>
      <c r="E94" s="10">
        <v>20.707708</v>
      </c>
      <c r="F94" s="65">
        <f t="shared" si="2"/>
        <v>0.97816060868911026</v>
      </c>
      <c r="G94" s="65">
        <f t="shared" si="2"/>
        <v>0.97816060868911026</v>
      </c>
      <c r="H94" s="65">
        <f t="shared" si="2"/>
        <v>0.97816060868911026</v>
      </c>
    </row>
    <row r="95" spans="1:8">
      <c r="A95" s="499">
        <v>482</v>
      </c>
      <c r="B95" s="26">
        <v>984.58289300000001</v>
      </c>
      <c r="C95" s="10">
        <v>19.076446000000001</v>
      </c>
      <c r="D95" s="10">
        <v>19.076446000000001</v>
      </c>
      <c r="E95" s="10">
        <v>19.076446000000001</v>
      </c>
      <c r="F95" s="65">
        <f t="shared" si="2"/>
        <v>0.97883262131868587</v>
      </c>
      <c r="G95" s="65">
        <f t="shared" si="2"/>
        <v>0.97883262131868587</v>
      </c>
      <c r="H95" s="65">
        <f t="shared" si="2"/>
        <v>0.97883262131868587</v>
      </c>
    </row>
    <row r="96" spans="1:8">
      <c r="A96" s="499">
        <v>342</v>
      </c>
      <c r="B96" s="26">
        <v>1001.194539</v>
      </c>
      <c r="C96" s="10">
        <v>22.399708</v>
      </c>
      <c r="D96" s="10">
        <v>22.399708</v>
      </c>
      <c r="E96" s="10">
        <v>22.399708</v>
      </c>
      <c r="F96" s="65">
        <f t="shared" si="2"/>
        <v>0.95908200673517197</v>
      </c>
      <c r="G96" s="65">
        <f t="shared" si="2"/>
        <v>0.95908200673517197</v>
      </c>
      <c r="H96" s="65">
        <f t="shared" si="2"/>
        <v>0.95908200673517197</v>
      </c>
    </row>
    <row r="97" spans="1:8">
      <c r="A97" s="499">
        <v>48</v>
      </c>
      <c r="B97" s="26">
        <v>1174.1447109999999</v>
      </c>
      <c r="C97" s="10">
        <v>22.480862999999999</v>
      </c>
      <c r="D97" s="10">
        <v>22.480862999999999</v>
      </c>
      <c r="E97" s="10">
        <v>22.480862999999999</v>
      </c>
      <c r="F97" s="65">
        <f t="shared" si="2"/>
        <v>0.95570324537876172</v>
      </c>
      <c r="G97" s="65">
        <f t="shared" si="2"/>
        <v>0.95570324537876172</v>
      </c>
      <c r="H97" s="65">
        <f t="shared" si="2"/>
        <v>0.95570324537876172</v>
      </c>
    </row>
    <row r="98" spans="1:8">
      <c r="A98" s="499">
        <v>435</v>
      </c>
      <c r="B98" s="26">
        <v>999.41684499999997</v>
      </c>
      <c r="C98" s="10">
        <v>22.480862999999999</v>
      </c>
      <c r="D98" s="10">
        <v>22.480862999999999</v>
      </c>
      <c r="E98" s="10">
        <v>22.480862999999999</v>
      </c>
      <c r="F98" s="65">
        <f t="shared" si="2"/>
        <v>0.95570324537876172</v>
      </c>
      <c r="G98" s="65">
        <f t="shared" si="2"/>
        <v>0.95570324537876172</v>
      </c>
      <c r="H98" s="65">
        <f t="shared" si="2"/>
        <v>0.95570324537876172</v>
      </c>
    </row>
    <row r="99" spans="1:8">
      <c r="A99" s="499">
        <v>93</v>
      </c>
      <c r="B99" s="26">
        <v>1001.771291</v>
      </c>
      <c r="C99" s="10">
        <v>16.87659</v>
      </c>
      <c r="D99" s="10">
        <v>16.87659</v>
      </c>
      <c r="E99" s="10">
        <v>16.87659</v>
      </c>
      <c r="F99" s="65">
        <f t="shared" si="2"/>
        <v>0.97885965391539909</v>
      </c>
      <c r="G99" s="65">
        <f t="shared" si="2"/>
        <v>0.97885965391539909</v>
      </c>
      <c r="H99" s="65">
        <f t="shared" si="2"/>
        <v>0.97885965391539909</v>
      </c>
    </row>
    <row r="100" spans="1:8">
      <c r="A100" s="499">
        <v>428</v>
      </c>
      <c r="B100" s="26">
        <v>1095.4229029999999</v>
      </c>
      <c r="C100" s="10">
        <v>30.770900000000001</v>
      </c>
      <c r="D100" s="10">
        <v>30.770900000000001</v>
      </c>
      <c r="E100" s="10">
        <v>30.770900000000001</v>
      </c>
      <c r="F100" s="65">
        <f t="shared" si="2"/>
        <v>2.8375441524771997E-6</v>
      </c>
      <c r="G100" s="65">
        <f t="shared" si="2"/>
        <v>2.8375441524771997E-6</v>
      </c>
      <c r="H100" s="65">
        <f t="shared" si="2"/>
        <v>2.8375441524771997E-6</v>
      </c>
    </row>
    <row r="101" spans="1:8">
      <c r="A101" s="499">
        <v>389</v>
      </c>
      <c r="B101" s="26">
        <v>1001.739689</v>
      </c>
      <c r="C101" s="10">
        <v>17.974986999999999</v>
      </c>
      <c r="D101" s="10">
        <v>17.974986999999999</v>
      </c>
      <c r="E101" s="10">
        <v>17.974986999999999</v>
      </c>
      <c r="F101" s="65">
        <f t="shared" si="2"/>
        <v>0.97885693111157213</v>
      </c>
      <c r="G101" s="65">
        <f t="shared" si="2"/>
        <v>0.97885693111157213</v>
      </c>
      <c r="H101" s="65">
        <f t="shared" si="2"/>
        <v>0.97885693111157213</v>
      </c>
    </row>
    <row r="102" spans="1:8">
      <c r="A102" s="499">
        <v>233</v>
      </c>
      <c r="B102" s="26">
        <v>1680.4047880000001</v>
      </c>
      <c r="C102" s="10">
        <v>20.828133999999999</v>
      </c>
      <c r="D102" s="10">
        <v>20.828133999999999</v>
      </c>
      <c r="E102" s="10">
        <v>20.828133999999999</v>
      </c>
      <c r="F102" s="65">
        <f t="shared" si="2"/>
        <v>0.97797171727797894</v>
      </c>
      <c r="G102" s="65">
        <f t="shared" si="2"/>
        <v>0.97797171727797894</v>
      </c>
      <c r="H102" s="65">
        <f t="shared" si="2"/>
        <v>0.97797171727797894</v>
      </c>
    </row>
    <row r="103" spans="1:8">
      <c r="A103" s="499">
        <v>122</v>
      </c>
      <c r="B103" s="26">
        <v>998.89066800000001</v>
      </c>
      <c r="C103" s="10">
        <v>22.480862999999999</v>
      </c>
      <c r="D103" s="10">
        <v>22.480862999999999</v>
      </c>
      <c r="E103" s="10">
        <v>22.480862999999999</v>
      </c>
      <c r="F103" s="65">
        <f t="shared" si="2"/>
        <v>0.95570324537876172</v>
      </c>
      <c r="G103" s="65">
        <f t="shared" si="2"/>
        <v>0.95570324537876172</v>
      </c>
      <c r="H103" s="65">
        <f t="shared" si="2"/>
        <v>0.95570324537876172</v>
      </c>
    </row>
    <row r="104" spans="1:8">
      <c r="A104" s="499">
        <v>307</v>
      </c>
      <c r="B104" s="26">
        <v>562.04332299999999</v>
      </c>
      <c r="C104" s="10">
        <v>18.001528</v>
      </c>
      <c r="D104" s="10">
        <v>18.001528</v>
      </c>
      <c r="E104" s="10">
        <v>18.001528</v>
      </c>
      <c r="F104" s="65">
        <f t="shared" si="2"/>
        <v>0.97885676493439822</v>
      </c>
      <c r="G104" s="65">
        <f t="shared" si="2"/>
        <v>0.97885676493439822</v>
      </c>
      <c r="H104" s="65">
        <f t="shared" si="2"/>
        <v>0.97885676493439822</v>
      </c>
    </row>
    <row r="105" spans="1:8">
      <c r="A105" s="499">
        <v>292</v>
      </c>
      <c r="B105" s="26">
        <v>999.99405899999999</v>
      </c>
      <c r="C105" s="10">
        <v>19.372482000000002</v>
      </c>
      <c r="D105" s="10">
        <v>19.372482000000002</v>
      </c>
      <c r="E105" s="10">
        <v>19.372482000000002</v>
      </c>
      <c r="F105" s="65">
        <f t="shared" si="2"/>
        <v>0.97881069959940636</v>
      </c>
      <c r="G105" s="65">
        <f t="shared" si="2"/>
        <v>0.97881069959940636</v>
      </c>
      <c r="H105" s="65">
        <f t="shared" si="2"/>
        <v>0.97881069959940636</v>
      </c>
    </row>
    <row r="106" spans="1:8">
      <c r="A106" s="499">
        <v>227</v>
      </c>
      <c r="B106" s="26">
        <v>1001.461334</v>
      </c>
      <c r="C106" s="10">
        <v>19.155049000000002</v>
      </c>
      <c r="D106" s="10">
        <v>19.155049000000002</v>
      </c>
      <c r="E106" s="10">
        <v>19.155049000000002</v>
      </c>
      <c r="F106" s="65">
        <f t="shared" si="2"/>
        <v>0.97882799362275219</v>
      </c>
      <c r="G106" s="65">
        <f t="shared" si="2"/>
        <v>0.97882799362275219</v>
      </c>
      <c r="H106" s="65">
        <f t="shared" si="2"/>
        <v>0.97882799362275219</v>
      </c>
    </row>
    <row r="107" spans="1:8">
      <c r="A107" s="499">
        <v>388</v>
      </c>
      <c r="B107" s="26">
        <v>1000.238369</v>
      </c>
      <c r="C107" s="10">
        <v>18.755400000000002</v>
      </c>
      <c r="D107" s="10">
        <v>18.755400000000002</v>
      </c>
      <c r="E107" s="10">
        <v>18.755400000000002</v>
      </c>
      <c r="F107" s="65">
        <f t="shared" si="2"/>
        <v>0.97884553262856699</v>
      </c>
      <c r="G107" s="65">
        <f t="shared" si="2"/>
        <v>0.97884553262856699</v>
      </c>
      <c r="H107" s="65">
        <f t="shared" si="2"/>
        <v>0.97884553262856699</v>
      </c>
    </row>
    <row r="108" spans="1:8">
      <c r="A108" s="499">
        <v>485</v>
      </c>
      <c r="B108" s="26">
        <v>1277.2402480000001</v>
      </c>
      <c r="C108" s="10">
        <v>19.896159999999998</v>
      </c>
      <c r="D108" s="10">
        <v>19.896159999999998</v>
      </c>
      <c r="E108" s="10">
        <v>19.896159999999998</v>
      </c>
      <c r="F108" s="65">
        <f t="shared" si="2"/>
        <v>0.97872046314127781</v>
      </c>
      <c r="G108" s="65">
        <f t="shared" si="2"/>
        <v>0.97872046314127781</v>
      </c>
      <c r="H108" s="65">
        <f t="shared" si="2"/>
        <v>0.97872046314127781</v>
      </c>
    </row>
    <row r="109" spans="1:8">
      <c r="A109" s="499">
        <v>408</v>
      </c>
      <c r="B109" s="26">
        <v>999.42886799999997</v>
      </c>
      <c r="C109" s="10">
        <v>21.126752</v>
      </c>
      <c r="D109" s="10">
        <v>21.126752</v>
      </c>
      <c r="E109" s="10">
        <v>21.126752</v>
      </c>
      <c r="F109" s="65">
        <f t="shared" si="2"/>
        <v>0.97725340004844397</v>
      </c>
      <c r="G109" s="65">
        <f t="shared" si="2"/>
        <v>0.97725340004844397</v>
      </c>
      <c r="H109" s="65">
        <f t="shared" si="2"/>
        <v>0.97725340004844397</v>
      </c>
    </row>
    <row r="110" spans="1:8">
      <c r="A110" s="499">
        <v>437</v>
      </c>
      <c r="B110" s="26">
        <v>999.04258900000002</v>
      </c>
      <c r="C110" s="10">
        <v>33.969624000000003</v>
      </c>
      <c r="D110" s="10">
        <v>33.969624000000003</v>
      </c>
      <c r="E110" s="10">
        <v>33.969624000000003</v>
      </c>
      <c r="F110" s="65">
        <f t="shared" si="2"/>
        <v>4.9292922945707466E-9</v>
      </c>
      <c r="G110" s="65">
        <f t="shared" si="2"/>
        <v>4.9292922945707466E-9</v>
      </c>
      <c r="H110" s="65">
        <f t="shared" si="2"/>
        <v>4.9292922945707466E-9</v>
      </c>
    </row>
    <row r="111" spans="1:8">
      <c r="A111" s="499">
        <v>204</v>
      </c>
      <c r="B111" s="26">
        <v>999.35898099999997</v>
      </c>
      <c r="C111" s="10">
        <v>34.643360999999999</v>
      </c>
      <c r="D111" s="10">
        <v>34.643360999999999</v>
      </c>
      <c r="E111" s="10">
        <v>34.643360999999999</v>
      </c>
      <c r="F111" s="65">
        <f t="shared" si="2"/>
        <v>1.2924717211254448E-9</v>
      </c>
      <c r="G111" s="65">
        <f t="shared" si="2"/>
        <v>1.2924717211254448E-9</v>
      </c>
      <c r="H111" s="65">
        <f t="shared" si="2"/>
        <v>1.2924717211254448E-9</v>
      </c>
    </row>
    <row r="112" spans="1:8">
      <c r="A112" s="499">
        <v>300</v>
      </c>
      <c r="B112" s="26">
        <v>1151.9661610000001</v>
      </c>
      <c r="C112" s="10">
        <v>34.643360999999999</v>
      </c>
      <c r="D112" s="10">
        <v>34.643360999999999</v>
      </c>
      <c r="E112" s="10">
        <v>34.643360999999999</v>
      </c>
      <c r="F112" s="65">
        <f t="shared" si="2"/>
        <v>1.2924717211254448E-9</v>
      </c>
      <c r="G112" s="65">
        <f t="shared" si="2"/>
        <v>1.2924717211254448E-9</v>
      </c>
      <c r="H112" s="65">
        <f t="shared" si="2"/>
        <v>1.2924717211254448E-9</v>
      </c>
    </row>
    <row r="113" spans="1:8">
      <c r="A113" s="499">
        <v>83</v>
      </c>
      <c r="B113" s="26">
        <v>460.59288500000002</v>
      </c>
      <c r="C113" s="10">
        <v>22.245564999999999</v>
      </c>
      <c r="D113" s="10">
        <v>22.245564999999999</v>
      </c>
      <c r="E113" s="10">
        <v>22.245564999999999</v>
      </c>
      <c r="F113" s="65">
        <f t="shared" si="2"/>
        <v>0.9642215774795676</v>
      </c>
      <c r="G113" s="65">
        <f t="shared" si="2"/>
        <v>0.9642215774795676</v>
      </c>
      <c r="H113" s="65">
        <f t="shared" si="2"/>
        <v>0.9642215774795676</v>
      </c>
    </row>
    <row r="114" spans="1:8">
      <c r="A114" s="499">
        <v>4</v>
      </c>
      <c r="B114" s="26">
        <v>1001.280856</v>
      </c>
      <c r="C114" s="10">
        <v>33.236679000000002</v>
      </c>
      <c r="D114" s="10">
        <v>33.236679000000002</v>
      </c>
      <c r="E114" s="10">
        <v>33.236679000000002</v>
      </c>
      <c r="F114" s="65">
        <f t="shared" si="2"/>
        <v>2.1146490795253469E-8</v>
      </c>
      <c r="G114" s="65">
        <f t="shared" si="2"/>
        <v>2.1146490795253469E-8</v>
      </c>
      <c r="H114" s="65">
        <f t="shared" si="2"/>
        <v>2.1146490795253469E-8</v>
      </c>
    </row>
    <row r="115" spans="1:8">
      <c r="A115" s="499">
        <v>40</v>
      </c>
      <c r="B115" s="26">
        <v>998.55532400000004</v>
      </c>
      <c r="C115" s="10">
        <v>17.419153000000001</v>
      </c>
      <c r="D115" s="10">
        <v>17.419153000000001</v>
      </c>
      <c r="E115" s="10">
        <v>17.419153000000001</v>
      </c>
      <c r="F115" s="65">
        <f t="shared" si="2"/>
        <v>0.97885898291731299</v>
      </c>
      <c r="G115" s="65">
        <f t="shared" si="2"/>
        <v>0.97885898291731299</v>
      </c>
      <c r="H115" s="65">
        <f t="shared" si="2"/>
        <v>0.97885898291731299</v>
      </c>
    </row>
    <row r="116" spans="1:8">
      <c r="A116" s="499">
        <v>173</v>
      </c>
      <c r="B116" s="26">
        <v>998.91558599999996</v>
      </c>
      <c r="C116" s="10">
        <v>20.523961</v>
      </c>
      <c r="D116" s="10">
        <v>20.523961</v>
      </c>
      <c r="E116" s="10">
        <v>20.523961</v>
      </c>
      <c r="F116" s="65">
        <f t="shared" si="2"/>
        <v>0.97837441977350947</v>
      </c>
      <c r="G116" s="65">
        <f t="shared" si="2"/>
        <v>0.97837441977350947</v>
      </c>
      <c r="H116" s="65">
        <f t="shared" si="2"/>
        <v>0.97837441977350947</v>
      </c>
    </row>
    <row r="117" spans="1:8">
      <c r="A117" s="499">
        <v>429</v>
      </c>
      <c r="B117" s="26">
        <v>945.13485500000002</v>
      </c>
      <c r="C117" s="10">
        <v>18.415161999999999</v>
      </c>
      <c r="D117" s="10">
        <v>18.415161999999999</v>
      </c>
      <c r="E117" s="10">
        <v>18.415161999999999</v>
      </c>
      <c r="F117" s="65">
        <f t="shared" si="2"/>
        <v>0.9788526412592492</v>
      </c>
      <c r="G117" s="65">
        <f t="shared" si="2"/>
        <v>0.9788526412592492</v>
      </c>
      <c r="H117" s="65">
        <f t="shared" si="2"/>
        <v>0.9788526412592492</v>
      </c>
    </row>
    <row r="118" spans="1:8">
      <c r="A118" s="499">
        <v>239</v>
      </c>
      <c r="B118" s="26">
        <v>433.43039900000002</v>
      </c>
      <c r="C118" s="10">
        <v>17.900977999999999</v>
      </c>
      <c r="D118" s="10">
        <v>17.900977999999999</v>
      </c>
      <c r="E118" s="10">
        <v>17.900977999999999</v>
      </c>
      <c r="F118" s="65">
        <f t="shared" si="2"/>
        <v>0.97885735077177283</v>
      </c>
      <c r="G118" s="65">
        <f t="shared" si="2"/>
        <v>0.97885735077177283</v>
      </c>
      <c r="H118" s="65">
        <f t="shared" si="2"/>
        <v>0.97885735077177283</v>
      </c>
    </row>
    <row r="119" spans="1:8">
      <c r="A119" s="499">
        <v>171</v>
      </c>
      <c r="B119" s="26">
        <v>998.80986700000005</v>
      </c>
      <c r="C119" s="10">
        <v>18.196503</v>
      </c>
      <c r="D119" s="10">
        <v>18.196503</v>
      </c>
      <c r="E119" s="10">
        <v>18.196503</v>
      </c>
      <c r="F119" s="65">
        <f t="shared" si="2"/>
        <v>0.97885523431707611</v>
      </c>
      <c r="G119" s="65">
        <f t="shared" si="2"/>
        <v>0.97885523431707611</v>
      </c>
      <c r="H119" s="65">
        <f t="shared" si="2"/>
        <v>0.97885523431707611</v>
      </c>
    </row>
    <row r="120" spans="1:8">
      <c r="A120" s="499">
        <v>483</v>
      </c>
      <c r="B120" s="26">
        <v>1002.135434</v>
      </c>
      <c r="C120" s="10">
        <v>21.604493999999999</v>
      </c>
      <c r="D120" s="10">
        <v>21.604493999999999</v>
      </c>
      <c r="E120" s="10">
        <v>21.604493999999999</v>
      </c>
      <c r="F120" s="65">
        <f t="shared" si="2"/>
        <v>0.97471980315981721</v>
      </c>
      <c r="G120" s="65">
        <f t="shared" si="2"/>
        <v>0.97471980315981721</v>
      </c>
      <c r="H120" s="65">
        <f t="shared" si="2"/>
        <v>0.97471980315981721</v>
      </c>
    </row>
    <row r="121" spans="1:8">
      <c r="A121" s="499">
        <v>25</v>
      </c>
      <c r="B121" s="26">
        <v>1001.301815</v>
      </c>
      <c r="C121" s="10">
        <v>20.629615999999999</v>
      </c>
      <c r="D121" s="10">
        <v>20.629615999999999</v>
      </c>
      <c r="E121" s="10">
        <v>20.629615999999999</v>
      </c>
      <c r="F121" s="65">
        <f t="shared" si="2"/>
        <v>0.97826106495665754</v>
      </c>
      <c r="G121" s="65">
        <f t="shared" si="2"/>
        <v>0.97826106495665754</v>
      </c>
      <c r="H121" s="65">
        <f t="shared" si="2"/>
        <v>0.97826106495665754</v>
      </c>
    </row>
    <row r="122" spans="1:8">
      <c r="A122" s="499">
        <v>61</v>
      </c>
      <c r="B122" s="26">
        <v>879.98183100000006</v>
      </c>
      <c r="C122" s="10">
        <v>21.942233999999999</v>
      </c>
      <c r="D122" s="10">
        <v>21.942233999999999</v>
      </c>
      <c r="E122" s="10">
        <v>21.942233999999999</v>
      </c>
      <c r="F122" s="65">
        <f t="shared" si="2"/>
        <v>0.970793192453135</v>
      </c>
      <c r="G122" s="65">
        <f t="shared" si="2"/>
        <v>0.970793192453135</v>
      </c>
      <c r="H122" s="65">
        <f t="shared" si="2"/>
        <v>0.970793192453135</v>
      </c>
    </row>
    <row r="123" spans="1:8">
      <c r="A123" s="499">
        <v>282</v>
      </c>
      <c r="B123" s="26">
        <v>1001.368843</v>
      </c>
      <c r="C123" s="10">
        <v>20.73527</v>
      </c>
      <c r="D123" s="10">
        <v>20.73527</v>
      </c>
      <c r="E123" s="10">
        <v>20.73527</v>
      </c>
      <c r="F123" s="65">
        <f t="shared" si="2"/>
        <v>0.97812126981210734</v>
      </c>
      <c r="G123" s="65">
        <f t="shared" si="2"/>
        <v>0.97812126981210734</v>
      </c>
      <c r="H123" s="65">
        <f t="shared" si="2"/>
        <v>0.97812126981210734</v>
      </c>
    </row>
    <row r="124" spans="1:8">
      <c r="A124" s="499">
        <v>26</v>
      </c>
      <c r="B124" s="26">
        <v>1138.773081</v>
      </c>
      <c r="C124" s="10">
        <v>19.503861000000001</v>
      </c>
      <c r="D124" s="10">
        <v>19.503861000000001</v>
      </c>
      <c r="E124" s="10">
        <v>19.503861000000001</v>
      </c>
      <c r="F124" s="65">
        <f t="shared" si="2"/>
        <v>0.97879599556664831</v>
      </c>
      <c r="G124" s="65">
        <f t="shared" si="2"/>
        <v>0.97879599556664831</v>
      </c>
      <c r="H124" s="65">
        <f t="shared" si="2"/>
        <v>0.97879599556664831</v>
      </c>
    </row>
    <row r="125" spans="1:8">
      <c r="A125" s="499">
        <v>367</v>
      </c>
      <c r="B125" s="26">
        <v>1001.716391</v>
      </c>
      <c r="C125" s="10">
        <v>20.73527</v>
      </c>
      <c r="D125" s="10">
        <v>20.73527</v>
      </c>
      <c r="E125" s="10">
        <v>20.73527</v>
      </c>
      <c r="F125" s="65">
        <f t="shared" si="2"/>
        <v>0.97812126981210734</v>
      </c>
      <c r="G125" s="65">
        <f t="shared" si="2"/>
        <v>0.97812126981210734</v>
      </c>
      <c r="H125" s="65">
        <f t="shared" si="2"/>
        <v>0.97812126981210734</v>
      </c>
    </row>
    <row r="126" spans="1:8">
      <c r="A126" s="499">
        <v>182</v>
      </c>
      <c r="B126" s="26">
        <v>1653.331606</v>
      </c>
      <c r="C126" s="10">
        <v>16.714791000000002</v>
      </c>
      <c r="D126" s="10">
        <v>16.714791000000002</v>
      </c>
      <c r="E126" s="10">
        <v>16.714791000000002</v>
      </c>
      <c r="F126" s="65">
        <f t="shared" si="2"/>
        <v>0.97885974906169881</v>
      </c>
      <c r="G126" s="65">
        <f t="shared" si="2"/>
        <v>0.97885974906169881</v>
      </c>
      <c r="H126" s="65">
        <f t="shared" si="2"/>
        <v>0.97885974906169881</v>
      </c>
    </row>
    <row r="127" spans="1:8">
      <c r="A127" s="499">
        <v>306</v>
      </c>
      <c r="B127" s="26">
        <v>998.98075400000005</v>
      </c>
      <c r="C127" s="10">
        <v>21.113482000000001</v>
      </c>
      <c r="D127" s="10">
        <v>21.113482000000001</v>
      </c>
      <c r="E127" s="10">
        <v>21.113482000000001</v>
      </c>
      <c r="F127" s="65">
        <f t="shared" si="2"/>
        <v>0.9772951392538779</v>
      </c>
      <c r="G127" s="65">
        <f t="shared" si="2"/>
        <v>0.9772951392538779</v>
      </c>
      <c r="H127" s="65">
        <f t="shared" si="2"/>
        <v>0.9772951392538779</v>
      </c>
    </row>
    <row r="128" spans="1:8">
      <c r="A128" s="499">
        <v>216</v>
      </c>
      <c r="B128" s="26">
        <v>669.54926999999998</v>
      </c>
      <c r="C128" s="10">
        <v>23.401229000000001</v>
      </c>
      <c r="D128" s="10">
        <v>23.401229000000001</v>
      </c>
      <c r="E128" s="10">
        <v>23.401229000000001</v>
      </c>
      <c r="F128" s="65">
        <f t="shared" si="2"/>
        <v>0.85055714911358105</v>
      </c>
      <c r="G128" s="65">
        <f t="shared" si="2"/>
        <v>0.85055714911358105</v>
      </c>
      <c r="H128" s="65">
        <f t="shared" si="2"/>
        <v>0.85055714911358105</v>
      </c>
    </row>
    <row r="129" spans="1:8">
      <c r="A129" s="499">
        <v>167</v>
      </c>
      <c r="B129" s="26">
        <v>1000.001845</v>
      </c>
      <c r="C129" s="10">
        <v>19.372482000000002</v>
      </c>
      <c r="D129" s="10">
        <v>19.372482000000002</v>
      </c>
      <c r="E129" s="10">
        <v>19.372482000000002</v>
      </c>
      <c r="F129" s="65">
        <f t="shared" si="2"/>
        <v>0.97881069959940636</v>
      </c>
      <c r="G129" s="65">
        <f t="shared" si="2"/>
        <v>0.97881069959940636</v>
      </c>
      <c r="H129" s="65">
        <f t="shared" si="2"/>
        <v>0.97881069959940636</v>
      </c>
    </row>
    <row r="130" spans="1:8">
      <c r="A130" s="499">
        <v>192</v>
      </c>
      <c r="B130" s="26">
        <v>999.10761600000001</v>
      </c>
      <c r="C130" s="10">
        <v>22.000641999999999</v>
      </c>
      <c r="D130" s="10">
        <v>22.000641999999999</v>
      </c>
      <c r="E130" s="10">
        <v>22.000641999999999</v>
      </c>
      <c r="F130" s="65">
        <f t="shared" si="2"/>
        <v>0.96980973248423685</v>
      </c>
      <c r="G130" s="65">
        <f t="shared" si="2"/>
        <v>0.96980973248423685</v>
      </c>
      <c r="H130" s="65">
        <f t="shared" si="2"/>
        <v>0.96980973248423685</v>
      </c>
    </row>
    <row r="131" spans="1:8">
      <c r="A131" s="499">
        <v>315</v>
      </c>
      <c r="B131" s="26">
        <v>1001.372377</v>
      </c>
      <c r="C131" s="10">
        <v>22.384224</v>
      </c>
      <c r="D131" s="10">
        <v>22.384224</v>
      </c>
      <c r="E131" s="10">
        <v>22.384224</v>
      </c>
      <c r="F131" s="65">
        <f t="shared" si="2"/>
        <v>0.9596694638306843</v>
      </c>
      <c r="G131" s="65">
        <f t="shared" si="2"/>
        <v>0.9596694638306843</v>
      </c>
      <c r="H131" s="65">
        <f t="shared" si="2"/>
        <v>0.9596694638306843</v>
      </c>
    </row>
    <row r="132" spans="1:8">
      <c r="A132" s="499">
        <v>178</v>
      </c>
      <c r="B132" s="26">
        <v>998.43489599999998</v>
      </c>
      <c r="C132" s="10">
        <v>21.488631000000002</v>
      </c>
      <c r="D132" s="10">
        <v>21.488631000000002</v>
      </c>
      <c r="E132" s="10">
        <v>21.488631000000002</v>
      </c>
      <c r="F132" s="65">
        <f t="shared" si="2"/>
        <v>0.97556829123263</v>
      </c>
      <c r="G132" s="65">
        <f t="shared" si="2"/>
        <v>0.97556829123263</v>
      </c>
      <c r="H132" s="65">
        <f t="shared" si="2"/>
        <v>0.97556829123263</v>
      </c>
    </row>
    <row r="133" spans="1:8">
      <c r="A133" s="499">
        <v>81</v>
      </c>
      <c r="B133" s="26">
        <v>1000.094786</v>
      </c>
      <c r="C133" s="10">
        <v>21.488631000000002</v>
      </c>
      <c r="D133" s="10">
        <v>21.488631000000002</v>
      </c>
      <c r="E133" s="10">
        <v>21.488631000000002</v>
      </c>
      <c r="F133" s="65">
        <f t="shared" si="2"/>
        <v>0.97556829123263</v>
      </c>
      <c r="G133" s="65">
        <f t="shared" si="2"/>
        <v>0.97556829123263</v>
      </c>
      <c r="H133" s="65">
        <f t="shared" si="2"/>
        <v>0.97556829123263</v>
      </c>
    </row>
    <row r="134" spans="1:8">
      <c r="A134" s="499">
        <v>444</v>
      </c>
      <c r="B134" s="26">
        <v>1606.8919470000001</v>
      </c>
      <c r="C134" s="10">
        <v>20.061532</v>
      </c>
      <c r="D134" s="10">
        <v>20.061532</v>
      </c>
      <c r="E134" s="10">
        <v>20.061532</v>
      </c>
      <c r="F134" s="65">
        <f t="shared" ref="F134:H197" si="3">(97.886/(1+EXP(-((C134-24.35322)/-0.5033))))/100</f>
        <v>0.97866619572847768</v>
      </c>
      <c r="G134" s="65">
        <f t="shared" si="3"/>
        <v>0.97866619572847768</v>
      </c>
      <c r="H134" s="65">
        <f t="shared" si="3"/>
        <v>0.97866619572847768</v>
      </c>
    </row>
    <row r="135" spans="1:8">
      <c r="A135" s="499">
        <v>232</v>
      </c>
      <c r="B135" s="26">
        <v>999.87660800000003</v>
      </c>
      <c r="C135" s="10">
        <v>21.416664000000001</v>
      </c>
      <c r="D135" s="10">
        <v>21.416664000000001</v>
      </c>
      <c r="E135" s="10">
        <v>21.416664000000001</v>
      </c>
      <c r="F135" s="65">
        <f t="shared" si="3"/>
        <v>0.97600559133492371</v>
      </c>
      <c r="G135" s="65">
        <f t="shared" si="3"/>
        <v>0.97600559133492371</v>
      </c>
      <c r="H135" s="65">
        <f t="shared" si="3"/>
        <v>0.97600559133492371</v>
      </c>
    </row>
    <row r="136" spans="1:8">
      <c r="A136" s="499">
        <v>238</v>
      </c>
      <c r="B136" s="26">
        <v>1001.308265</v>
      </c>
      <c r="C136" s="10">
        <v>19.839504999999999</v>
      </c>
      <c r="D136" s="10">
        <v>19.839504999999999</v>
      </c>
      <c r="E136" s="10">
        <v>19.839504999999999</v>
      </c>
      <c r="F136" s="65">
        <f t="shared" si="3"/>
        <v>0.97873531670208735</v>
      </c>
      <c r="G136" s="65">
        <f t="shared" si="3"/>
        <v>0.97873531670208735</v>
      </c>
      <c r="H136" s="65">
        <f t="shared" si="3"/>
        <v>0.97873531670208735</v>
      </c>
    </row>
    <row r="137" spans="1:8">
      <c r="A137" s="499">
        <v>8</v>
      </c>
      <c r="B137" s="26">
        <v>751.74645599999997</v>
      </c>
      <c r="C137" s="10">
        <v>28.538378000000002</v>
      </c>
      <c r="D137" s="10">
        <v>28.538378000000002</v>
      </c>
      <c r="E137" s="10">
        <v>28.538378000000002</v>
      </c>
      <c r="F137" s="65">
        <f t="shared" si="3"/>
        <v>2.3947884732756833E-4</v>
      </c>
      <c r="G137" s="65">
        <f t="shared" si="3"/>
        <v>2.3947884732756833E-4</v>
      </c>
      <c r="H137" s="65">
        <f t="shared" si="3"/>
        <v>2.3947884732756833E-4</v>
      </c>
    </row>
    <row r="138" spans="1:8">
      <c r="A138" s="499">
        <v>475</v>
      </c>
      <c r="B138" s="26">
        <v>999.39248799999996</v>
      </c>
      <c r="C138" s="10">
        <v>28.538378000000002</v>
      </c>
      <c r="D138" s="10">
        <v>28.538378000000002</v>
      </c>
      <c r="E138" s="10">
        <v>28.538378000000002</v>
      </c>
      <c r="F138" s="65">
        <f t="shared" si="3"/>
        <v>2.3947884732756833E-4</v>
      </c>
      <c r="G138" s="65">
        <f t="shared" si="3"/>
        <v>2.3947884732756833E-4</v>
      </c>
      <c r="H138" s="65">
        <f t="shared" si="3"/>
        <v>2.3947884732756833E-4</v>
      </c>
    </row>
    <row r="139" spans="1:8">
      <c r="A139" s="499">
        <v>380</v>
      </c>
      <c r="B139" s="26">
        <v>846.02005799999995</v>
      </c>
      <c r="C139" s="10">
        <v>31.479856000000002</v>
      </c>
      <c r="D139" s="10">
        <v>31.479856000000002</v>
      </c>
      <c r="E139" s="10">
        <v>31.479856000000002</v>
      </c>
      <c r="F139" s="65">
        <f t="shared" si="3"/>
        <v>6.9372891517322701E-7</v>
      </c>
      <c r="G139" s="65">
        <f t="shared" si="3"/>
        <v>6.9372891517322701E-7</v>
      </c>
      <c r="H139" s="65">
        <f t="shared" si="3"/>
        <v>6.9372891517322701E-7</v>
      </c>
    </row>
    <row r="140" spans="1:8">
      <c r="A140" s="499">
        <v>175</v>
      </c>
      <c r="B140" s="26">
        <v>1000.558887</v>
      </c>
      <c r="C140" s="10">
        <v>20.046220000000002</v>
      </c>
      <c r="D140" s="10">
        <v>20.046220000000002</v>
      </c>
      <c r="E140" s="10">
        <v>20.046220000000002</v>
      </c>
      <c r="F140" s="65">
        <f t="shared" si="3"/>
        <v>0.97867200197338344</v>
      </c>
      <c r="G140" s="65">
        <f t="shared" si="3"/>
        <v>0.97867200197338344</v>
      </c>
      <c r="H140" s="65">
        <f t="shared" si="3"/>
        <v>0.97867200197338344</v>
      </c>
    </row>
    <row r="141" spans="1:8">
      <c r="A141" s="499">
        <v>271</v>
      </c>
      <c r="B141" s="26">
        <v>804.89449400000001</v>
      </c>
      <c r="C141" s="10">
        <v>21.596699999999998</v>
      </c>
      <c r="D141" s="10">
        <v>21.596699999999998</v>
      </c>
      <c r="E141" s="10">
        <v>21.596699999999998</v>
      </c>
      <c r="F141" s="65">
        <f t="shared" si="3"/>
        <v>0.97478315854534725</v>
      </c>
      <c r="G141" s="65">
        <f t="shared" si="3"/>
        <v>0.97478315854534725</v>
      </c>
      <c r="H141" s="65">
        <f t="shared" si="3"/>
        <v>0.97478315854534725</v>
      </c>
    </row>
    <row r="142" spans="1:8">
      <c r="A142" s="499">
        <v>90</v>
      </c>
      <c r="B142" s="26">
        <v>796.56284100000005</v>
      </c>
      <c r="C142" s="10">
        <v>19.429137000000001</v>
      </c>
      <c r="D142" s="10">
        <v>19.429137000000001</v>
      </c>
      <c r="E142" s="10">
        <v>19.429137000000001</v>
      </c>
      <c r="F142" s="65">
        <f t="shared" si="3"/>
        <v>0.97880482592080365</v>
      </c>
      <c r="G142" s="65">
        <f t="shared" si="3"/>
        <v>0.97880482592080365</v>
      </c>
      <c r="H142" s="65">
        <f t="shared" si="3"/>
        <v>0.97880482592080365</v>
      </c>
    </row>
    <row r="143" spans="1:8">
      <c r="A143" s="499">
        <v>131</v>
      </c>
      <c r="B143" s="26">
        <v>1000.260883</v>
      </c>
      <c r="C143" s="10">
        <v>18.905459</v>
      </c>
      <c r="D143" s="10">
        <v>18.905459</v>
      </c>
      <c r="E143" s="10">
        <v>18.905459</v>
      </c>
      <c r="F143" s="65">
        <f t="shared" si="3"/>
        <v>0.97884050728234018</v>
      </c>
      <c r="G143" s="65">
        <f t="shared" si="3"/>
        <v>0.97884050728234018</v>
      </c>
      <c r="H143" s="65">
        <f t="shared" si="3"/>
        <v>0.97884050728234018</v>
      </c>
    </row>
    <row r="144" spans="1:8">
      <c r="A144" s="499">
        <v>209</v>
      </c>
      <c r="B144" s="26">
        <v>999.44996800000001</v>
      </c>
      <c r="C144" s="10">
        <v>18.905459</v>
      </c>
      <c r="D144" s="10">
        <v>18.905459</v>
      </c>
      <c r="E144" s="10">
        <v>18.905459</v>
      </c>
      <c r="F144" s="65">
        <f t="shared" si="3"/>
        <v>0.97884050728234018</v>
      </c>
      <c r="G144" s="65">
        <f t="shared" si="3"/>
        <v>0.97884050728234018</v>
      </c>
      <c r="H144" s="65">
        <f t="shared" si="3"/>
        <v>0.97884050728234018</v>
      </c>
    </row>
    <row r="145" spans="1:8">
      <c r="A145" s="499">
        <v>67</v>
      </c>
      <c r="B145" s="26">
        <v>959.558583</v>
      </c>
      <c r="C145" s="10">
        <v>17.437017000000001</v>
      </c>
      <c r="D145" s="10">
        <v>17.437017000000001</v>
      </c>
      <c r="E145" s="10">
        <v>17.437017000000001</v>
      </c>
      <c r="F145" s="65">
        <f t="shared" si="3"/>
        <v>0.97885894616897184</v>
      </c>
      <c r="G145" s="65">
        <f t="shared" si="3"/>
        <v>0.97885894616897184</v>
      </c>
      <c r="H145" s="65">
        <f t="shared" si="3"/>
        <v>0.97885894616897184</v>
      </c>
    </row>
    <row r="146" spans="1:8">
      <c r="A146" s="499">
        <v>364</v>
      </c>
      <c r="B146" s="26">
        <v>1195.9940489999999</v>
      </c>
      <c r="C146" s="10">
        <v>20.69969</v>
      </c>
      <c r="D146" s="10">
        <v>20.69969</v>
      </c>
      <c r="E146" s="10">
        <v>20.69969</v>
      </c>
      <c r="F146" s="65">
        <f t="shared" si="3"/>
        <v>0.97817165453797561</v>
      </c>
      <c r="G146" s="65">
        <f t="shared" si="3"/>
        <v>0.97817165453797561</v>
      </c>
      <c r="H146" s="65">
        <f t="shared" si="3"/>
        <v>0.97817165453797561</v>
      </c>
    </row>
    <row r="147" spans="1:8">
      <c r="A147" s="499">
        <v>248</v>
      </c>
      <c r="B147" s="26">
        <v>1000.2231420000001</v>
      </c>
      <c r="C147" s="10">
        <v>33.216262</v>
      </c>
      <c r="D147" s="10">
        <v>33.216262</v>
      </c>
      <c r="E147" s="10">
        <v>33.216262</v>
      </c>
      <c r="F147" s="65">
        <f t="shared" si="3"/>
        <v>2.2021962121323214E-8</v>
      </c>
      <c r="G147" s="65">
        <f t="shared" si="3"/>
        <v>2.2021962121323214E-8</v>
      </c>
      <c r="H147" s="65">
        <f t="shared" si="3"/>
        <v>2.2021962121323214E-8</v>
      </c>
    </row>
    <row r="148" spans="1:8">
      <c r="A148" s="499">
        <v>286</v>
      </c>
      <c r="B148" s="26">
        <v>760.61548400000004</v>
      </c>
      <c r="C148" s="10">
        <v>19.076446000000001</v>
      </c>
      <c r="D148" s="10">
        <v>19.076446000000001</v>
      </c>
      <c r="E148" s="10">
        <v>19.076446000000001</v>
      </c>
      <c r="F148" s="65">
        <f t="shared" si="3"/>
        <v>0.97883262131868587</v>
      </c>
      <c r="G148" s="65">
        <f t="shared" si="3"/>
        <v>0.97883262131868587</v>
      </c>
      <c r="H148" s="65">
        <f t="shared" si="3"/>
        <v>0.97883262131868587</v>
      </c>
    </row>
    <row r="149" spans="1:8">
      <c r="A149" s="499">
        <v>181</v>
      </c>
      <c r="B149" s="26">
        <v>1001.015519</v>
      </c>
      <c r="C149" s="10">
        <v>20.163103</v>
      </c>
      <c r="D149" s="10">
        <v>20.163103</v>
      </c>
      <c r="E149" s="10">
        <v>20.163103</v>
      </c>
      <c r="F149" s="65">
        <f t="shared" si="3"/>
        <v>0.97862286857551661</v>
      </c>
      <c r="G149" s="65">
        <f t="shared" si="3"/>
        <v>0.97862286857551661</v>
      </c>
      <c r="H149" s="65">
        <f t="shared" si="3"/>
        <v>0.97862286857551661</v>
      </c>
    </row>
    <row r="150" spans="1:8">
      <c r="A150" s="499">
        <v>58</v>
      </c>
      <c r="B150" s="26">
        <v>395.27331900000001</v>
      </c>
      <c r="C150" s="10">
        <v>21.115013000000001</v>
      </c>
      <c r="D150" s="10">
        <v>21.115013000000001</v>
      </c>
      <c r="E150" s="10">
        <v>21.115013000000001</v>
      </c>
      <c r="F150" s="65">
        <f t="shared" si="3"/>
        <v>0.97729037946476593</v>
      </c>
      <c r="G150" s="65">
        <f t="shared" si="3"/>
        <v>0.97729037946476593</v>
      </c>
      <c r="H150" s="65">
        <f t="shared" si="3"/>
        <v>0.97729037946476593</v>
      </c>
    </row>
    <row r="151" spans="1:8">
      <c r="A151" s="499">
        <v>6</v>
      </c>
      <c r="B151" s="26">
        <v>1000.061318</v>
      </c>
      <c r="C151" s="10">
        <v>21.238531999999999</v>
      </c>
      <c r="D151" s="10">
        <v>21.238531999999999</v>
      </c>
      <c r="E151" s="10">
        <v>21.238531999999999</v>
      </c>
      <c r="F151" s="65">
        <f t="shared" si="3"/>
        <v>0.97685467487674282</v>
      </c>
      <c r="G151" s="65">
        <f t="shared" si="3"/>
        <v>0.97685467487674282</v>
      </c>
      <c r="H151" s="65">
        <f t="shared" si="3"/>
        <v>0.97685467487674282</v>
      </c>
    </row>
    <row r="152" spans="1:8">
      <c r="A152" s="499">
        <v>57</v>
      </c>
      <c r="B152" s="26">
        <v>1529.028092</v>
      </c>
      <c r="C152" s="10">
        <v>20.920037000000001</v>
      </c>
      <c r="D152" s="10">
        <v>20.920037000000001</v>
      </c>
      <c r="E152" s="10">
        <v>20.920037000000001</v>
      </c>
      <c r="F152" s="65">
        <f t="shared" si="3"/>
        <v>0.97779395680290049</v>
      </c>
      <c r="G152" s="65">
        <f t="shared" si="3"/>
        <v>0.97779395680290049</v>
      </c>
      <c r="H152" s="65">
        <f t="shared" si="3"/>
        <v>0.97779395680290049</v>
      </c>
    </row>
    <row r="153" spans="1:8">
      <c r="A153" s="499">
        <v>310</v>
      </c>
      <c r="B153" s="26">
        <v>999.63256999999999</v>
      </c>
      <c r="C153" s="10">
        <v>22.894293000000001</v>
      </c>
      <c r="D153" s="10">
        <v>22.894293000000001</v>
      </c>
      <c r="E153" s="10">
        <v>22.894293000000001</v>
      </c>
      <c r="F153" s="65">
        <f t="shared" si="3"/>
        <v>0.92774710820591222</v>
      </c>
      <c r="G153" s="65">
        <f t="shared" si="3"/>
        <v>0.92774710820591222</v>
      </c>
      <c r="H153" s="65">
        <f t="shared" si="3"/>
        <v>0.92774710820591222</v>
      </c>
    </row>
    <row r="154" spans="1:8">
      <c r="A154" s="499">
        <v>448</v>
      </c>
      <c r="B154" s="26">
        <v>648.29554299999995</v>
      </c>
      <c r="C154" s="10">
        <v>29.364727999999999</v>
      </c>
      <c r="D154" s="10">
        <v>29.364727999999999</v>
      </c>
      <c r="E154" s="10">
        <v>29.364727999999999</v>
      </c>
      <c r="F154" s="65">
        <f t="shared" si="3"/>
        <v>4.6376770331248664E-5</v>
      </c>
      <c r="G154" s="65">
        <f t="shared" si="3"/>
        <v>4.6376770331248664E-5</v>
      </c>
      <c r="H154" s="65">
        <f t="shared" si="3"/>
        <v>4.6376770331248664E-5</v>
      </c>
    </row>
    <row r="155" spans="1:8">
      <c r="A155" s="499">
        <v>33</v>
      </c>
      <c r="B155" s="26">
        <v>999.59729900000002</v>
      </c>
      <c r="C155" s="10">
        <v>18.905459</v>
      </c>
      <c r="D155" s="10">
        <v>18.905459</v>
      </c>
      <c r="E155" s="10">
        <v>18.905459</v>
      </c>
      <c r="F155" s="65">
        <f t="shared" si="3"/>
        <v>0.97884050728234018</v>
      </c>
      <c r="G155" s="65">
        <f t="shared" si="3"/>
        <v>0.97884050728234018</v>
      </c>
      <c r="H155" s="65">
        <f t="shared" si="3"/>
        <v>0.97884050728234018</v>
      </c>
    </row>
    <row r="156" spans="1:8">
      <c r="A156" s="499">
        <v>283</v>
      </c>
      <c r="B156" s="26">
        <v>1798.5829140000001</v>
      </c>
      <c r="C156" s="10">
        <v>19.297452</v>
      </c>
      <c r="D156" s="10">
        <v>19.297452</v>
      </c>
      <c r="E156" s="10">
        <v>19.297452</v>
      </c>
      <c r="F156" s="65">
        <f t="shared" si="3"/>
        <v>0.97881752723341475</v>
      </c>
      <c r="G156" s="65">
        <f t="shared" si="3"/>
        <v>0.97881752723341475</v>
      </c>
      <c r="H156" s="65">
        <f t="shared" si="3"/>
        <v>0.97881752723341475</v>
      </c>
    </row>
    <row r="157" spans="1:8">
      <c r="A157" s="499">
        <v>254</v>
      </c>
      <c r="B157" s="26">
        <v>916.29293299999995</v>
      </c>
      <c r="C157" s="10">
        <v>24.538826</v>
      </c>
      <c r="D157" s="10">
        <v>24.538826</v>
      </c>
      <c r="E157" s="10">
        <v>24.538826</v>
      </c>
      <c r="F157" s="65">
        <f t="shared" si="3"/>
        <v>0.40019351741761061</v>
      </c>
      <c r="G157" s="65">
        <f t="shared" si="3"/>
        <v>0.40019351741761061</v>
      </c>
      <c r="H157" s="65">
        <f t="shared" si="3"/>
        <v>0.40019351741761061</v>
      </c>
    </row>
    <row r="158" spans="1:8">
      <c r="A158" s="499">
        <v>123</v>
      </c>
      <c r="B158" s="26">
        <v>872.15556700000002</v>
      </c>
      <c r="C158" s="10">
        <v>22.89021</v>
      </c>
      <c r="D158" s="10">
        <v>22.89021</v>
      </c>
      <c r="E158" s="10">
        <v>22.89021</v>
      </c>
      <c r="F158" s="65">
        <f t="shared" si="3"/>
        <v>0.92813868305287006</v>
      </c>
      <c r="G158" s="65">
        <f t="shared" si="3"/>
        <v>0.92813868305287006</v>
      </c>
      <c r="H158" s="65">
        <f t="shared" si="3"/>
        <v>0.92813868305287006</v>
      </c>
    </row>
    <row r="159" spans="1:8">
      <c r="A159" s="499">
        <v>257</v>
      </c>
      <c r="B159" s="26">
        <v>973.79783099999997</v>
      </c>
      <c r="C159" s="10">
        <v>19.429137000000001</v>
      </c>
      <c r="D159" s="10">
        <v>19.429137000000001</v>
      </c>
      <c r="E159" s="10">
        <v>19.429137000000001</v>
      </c>
      <c r="F159" s="65">
        <f t="shared" si="3"/>
        <v>0.97880482592080365</v>
      </c>
      <c r="G159" s="65">
        <f t="shared" si="3"/>
        <v>0.97880482592080365</v>
      </c>
      <c r="H159" s="65">
        <f t="shared" si="3"/>
        <v>0.97880482592080365</v>
      </c>
    </row>
    <row r="160" spans="1:8">
      <c r="A160" s="499">
        <v>107</v>
      </c>
      <c r="B160" s="26">
        <v>1158.5017769999999</v>
      </c>
      <c r="C160" s="10">
        <v>17.993361</v>
      </c>
      <c r="D160" s="10">
        <v>17.993361</v>
      </c>
      <c r="E160" s="10">
        <v>17.993361</v>
      </c>
      <c r="F160" s="65">
        <f t="shared" si="3"/>
        <v>0.97885681700570071</v>
      </c>
      <c r="G160" s="65">
        <f t="shared" si="3"/>
        <v>0.97885681700570071</v>
      </c>
      <c r="H160" s="65">
        <f t="shared" si="3"/>
        <v>0.97885681700570071</v>
      </c>
    </row>
    <row r="161" spans="1:8">
      <c r="A161" s="499">
        <v>188</v>
      </c>
      <c r="B161" s="26">
        <v>1002.032637</v>
      </c>
      <c r="C161" s="10">
        <v>21.341633999999999</v>
      </c>
      <c r="D161" s="10">
        <v>21.341633999999999</v>
      </c>
      <c r="E161" s="10">
        <v>21.341633999999999</v>
      </c>
      <c r="F161" s="65">
        <f t="shared" si="3"/>
        <v>0.97639992325642722</v>
      </c>
      <c r="G161" s="65">
        <f t="shared" si="3"/>
        <v>0.97639992325642722</v>
      </c>
      <c r="H161" s="65">
        <f t="shared" si="3"/>
        <v>0.97639992325642722</v>
      </c>
    </row>
    <row r="162" spans="1:8">
      <c r="A162" s="499">
        <v>303</v>
      </c>
      <c r="B162" s="26">
        <v>1001.958815</v>
      </c>
      <c r="C162" s="10">
        <v>20.061532</v>
      </c>
      <c r="D162" s="10">
        <v>20.061532</v>
      </c>
      <c r="E162" s="10">
        <v>20.061532</v>
      </c>
      <c r="F162" s="65">
        <f t="shared" si="3"/>
        <v>0.97866619572847768</v>
      </c>
      <c r="G162" s="65">
        <f t="shared" si="3"/>
        <v>0.97866619572847768</v>
      </c>
      <c r="H162" s="65">
        <f t="shared" si="3"/>
        <v>0.97866619572847768</v>
      </c>
    </row>
    <row r="163" spans="1:8">
      <c r="A163" s="499">
        <v>212</v>
      </c>
      <c r="B163" s="26">
        <v>1227.96774</v>
      </c>
      <c r="C163" s="10">
        <v>18.622183</v>
      </c>
      <c r="D163" s="10">
        <v>18.622183</v>
      </c>
      <c r="E163" s="10">
        <v>18.622183</v>
      </c>
      <c r="F163" s="65">
        <f t="shared" si="3"/>
        <v>0.97884889703444711</v>
      </c>
      <c r="G163" s="65">
        <f t="shared" si="3"/>
        <v>0.97884889703444711</v>
      </c>
      <c r="H163" s="65">
        <f t="shared" si="3"/>
        <v>0.97884889703444711</v>
      </c>
    </row>
    <row r="164" spans="1:8">
      <c r="A164" s="499">
        <v>130</v>
      </c>
      <c r="B164" s="26">
        <v>1001.423488</v>
      </c>
      <c r="C164" s="10">
        <v>33.236679000000002</v>
      </c>
      <c r="D164" s="10">
        <v>33.236679000000002</v>
      </c>
      <c r="E164" s="10">
        <v>33.236679000000002</v>
      </c>
      <c r="F164" s="65">
        <f t="shared" si="3"/>
        <v>2.1146490795253469E-8</v>
      </c>
      <c r="G164" s="65">
        <f t="shared" si="3"/>
        <v>2.1146490795253469E-8</v>
      </c>
      <c r="H164" s="65">
        <f t="shared" si="3"/>
        <v>2.1146490795253469E-8</v>
      </c>
    </row>
    <row r="165" spans="1:8">
      <c r="A165" s="499">
        <v>332</v>
      </c>
      <c r="B165" s="26">
        <v>1278.155845</v>
      </c>
      <c r="C165" s="10">
        <v>22.89021</v>
      </c>
      <c r="D165" s="10">
        <v>22.89021</v>
      </c>
      <c r="E165" s="10">
        <v>22.89021</v>
      </c>
      <c r="F165" s="65">
        <f t="shared" si="3"/>
        <v>0.92813868305287006</v>
      </c>
      <c r="G165" s="65">
        <f t="shared" si="3"/>
        <v>0.92813868305287006</v>
      </c>
      <c r="H165" s="65">
        <f t="shared" si="3"/>
        <v>0.92813868305287006</v>
      </c>
    </row>
    <row r="166" spans="1:8">
      <c r="A166" s="499">
        <v>247</v>
      </c>
      <c r="B166" s="26">
        <v>1000.962113</v>
      </c>
      <c r="C166" s="10">
        <v>21.22373</v>
      </c>
      <c r="D166" s="10">
        <v>21.22373</v>
      </c>
      <c r="E166" s="10">
        <v>21.22373</v>
      </c>
      <c r="F166" s="65">
        <f t="shared" si="3"/>
        <v>0.97691267685439487</v>
      </c>
      <c r="G166" s="65">
        <f t="shared" si="3"/>
        <v>0.97691267685439487</v>
      </c>
      <c r="H166" s="65">
        <f t="shared" si="3"/>
        <v>0.97691267685439487</v>
      </c>
    </row>
    <row r="167" spans="1:8">
      <c r="A167" s="499">
        <v>160</v>
      </c>
      <c r="B167" s="26">
        <v>1001.717507</v>
      </c>
      <c r="C167" s="10">
        <v>20.598991000000002</v>
      </c>
      <c r="D167" s="10">
        <v>20.598991000000002</v>
      </c>
      <c r="E167" s="10">
        <v>20.598991000000002</v>
      </c>
      <c r="F167" s="65">
        <f t="shared" si="3"/>
        <v>0.97829640220272451</v>
      </c>
      <c r="G167" s="65">
        <f t="shared" si="3"/>
        <v>0.97829640220272451</v>
      </c>
      <c r="H167" s="65">
        <f t="shared" si="3"/>
        <v>0.97829640220272451</v>
      </c>
    </row>
    <row r="168" spans="1:8">
      <c r="A168" s="499">
        <v>193</v>
      </c>
      <c r="B168" s="26">
        <v>1000.571352</v>
      </c>
      <c r="C168" s="10">
        <v>33.216262</v>
      </c>
      <c r="D168" s="10">
        <v>33.216262</v>
      </c>
      <c r="E168" s="10">
        <v>33.216262</v>
      </c>
      <c r="F168" s="65">
        <f t="shared" si="3"/>
        <v>2.2021962121323214E-8</v>
      </c>
      <c r="G168" s="65">
        <f t="shared" si="3"/>
        <v>2.2021962121323214E-8</v>
      </c>
      <c r="H168" s="65">
        <f t="shared" si="3"/>
        <v>2.2021962121323214E-8</v>
      </c>
    </row>
    <row r="169" spans="1:8">
      <c r="A169" s="499">
        <v>294</v>
      </c>
      <c r="B169" s="26">
        <v>1425.601453</v>
      </c>
      <c r="C169" s="10">
        <v>20.460569</v>
      </c>
      <c r="D169" s="10">
        <v>20.460569</v>
      </c>
      <c r="E169" s="10">
        <v>20.460569</v>
      </c>
      <c r="F169" s="65">
        <f t="shared" si="3"/>
        <v>0.97843185988432135</v>
      </c>
      <c r="G169" s="65">
        <f t="shared" si="3"/>
        <v>0.97843185988432135</v>
      </c>
      <c r="H169" s="65">
        <f t="shared" si="3"/>
        <v>0.97843185988432135</v>
      </c>
    </row>
    <row r="170" spans="1:8">
      <c r="A170" s="499">
        <v>219</v>
      </c>
      <c r="B170" s="26">
        <v>1130.609502</v>
      </c>
      <c r="C170" s="10">
        <v>21.791024</v>
      </c>
      <c r="D170" s="10">
        <v>21.791024</v>
      </c>
      <c r="E170" s="10">
        <v>21.791024</v>
      </c>
      <c r="F170" s="65">
        <f t="shared" si="3"/>
        <v>0.97287377153754551</v>
      </c>
      <c r="G170" s="65">
        <f t="shared" si="3"/>
        <v>0.97287377153754551</v>
      </c>
      <c r="H170" s="65">
        <f t="shared" si="3"/>
        <v>0.97287377153754551</v>
      </c>
    </row>
    <row r="171" spans="1:8">
      <c r="A171" s="499">
        <v>34</v>
      </c>
      <c r="B171" s="26">
        <v>1001.143194</v>
      </c>
      <c r="C171" s="10">
        <v>33.216262</v>
      </c>
      <c r="D171" s="10">
        <v>33.216262</v>
      </c>
      <c r="E171" s="10">
        <v>33.216262</v>
      </c>
      <c r="F171" s="65">
        <f t="shared" si="3"/>
        <v>2.2021962121323214E-8</v>
      </c>
      <c r="G171" s="65">
        <f t="shared" si="3"/>
        <v>2.2021962121323214E-8</v>
      </c>
      <c r="H171" s="65">
        <f t="shared" si="3"/>
        <v>2.2021962121323214E-8</v>
      </c>
    </row>
    <row r="172" spans="1:8">
      <c r="A172" s="499">
        <v>176</v>
      </c>
      <c r="B172" s="26">
        <v>1001.73347</v>
      </c>
      <c r="C172" s="10">
        <v>21.19923</v>
      </c>
      <c r="D172" s="10">
        <v>21.19923</v>
      </c>
      <c r="E172" s="10">
        <v>21.19923</v>
      </c>
      <c r="F172" s="65">
        <f t="shared" si="3"/>
        <v>0.97700502449924442</v>
      </c>
      <c r="G172" s="65">
        <f t="shared" si="3"/>
        <v>0.97700502449924442</v>
      </c>
      <c r="H172" s="65">
        <f t="shared" si="3"/>
        <v>0.97700502449924442</v>
      </c>
    </row>
    <row r="173" spans="1:8">
      <c r="A173" s="499">
        <v>104</v>
      </c>
      <c r="B173" s="26">
        <v>1022.370154</v>
      </c>
      <c r="C173" s="10">
        <v>18.658933000000001</v>
      </c>
      <c r="D173" s="10">
        <v>18.658933000000001</v>
      </c>
      <c r="E173" s="10">
        <v>18.658933000000001</v>
      </c>
      <c r="F173" s="65">
        <f t="shared" si="3"/>
        <v>0.97884805599521296</v>
      </c>
      <c r="G173" s="65">
        <f t="shared" si="3"/>
        <v>0.97884805599521296</v>
      </c>
      <c r="H173" s="65">
        <f t="shared" si="3"/>
        <v>0.97884805599521296</v>
      </c>
    </row>
    <row r="174" spans="1:8">
      <c r="A174" s="499">
        <v>288</v>
      </c>
      <c r="B174" s="26">
        <v>999.22202200000004</v>
      </c>
      <c r="C174" s="10">
        <v>20.046220000000002</v>
      </c>
      <c r="D174" s="10">
        <v>20.046220000000002</v>
      </c>
      <c r="E174" s="10">
        <v>20.046220000000002</v>
      </c>
      <c r="F174" s="65">
        <f t="shared" si="3"/>
        <v>0.97867200197338344</v>
      </c>
      <c r="G174" s="65">
        <f t="shared" si="3"/>
        <v>0.97867200197338344</v>
      </c>
      <c r="H174" s="65">
        <f t="shared" si="3"/>
        <v>0.97867200197338344</v>
      </c>
    </row>
    <row r="175" spans="1:8">
      <c r="A175" s="499">
        <v>115</v>
      </c>
      <c r="B175" s="26">
        <v>967.409266</v>
      </c>
      <c r="C175" s="10">
        <v>17.34055</v>
      </c>
      <c r="D175" s="10">
        <v>17.34055</v>
      </c>
      <c r="E175" s="10">
        <v>17.34055</v>
      </c>
      <c r="F175" s="65">
        <f t="shared" si="3"/>
        <v>0.97885912997790792</v>
      </c>
      <c r="G175" s="65">
        <f t="shared" si="3"/>
        <v>0.97885912997790792</v>
      </c>
      <c r="H175" s="65">
        <f t="shared" si="3"/>
        <v>0.97885912997790792</v>
      </c>
    </row>
    <row r="176" spans="1:8">
      <c r="A176" s="499">
        <v>124</v>
      </c>
      <c r="B176" s="26">
        <v>999.16065300000002</v>
      </c>
      <c r="C176" s="10">
        <v>17.437017000000001</v>
      </c>
      <c r="D176" s="10">
        <v>17.437017000000001</v>
      </c>
      <c r="E176" s="10">
        <v>17.437017000000001</v>
      </c>
      <c r="F176" s="65">
        <f t="shared" si="3"/>
        <v>0.97885894616897184</v>
      </c>
      <c r="G176" s="65">
        <f t="shared" si="3"/>
        <v>0.97885894616897184</v>
      </c>
      <c r="H176" s="65">
        <f t="shared" si="3"/>
        <v>0.97885894616897184</v>
      </c>
    </row>
    <row r="177" spans="1:8">
      <c r="A177" s="499">
        <v>92</v>
      </c>
      <c r="B177" s="26">
        <v>1002.068727</v>
      </c>
      <c r="C177" s="10">
        <v>18.827366999999999</v>
      </c>
      <c r="D177" s="10">
        <v>18.827366999999999</v>
      </c>
      <c r="E177" s="10">
        <v>18.827366999999999</v>
      </c>
      <c r="F177" s="65">
        <f t="shared" si="3"/>
        <v>0.97884330876285019</v>
      </c>
      <c r="G177" s="65">
        <f t="shared" si="3"/>
        <v>0.97884330876285019</v>
      </c>
      <c r="H177" s="65">
        <f t="shared" si="3"/>
        <v>0.97884330876285019</v>
      </c>
    </row>
    <row r="178" spans="1:8">
      <c r="A178" s="499">
        <v>2</v>
      </c>
      <c r="B178" s="26">
        <v>1218.13716</v>
      </c>
      <c r="C178" s="10">
        <v>18.828388</v>
      </c>
      <c r="D178" s="10">
        <v>18.828388</v>
      </c>
      <c r="E178" s="10">
        <v>18.828388</v>
      </c>
      <c r="F178" s="65">
        <f t="shared" si="3"/>
        <v>0.97884327486903144</v>
      </c>
      <c r="G178" s="65">
        <f t="shared" si="3"/>
        <v>0.97884327486903144</v>
      </c>
      <c r="H178" s="65">
        <f t="shared" si="3"/>
        <v>0.97884327486903144</v>
      </c>
    </row>
    <row r="179" spans="1:8">
      <c r="A179" s="499">
        <v>341</v>
      </c>
      <c r="B179" s="26">
        <v>1064.1347020000001</v>
      </c>
      <c r="C179" s="10">
        <v>19.076446000000001</v>
      </c>
      <c r="D179" s="10">
        <v>19.076446000000001</v>
      </c>
      <c r="E179" s="10">
        <v>19.076446000000001</v>
      </c>
      <c r="F179" s="65">
        <f t="shared" si="3"/>
        <v>0.97883262131868587</v>
      </c>
      <c r="G179" s="65">
        <f t="shared" si="3"/>
        <v>0.97883262131868587</v>
      </c>
      <c r="H179" s="65">
        <f t="shared" si="3"/>
        <v>0.97883262131868587</v>
      </c>
    </row>
    <row r="180" spans="1:8">
      <c r="A180" s="499">
        <v>161</v>
      </c>
      <c r="B180" s="26">
        <v>998.88296300000002</v>
      </c>
      <c r="C180" s="10">
        <v>18.145973000000001</v>
      </c>
      <c r="D180" s="10">
        <v>18.145973000000001</v>
      </c>
      <c r="E180" s="10">
        <v>18.145973000000001</v>
      </c>
      <c r="F180" s="65">
        <f t="shared" si="3"/>
        <v>0.97885568954298063</v>
      </c>
      <c r="G180" s="65">
        <f t="shared" si="3"/>
        <v>0.97885568954298063</v>
      </c>
      <c r="H180" s="65">
        <f t="shared" si="3"/>
        <v>0.97885568954298063</v>
      </c>
    </row>
    <row r="181" spans="1:8">
      <c r="A181" s="499">
        <v>410</v>
      </c>
      <c r="B181" s="26">
        <v>999.58367999999996</v>
      </c>
      <c r="C181" s="10">
        <v>21.19923</v>
      </c>
      <c r="D181" s="10">
        <v>21.19923</v>
      </c>
      <c r="E181" s="10">
        <v>21.19923</v>
      </c>
      <c r="F181" s="65">
        <f t="shared" si="3"/>
        <v>0.97700502449924442</v>
      </c>
      <c r="G181" s="65">
        <f t="shared" si="3"/>
        <v>0.97700502449924442</v>
      </c>
      <c r="H181" s="65">
        <f t="shared" si="3"/>
        <v>0.97700502449924442</v>
      </c>
    </row>
    <row r="182" spans="1:8">
      <c r="A182" s="499">
        <v>486</v>
      </c>
      <c r="B182" s="26">
        <v>790.87943299999995</v>
      </c>
      <c r="C182" s="10">
        <v>19.041125999999998</v>
      </c>
      <c r="D182" s="10">
        <v>19.041125999999998</v>
      </c>
      <c r="E182" s="10">
        <v>19.041125999999998</v>
      </c>
      <c r="F182" s="65">
        <f t="shared" si="3"/>
        <v>0.97883447675210533</v>
      </c>
      <c r="G182" s="65">
        <f t="shared" si="3"/>
        <v>0.97883447675210533</v>
      </c>
      <c r="H182" s="65">
        <f t="shared" si="3"/>
        <v>0.97883447675210533</v>
      </c>
    </row>
    <row r="183" spans="1:8">
      <c r="A183" s="499">
        <v>461</v>
      </c>
      <c r="B183" s="26">
        <v>998.692318</v>
      </c>
      <c r="C183" s="10">
        <v>21.19923</v>
      </c>
      <c r="D183" s="10">
        <v>21.19923</v>
      </c>
      <c r="E183" s="10">
        <v>21.19923</v>
      </c>
      <c r="F183" s="65">
        <f t="shared" si="3"/>
        <v>0.97700502449924442</v>
      </c>
      <c r="G183" s="65">
        <f t="shared" si="3"/>
        <v>0.97700502449924442</v>
      </c>
      <c r="H183" s="65">
        <f t="shared" si="3"/>
        <v>0.97700502449924442</v>
      </c>
    </row>
    <row r="184" spans="1:8">
      <c r="A184" s="499">
        <v>196</v>
      </c>
      <c r="B184" s="26">
        <v>719.34270500000002</v>
      </c>
      <c r="C184" s="10">
        <v>27.957811</v>
      </c>
      <c r="D184" s="10">
        <v>27.957811</v>
      </c>
      <c r="E184" s="10">
        <v>27.957811</v>
      </c>
      <c r="F184" s="65">
        <f t="shared" si="3"/>
        <v>7.5858531261372808E-4</v>
      </c>
      <c r="G184" s="65">
        <f t="shared" si="3"/>
        <v>7.5858531261372808E-4</v>
      </c>
      <c r="H184" s="65">
        <f t="shared" si="3"/>
        <v>7.5858531261372808E-4</v>
      </c>
    </row>
    <row r="185" spans="1:8">
      <c r="A185" s="499">
        <v>186</v>
      </c>
      <c r="B185" s="26">
        <v>842.366085</v>
      </c>
      <c r="C185" s="10">
        <v>18.952162000000001</v>
      </c>
      <c r="D185" s="10">
        <v>18.952162000000001</v>
      </c>
      <c r="E185" s="10">
        <v>18.952162000000001</v>
      </c>
      <c r="F185" s="65">
        <f t="shared" si="3"/>
        <v>0.97883861194542687</v>
      </c>
      <c r="G185" s="65">
        <f t="shared" si="3"/>
        <v>0.97883861194542687</v>
      </c>
      <c r="H185" s="65">
        <f t="shared" si="3"/>
        <v>0.97883861194542687</v>
      </c>
    </row>
    <row r="186" spans="1:8">
      <c r="A186" s="499">
        <v>109</v>
      </c>
      <c r="B186" s="26">
        <v>905.27238999999997</v>
      </c>
      <c r="C186" s="10">
        <v>18.759687</v>
      </c>
      <c r="D186" s="10">
        <v>18.759687</v>
      </c>
      <c r="E186" s="10">
        <v>18.759687</v>
      </c>
      <c r="F186" s="65">
        <f t="shared" si="3"/>
        <v>0.97884540887417049</v>
      </c>
      <c r="G186" s="65">
        <f t="shared" si="3"/>
        <v>0.97884540887417049</v>
      </c>
      <c r="H186" s="65">
        <f t="shared" si="3"/>
        <v>0.97884540887417049</v>
      </c>
    </row>
    <row r="187" spans="1:8">
      <c r="A187" s="499">
        <v>285</v>
      </c>
      <c r="B187" s="26">
        <v>1001.833382</v>
      </c>
      <c r="C187" s="10">
        <v>17.504901</v>
      </c>
      <c r="D187" s="10">
        <v>17.504901</v>
      </c>
      <c r="E187" s="10">
        <v>17.504901</v>
      </c>
      <c r="F187" s="65">
        <f t="shared" si="3"/>
        <v>0.97885879399918574</v>
      </c>
      <c r="G187" s="65">
        <f t="shared" si="3"/>
        <v>0.97885879399918574</v>
      </c>
      <c r="H187" s="65">
        <f t="shared" si="3"/>
        <v>0.97885879399918574</v>
      </c>
    </row>
    <row r="188" spans="1:8">
      <c r="A188" s="499">
        <v>386</v>
      </c>
      <c r="B188" s="26">
        <v>1001.137374</v>
      </c>
      <c r="C188" s="10">
        <v>20.598991000000002</v>
      </c>
      <c r="D188" s="10">
        <v>20.598991000000002</v>
      </c>
      <c r="E188" s="10">
        <v>20.598991000000002</v>
      </c>
      <c r="F188" s="65">
        <f t="shared" si="3"/>
        <v>0.97829640220272451</v>
      </c>
      <c r="G188" s="65">
        <f t="shared" si="3"/>
        <v>0.97829640220272451</v>
      </c>
      <c r="H188" s="65">
        <f t="shared" si="3"/>
        <v>0.97829640220272451</v>
      </c>
    </row>
    <row r="189" spans="1:8">
      <c r="A189" s="499">
        <v>373</v>
      </c>
      <c r="B189" s="26">
        <v>941.68609300000003</v>
      </c>
      <c r="C189" s="10">
        <v>18.683432</v>
      </c>
      <c r="D189" s="10">
        <v>18.683432</v>
      </c>
      <c r="E189" s="10">
        <v>18.683432</v>
      </c>
      <c r="F189" s="65">
        <f t="shared" si="3"/>
        <v>0.97884746022508184</v>
      </c>
      <c r="G189" s="65">
        <f t="shared" si="3"/>
        <v>0.97884746022508184</v>
      </c>
      <c r="H189" s="65">
        <f t="shared" si="3"/>
        <v>0.97884746022508184</v>
      </c>
    </row>
    <row r="190" spans="1:8">
      <c r="A190" s="499">
        <v>264</v>
      </c>
      <c r="B190" s="26">
        <v>999.55978400000004</v>
      </c>
      <c r="C190" s="10">
        <v>22.20065</v>
      </c>
      <c r="D190" s="10">
        <v>22.20065</v>
      </c>
      <c r="E190" s="10">
        <v>22.20065</v>
      </c>
      <c r="F190" s="65">
        <f t="shared" si="3"/>
        <v>0.96545421538075227</v>
      </c>
      <c r="G190" s="65">
        <f t="shared" si="3"/>
        <v>0.96545421538075227</v>
      </c>
      <c r="H190" s="65">
        <f t="shared" si="3"/>
        <v>0.96545421538075227</v>
      </c>
    </row>
    <row r="191" spans="1:8">
      <c r="A191" s="499">
        <v>274</v>
      </c>
      <c r="B191" s="26">
        <v>1002.9569729999999</v>
      </c>
      <c r="C191" s="10">
        <v>31.407889000000001</v>
      </c>
      <c r="D191" s="10">
        <v>31.407889000000001</v>
      </c>
      <c r="E191" s="10">
        <v>31.407889000000001</v>
      </c>
      <c r="F191" s="65">
        <f t="shared" si="3"/>
        <v>8.0036784430378056E-7</v>
      </c>
      <c r="G191" s="65">
        <f t="shared" si="3"/>
        <v>8.0036784430378056E-7</v>
      </c>
      <c r="H191" s="65">
        <f t="shared" si="3"/>
        <v>8.0036784430378056E-7</v>
      </c>
    </row>
    <row r="192" spans="1:8">
      <c r="A192" s="499">
        <v>302</v>
      </c>
      <c r="B192" s="26">
        <v>998.59051099999999</v>
      </c>
      <c r="C192" s="10">
        <v>17.497755999999999</v>
      </c>
      <c r="D192" s="10">
        <v>17.497755999999999</v>
      </c>
      <c r="E192" s="10">
        <v>17.497755999999999</v>
      </c>
      <c r="F192" s="65">
        <f t="shared" si="3"/>
        <v>0.97885881099896721</v>
      </c>
      <c r="G192" s="65">
        <f t="shared" si="3"/>
        <v>0.97885881099896721</v>
      </c>
      <c r="H192" s="65">
        <f t="shared" si="3"/>
        <v>0.97885881099896721</v>
      </c>
    </row>
    <row r="193" spans="1:8">
      <c r="A193" s="499">
        <v>481</v>
      </c>
      <c r="B193" s="26">
        <v>810.81634199999996</v>
      </c>
      <c r="C193" s="10">
        <v>30.642278000000001</v>
      </c>
      <c r="D193" s="10">
        <v>30.642278000000001</v>
      </c>
      <c r="E193" s="10">
        <v>30.642278000000001</v>
      </c>
      <c r="F193" s="65">
        <f t="shared" si="3"/>
        <v>3.663780070652867E-6</v>
      </c>
      <c r="G193" s="65">
        <f t="shared" si="3"/>
        <v>3.663780070652867E-6</v>
      </c>
      <c r="H193" s="65">
        <f t="shared" si="3"/>
        <v>3.663780070652867E-6</v>
      </c>
    </row>
    <row r="194" spans="1:8">
      <c r="A194" s="499">
        <v>73</v>
      </c>
      <c r="B194" s="26">
        <v>999.30765099999996</v>
      </c>
      <c r="C194" s="10">
        <v>21.19923</v>
      </c>
      <c r="D194" s="10">
        <v>21.19923</v>
      </c>
      <c r="E194" s="10">
        <v>21.19923</v>
      </c>
      <c r="F194" s="65">
        <f t="shared" si="3"/>
        <v>0.97700502449924442</v>
      </c>
      <c r="G194" s="65">
        <f t="shared" si="3"/>
        <v>0.97700502449924442</v>
      </c>
      <c r="H194" s="65">
        <f t="shared" si="3"/>
        <v>0.97700502449924442</v>
      </c>
    </row>
    <row r="195" spans="1:8">
      <c r="A195" s="499">
        <v>317</v>
      </c>
      <c r="B195" s="26">
        <v>1067.8776330000001</v>
      </c>
      <c r="C195" s="10">
        <v>22.635006000000001</v>
      </c>
      <c r="D195" s="10">
        <v>22.635006000000001</v>
      </c>
      <c r="E195" s="10">
        <v>22.635006000000001</v>
      </c>
      <c r="F195" s="65">
        <f t="shared" si="3"/>
        <v>0.94766962178326863</v>
      </c>
      <c r="G195" s="65">
        <f t="shared" si="3"/>
        <v>0.94766962178326863</v>
      </c>
      <c r="H195" s="65">
        <f t="shared" si="3"/>
        <v>0.94766962178326863</v>
      </c>
    </row>
    <row r="196" spans="1:8">
      <c r="A196" s="499">
        <v>369</v>
      </c>
      <c r="B196" s="26">
        <v>725.39217399999995</v>
      </c>
      <c r="C196" s="10">
        <v>18.748661999999999</v>
      </c>
      <c r="D196" s="10">
        <v>18.748661999999999</v>
      </c>
      <c r="E196" s="10">
        <v>18.748661999999999</v>
      </c>
      <c r="F196" s="65">
        <f t="shared" si="3"/>
        <v>0.97884572501902478</v>
      </c>
      <c r="G196" s="65">
        <f t="shared" si="3"/>
        <v>0.97884572501902478</v>
      </c>
      <c r="H196" s="65">
        <f t="shared" si="3"/>
        <v>0.97884572501902478</v>
      </c>
    </row>
    <row r="197" spans="1:8">
      <c r="A197" s="499">
        <v>316</v>
      </c>
      <c r="B197" s="26">
        <v>1001.5030829999999</v>
      </c>
      <c r="C197" s="10">
        <v>22.525575</v>
      </c>
      <c r="D197" s="10">
        <v>22.525575</v>
      </c>
      <c r="E197" s="10">
        <v>22.525575</v>
      </c>
      <c r="F197" s="65">
        <f t="shared" si="3"/>
        <v>0.95360740813831757</v>
      </c>
      <c r="G197" s="65">
        <f t="shared" si="3"/>
        <v>0.95360740813831757</v>
      </c>
      <c r="H197" s="65">
        <f t="shared" si="3"/>
        <v>0.95360740813831757</v>
      </c>
    </row>
    <row r="198" spans="1:8">
      <c r="A198" s="499">
        <v>419</v>
      </c>
      <c r="B198" s="26">
        <v>998.86918300000002</v>
      </c>
      <c r="C198" s="10">
        <v>21.19923</v>
      </c>
      <c r="D198" s="10">
        <v>21.19923</v>
      </c>
      <c r="E198" s="10">
        <v>21.19923</v>
      </c>
      <c r="F198" s="65">
        <f t="shared" ref="F198:H261" si="4">(97.886/(1+EXP(-((C198-24.35322)/-0.5033))))/100</f>
        <v>0.97700502449924442</v>
      </c>
      <c r="G198" s="65">
        <f t="shared" si="4"/>
        <v>0.97700502449924442</v>
      </c>
      <c r="H198" s="65">
        <f t="shared" si="4"/>
        <v>0.97700502449924442</v>
      </c>
    </row>
    <row r="199" spans="1:8">
      <c r="A199" s="499">
        <v>20</v>
      </c>
      <c r="B199" s="26">
        <v>1718.0663669999999</v>
      </c>
      <c r="C199" s="10">
        <v>19.804286999999999</v>
      </c>
      <c r="D199" s="10">
        <v>19.804286999999999</v>
      </c>
      <c r="E199" s="10">
        <v>19.804286999999999</v>
      </c>
      <c r="F199" s="65">
        <f t="shared" si="4"/>
        <v>0.97874374205997017</v>
      </c>
      <c r="G199" s="65">
        <f t="shared" si="4"/>
        <v>0.97874374205997017</v>
      </c>
      <c r="H199" s="65">
        <f t="shared" si="4"/>
        <v>0.97874374205997017</v>
      </c>
    </row>
    <row r="200" spans="1:8">
      <c r="A200" s="499">
        <v>69</v>
      </c>
      <c r="B200" s="26">
        <v>964.64038600000003</v>
      </c>
      <c r="C200" s="10">
        <v>20.962327999999999</v>
      </c>
      <c r="D200" s="10">
        <v>20.962327999999999</v>
      </c>
      <c r="E200" s="10">
        <v>20.962327999999999</v>
      </c>
      <c r="F200" s="65">
        <f t="shared" si="4"/>
        <v>0.97770061950666476</v>
      </c>
      <c r="G200" s="65">
        <f t="shared" si="4"/>
        <v>0.97770061950666476</v>
      </c>
      <c r="H200" s="65">
        <f t="shared" si="4"/>
        <v>0.97770061950666476</v>
      </c>
    </row>
    <row r="201" spans="1:8">
      <c r="A201" s="499">
        <v>66</v>
      </c>
      <c r="B201" s="26">
        <v>1220.753907</v>
      </c>
      <c r="C201" s="10">
        <v>29.151888</v>
      </c>
      <c r="D201" s="10">
        <v>29.151888</v>
      </c>
      <c r="E201" s="10">
        <v>29.151888</v>
      </c>
      <c r="F201" s="65">
        <f t="shared" si="4"/>
        <v>7.0786102532467173E-5</v>
      </c>
      <c r="G201" s="65">
        <f t="shared" si="4"/>
        <v>7.0786102532467173E-5</v>
      </c>
      <c r="H201" s="65">
        <f t="shared" si="4"/>
        <v>7.0786102532467173E-5</v>
      </c>
    </row>
    <row r="202" spans="1:8">
      <c r="A202" s="499">
        <v>236</v>
      </c>
      <c r="B202" s="26">
        <v>999.37861199999998</v>
      </c>
      <c r="C202" s="10">
        <v>33.183086000000003</v>
      </c>
      <c r="D202" s="10">
        <v>33.183086000000003</v>
      </c>
      <c r="E202" s="10">
        <v>33.183086000000003</v>
      </c>
      <c r="F202" s="65">
        <f t="shared" si="4"/>
        <v>2.3522494598351488E-8</v>
      </c>
      <c r="G202" s="65">
        <f t="shared" si="4"/>
        <v>2.3522494598351488E-8</v>
      </c>
      <c r="H202" s="65">
        <f t="shared" si="4"/>
        <v>2.3522494598351488E-8</v>
      </c>
    </row>
    <row r="203" spans="1:8">
      <c r="A203" s="499">
        <v>255</v>
      </c>
      <c r="B203" s="26">
        <v>1017.1126410000001</v>
      </c>
      <c r="C203" s="10">
        <v>31.612562</v>
      </c>
      <c r="D203" s="10">
        <v>31.612562</v>
      </c>
      <c r="E203" s="10">
        <v>31.612562</v>
      </c>
      <c r="F203" s="65">
        <f t="shared" si="4"/>
        <v>5.3294043834426263E-7</v>
      </c>
      <c r="G203" s="65">
        <f t="shared" si="4"/>
        <v>5.3294043834426263E-7</v>
      </c>
      <c r="H203" s="65">
        <f t="shared" si="4"/>
        <v>5.3294043834426263E-7</v>
      </c>
    </row>
    <row r="204" spans="1:8">
      <c r="A204" s="499">
        <v>21</v>
      </c>
      <c r="B204" s="26">
        <v>1215.7603770000001</v>
      </c>
      <c r="C204" s="10">
        <v>18.001528</v>
      </c>
      <c r="D204" s="10">
        <v>18.001528</v>
      </c>
      <c r="E204" s="10">
        <v>18.001528</v>
      </c>
      <c r="F204" s="65">
        <f t="shared" si="4"/>
        <v>0.97885676493439822</v>
      </c>
      <c r="G204" s="65">
        <f t="shared" si="4"/>
        <v>0.97885676493439822</v>
      </c>
      <c r="H204" s="65">
        <f t="shared" si="4"/>
        <v>0.97885676493439822</v>
      </c>
    </row>
    <row r="205" spans="1:8">
      <c r="A205" s="499">
        <v>375</v>
      </c>
      <c r="B205" s="26">
        <v>1002.610735</v>
      </c>
      <c r="C205" s="10">
        <v>18.374124999999999</v>
      </c>
      <c r="D205" s="10">
        <v>18.374124999999999</v>
      </c>
      <c r="E205" s="10">
        <v>18.374124999999999</v>
      </c>
      <c r="F205" s="65">
        <f t="shared" si="4"/>
        <v>0.97885321744720311</v>
      </c>
      <c r="G205" s="65">
        <f t="shared" si="4"/>
        <v>0.97885321744720311</v>
      </c>
      <c r="H205" s="65">
        <f t="shared" si="4"/>
        <v>0.97885321744720311</v>
      </c>
    </row>
    <row r="206" spans="1:8">
      <c r="A206" s="499">
        <v>265</v>
      </c>
      <c r="B206" s="26">
        <v>924.003649</v>
      </c>
      <c r="C206" s="10">
        <v>23.686240999999999</v>
      </c>
      <c r="D206" s="10">
        <v>23.686240999999999</v>
      </c>
      <c r="E206" s="10">
        <v>23.686240999999999</v>
      </c>
      <c r="F206" s="65">
        <f t="shared" si="4"/>
        <v>0.77334587114407594</v>
      </c>
      <c r="G206" s="65">
        <f t="shared" si="4"/>
        <v>0.77334587114407594</v>
      </c>
      <c r="H206" s="65">
        <f t="shared" si="4"/>
        <v>0.77334587114407594</v>
      </c>
    </row>
    <row r="207" spans="1:8">
      <c r="A207" s="499">
        <v>466</v>
      </c>
      <c r="B207" s="26">
        <v>1420.9143759999999</v>
      </c>
      <c r="C207" s="10">
        <v>20.730675999999999</v>
      </c>
      <c r="D207" s="10">
        <v>20.730675999999999</v>
      </c>
      <c r="E207" s="10">
        <v>20.730675999999999</v>
      </c>
      <c r="F207" s="65">
        <f t="shared" si="4"/>
        <v>0.97812797706137455</v>
      </c>
      <c r="G207" s="65">
        <f t="shared" si="4"/>
        <v>0.97812797706137455</v>
      </c>
      <c r="H207" s="65">
        <f t="shared" si="4"/>
        <v>0.97812797706137455</v>
      </c>
    </row>
    <row r="208" spans="1:8">
      <c r="A208" s="499">
        <v>453</v>
      </c>
      <c r="B208" s="26">
        <v>999.17672300000004</v>
      </c>
      <c r="C208" s="10">
        <v>21.19923</v>
      </c>
      <c r="D208" s="10">
        <v>21.19923</v>
      </c>
      <c r="E208" s="10">
        <v>21.19923</v>
      </c>
      <c r="F208" s="65">
        <f t="shared" si="4"/>
        <v>0.97700502449924442</v>
      </c>
      <c r="G208" s="65">
        <f t="shared" si="4"/>
        <v>0.97700502449924442</v>
      </c>
      <c r="H208" s="65">
        <f t="shared" si="4"/>
        <v>0.97700502449924442</v>
      </c>
    </row>
    <row r="209" spans="1:8">
      <c r="A209" s="499">
        <v>356</v>
      </c>
      <c r="B209" s="26">
        <v>1006.3376960000001</v>
      </c>
      <c r="C209" s="10">
        <v>19.679237000000001</v>
      </c>
      <c r="D209" s="10">
        <v>19.679237000000001</v>
      </c>
      <c r="E209" s="10">
        <v>19.679237000000001</v>
      </c>
      <c r="F209" s="65">
        <f t="shared" si="4"/>
        <v>0.97876931632881403</v>
      </c>
      <c r="G209" s="65">
        <f t="shared" si="4"/>
        <v>0.97876931632881403</v>
      </c>
      <c r="H209" s="65">
        <f t="shared" si="4"/>
        <v>0.97876931632881403</v>
      </c>
    </row>
    <row r="210" spans="1:8">
      <c r="A210" s="499">
        <v>5</v>
      </c>
      <c r="B210" s="26">
        <v>1001.2406590000001</v>
      </c>
      <c r="C210" s="10">
        <v>22.672266</v>
      </c>
      <c r="D210" s="10">
        <v>22.672266</v>
      </c>
      <c r="E210" s="10">
        <v>22.672266</v>
      </c>
      <c r="F210" s="65">
        <f t="shared" si="4"/>
        <v>0.94535496941547947</v>
      </c>
      <c r="G210" s="65">
        <f t="shared" si="4"/>
        <v>0.94535496941547947</v>
      </c>
      <c r="H210" s="65">
        <f t="shared" si="4"/>
        <v>0.94535496941547947</v>
      </c>
    </row>
    <row r="211" spans="1:8">
      <c r="A211" s="499">
        <v>220</v>
      </c>
      <c r="B211" s="26">
        <v>998.80291399999999</v>
      </c>
      <c r="C211" s="10">
        <v>21.19923</v>
      </c>
      <c r="D211" s="10">
        <v>21.19923</v>
      </c>
      <c r="E211" s="10">
        <v>21.19923</v>
      </c>
      <c r="F211" s="65">
        <f t="shared" si="4"/>
        <v>0.97700502449924442</v>
      </c>
      <c r="G211" s="65">
        <f t="shared" si="4"/>
        <v>0.97700502449924442</v>
      </c>
      <c r="H211" s="65">
        <f t="shared" si="4"/>
        <v>0.97700502449924442</v>
      </c>
    </row>
    <row r="212" spans="1:8">
      <c r="A212" s="499">
        <v>105</v>
      </c>
      <c r="B212" s="26">
        <v>1001.1876549999999</v>
      </c>
      <c r="C212" s="10">
        <v>19.804286999999999</v>
      </c>
      <c r="D212" s="10">
        <v>19.804286999999999</v>
      </c>
      <c r="E212" s="10">
        <v>19.804286999999999</v>
      </c>
      <c r="F212" s="65">
        <f t="shared" si="4"/>
        <v>0.97874374205997017</v>
      </c>
      <c r="G212" s="65">
        <f t="shared" si="4"/>
        <v>0.97874374205997017</v>
      </c>
      <c r="H212" s="65">
        <f t="shared" si="4"/>
        <v>0.97874374205997017</v>
      </c>
    </row>
    <row r="213" spans="1:8">
      <c r="A213" s="499">
        <v>441</v>
      </c>
      <c r="B213" s="26">
        <v>999.66837799999996</v>
      </c>
      <c r="C213" s="10">
        <v>17.294613999999999</v>
      </c>
      <c r="D213" s="10">
        <v>17.294613999999999</v>
      </c>
      <c r="E213" s="10">
        <v>17.294613999999999</v>
      </c>
      <c r="F213" s="65">
        <f t="shared" si="4"/>
        <v>0.9788592058685025</v>
      </c>
      <c r="G213" s="65">
        <f t="shared" si="4"/>
        <v>0.9788592058685025</v>
      </c>
      <c r="H213" s="65">
        <f t="shared" si="4"/>
        <v>0.9788592058685025</v>
      </c>
    </row>
    <row r="214" spans="1:8">
      <c r="A214" s="499">
        <v>205</v>
      </c>
      <c r="B214" s="26">
        <v>1000.355733</v>
      </c>
      <c r="C214" s="10">
        <v>21.19923</v>
      </c>
      <c r="D214" s="10">
        <v>21.19923</v>
      </c>
      <c r="E214" s="10">
        <v>21.19923</v>
      </c>
      <c r="F214" s="65">
        <f t="shared" si="4"/>
        <v>0.97700502449924442</v>
      </c>
      <c r="G214" s="65">
        <f t="shared" si="4"/>
        <v>0.97700502449924442</v>
      </c>
      <c r="H214" s="65">
        <f t="shared" si="4"/>
        <v>0.97700502449924442</v>
      </c>
    </row>
    <row r="215" spans="1:8">
      <c r="A215" s="499">
        <v>487</v>
      </c>
      <c r="B215" s="26">
        <v>1001.554428</v>
      </c>
      <c r="C215" s="10">
        <v>23.34141</v>
      </c>
      <c r="D215" s="10">
        <v>23.34141</v>
      </c>
      <c r="E215" s="10">
        <v>23.34141</v>
      </c>
      <c r="F215" s="65">
        <f t="shared" si="4"/>
        <v>0.86323672474527824</v>
      </c>
      <c r="G215" s="65">
        <f t="shared" si="4"/>
        <v>0.86323672474527824</v>
      </c>
      <c r="H215" s="65">
        <f t="shared" si="4"/>
        <v>0.86323672474527824</v>
      </c>
    </row>
    <row r="216" spans="1:8">
      <c r="A216" s="499">
        <v>179</v>
      </c>
      <c r="B216" s="26">
        <v>1001.53026</v>
      </c>
      <c r="C216" s="10">
        <v>23.34141</v>
      </c>
      <c r="D216" s="10">
        <v>23.34141</v>
      </c>
      <c r="E216" s="10">
        <v>23.34141</v>
      </c>
      <c r="F216" s="65">
        <f t="shared" si="4"/>
        <v>0.86323672474527824</v>
      </c>
      <c r="G216" s="65">
        <f t="shared" si="4"/>
        <v>0.86323672474527824</v>
      </c>
      <c r="H216" s="65">
        <f t="shared" si="4"/>
        <v>0.86323672474527824</v>
      </c>
    </row>
    <row r="217" spans="1:8">
      <c r="A217" s="499">
        <v>36</v>
      </c>
      <c r="B217" s="26">
        <v>1071.340375</v>
      </c>
      <c r="C217" s="10">
        <v>23.358263999999998</v>
      </c>
      <c r="D217" s="10">
        <v>23.358263999999998</v>
      </c>
      <c r="E217" s="10">
        <v>23.358263999999998</v>
      </c>
      <c r="F217" s="65">
        <f t="shared" si="4"/>
        <v>0.85977829371095937</v>
      </c>
      <c r="G217" s="65">
        <f t="shared" si="4"/>
        <v>0.85977829371095937</v>
      </c>
      <c r="H217" s="65">
        <f t="shared" si="4"/>
        <v>0.85977829371095937</v>
      </c>
    </row>
    <row r="218" spans="1:8">
      <c r="A218" s="499">
        <v>358</v>
      </c>
      <c r="B218" s="26">
        <v>1000.897444</v>
      </c>
      <c r="C218" s="10">
        <v>19.804286999999999</v>
      </c>
      <c r="D218" s="10">
        <v>19.804286999999999</v>
      </c>
      <c r="E218" s="10">
        <v>19.804286999999999</v>
      </c>
      <c r="F218" s="65">
        <f t="shared" si="4"/>
        <v>0.97874374205997017</v>
      </c>
      <c r="G218" s="65">
        <f t="shared" si="4"/>
        <v>0.97874374205997017</v>
      </c>
      <c r="H218" s="65">
        <f t="shared" si="4"/>
        <v>0.97874374205997017</v>
      </c>
    </row>
    <row r="219" spans="1:8">
      <c r="A219" s="499">
        <v>384</v>
      </c>
      <c r="B219" s="26">
        <v>1001.453532</v>
      </c>
      <c r="C219" s="10">
        <v>19.349513999999999</v>
      </c>
      <c r="D219" s="10">
        <v>19.349513999999999</v>
      </c>
      <c r="E219" s="10">
        <v>19.349513999999999</v>
      </c>
      <c r="F219" s="65">
        <f t="shared" si="4"/>
        <v>0.97881289874513921</v>
      </c>
      <c r="G219" s="65">
        <f t="shared" si="4"/>
        <v>0.97881289874513921</v>
      </c>
      <c r="H219" s="65">
        <f t="shared" si="4"/>
        <v>0.97881289874513921</v>
      </c>
    </row>
    <row r="220" spans="1:8">
      <c r="A220" s="499">
        <v>246</v>
      </c>
      <c r="B220" s="26">
        <v>986.229423</v>
      </c>
      <c r="C220" s="10">
        <v>17.775928</v>
      </c>
      <c r="D220" s="10">
        <v>17.775928</v>
      </c>
      <c r="E220" s="10">
        <v>17.775928</v>
      </c>
      <c r="F220" s="65">
        <f t="shared" si="4"/>
        <v>0.97885793359828033</v>
      </c>
      <c r="G220" s="65">
        <f t="shared" si="4"/>
        <v>0.97885793359828033</v>
      </c>
      <c r="H220" s="65">
        <f t="shared" si="4"/>
        <v>0.97885793359828033</v>
      </c>
    </row>
    <row r="221" spans="1:8">
      <c r="A221" s="499">
        <v>289</v>
      </c>
      <c r="B221" s="26">
        <v>999.26417900000001</v>
      </c>
      <c r="C221" s="10">
        <v>20.523961</v>
      </c>
      <c r="D221" s="10">
        <v>20.523961</v>
      </c>
      <c r="E221" s="10">
        <v>20.523961</v>
      </c>
      <c r="F221" s="65">
        <f t="shared" si="4"/>
        <v>0.97837441977350947</v>
      </c>
      <c r="G221" s="65">
        <f t="shared" si="4"/>
        <v>0.97837441977350947</v>
      </c>
      <c r="H221" s="65">
        <f t="shared" si="4"/>
        <v>0.97837441977350947</v>
      </c>
    </row>
    <row r="222" spans="1:8">
      <c r="A222" s="499">
        <v>365</v>
      </c>
      <c r="B222" s="26">
        <v>1300.745361</v>
      </c>
      <c r="C222" s="10">
        <v>25.715824999999999</v>
      </c>
      <c r="D222" s="10">
        <v>25.715824999999999</v>
      </c>
      <c r="E222" s="10">
        <v>25.715824999999999</v>
      </c>
      <c r="F222" s="65">
        <f t="shared" si="4"/>
        <v>6.1219407583993517E-2</v>
      </c>
      <c r="G222" s="65">
        <f t="shared" si="4"/>
        <v>6.1219407583993517E-2</v>
      </c>
      <c r="H222" s="65">
        <f t="shared" si="4"/>
        <v>6.1219407583993517E-2</v>
      </c>
    </row>
    <row r="223" spans="1:8">
      <c r="A223" s="499">
        <v>154</v>
      </c>
      <c r="B223" s="26">
        <v>1001.346257</v>
      </c>
      <c r="C223" s="10">
        <v>23.850923999999999</v>
      </c>
      <c r="D223" s="10">
        <v>23.850923999999999</v>
      </c>
      <c r="E223" s="10">
        <v>23.850923999999999</v>
      </c>
      <c r="F223" s="65">
        <f t="shared" si="4"/>
        <v>0.71521990646044298</v>
      </c>
      <c r="G223" s="65">
        <f t="shared" si="4"/>
        <v>0.71521990646044298</v>
      </c>
      <c r="H223" s="65">
        <f t="shared" si="4"/>
        <v>0.71521990646044298</v>
      </c>
    </row>
    <row r="224" spans="1:8">
      <c r="A224" s="499">
        <v>106</v>
      </c>
      <c r="B224" s="26">
        <v>834.43532300000004</v>
      </c>
      <c r="C224" s="10">
        <v>17.781542000000002</v>
      </c>
      <c r="D224" s="10">
        <v>17.781542000000002</v>
      </c>
      <c r="E224" s="10">
        <v>17.781542000000002</v>
      </c>
      <c r="F224" s="65">
        <f t="shared" si="4"/>
        <v>0.97885791041986703</v>
      </c>
      <c r="G224" s="65">
        <f t="shared" si="4"/>
        <v>0.97885791041986703</v>
      </c>
      <c r="H224" s="65">
        <f t="shared" si="4"/>
        <v>0.97885791041986703</v>
      </c>
    </row>
    <row r="225" spans="1:8">
      <c r="A225" s="499">
        <v>125</v>
      </c>
      <c r="B225" s="26">
        <v>999.98217699999998</v>
      </c>
      <c r="C225" s="10">
        <v>16.006855999999999</v>
      </c>
      <c r="D225" s="10">
        <v>16.006855999999999</v>
      </c>
      <c r="E225" s="10">
        <v>16.006855999999999</v>
      </c>
      <c r="F225" s="65">
        <f t="shared" si="4"/>
        <v>0.97885993852560416</v>
      </c>
      <c r="G225" s="65">
        <f t="shared" si="4"/>
        <v>0.97885993852560416</v>
      </c>
      <c r="H225" s="65">
        <f t="shared" si="4"/>
        <v>0.97885993852560416</v>
      </c>
    </row>
    <row r="226" spans="1:8">
      <c r="A226" s="499">
        <v>259</v>
      </c>
      <c r="B226" s="26">
        <v>1000.086896</v>
      </c>
      <c r="C226" s="10">
        <v>16.006855999999999</v>
      </c>
      <c r="D226" s="10">
        <v>16.006855999999999</v>
      </c>
      <c r="E226" s="10">
        <v>16.006855999999999</v>
      </c>
      <c r="F226" s="65">
        <f t="shared" si="4"/>
        <v>0.97885993852560416</v>
      </c>
      <c r="G226" s="65">
        <f t="shared" si="4"/>
        <v>0.97885993852560416</v>
      </c>
      <c r="H226" s="65">
        <f t="shared" si="4"/>
        <v>0.97885993852560416</v>
      </c>
    </row>
    <row r="227" spans="1:8">
      <c r="A227" s="499">
        <v>381</v>
      </c>
      <c r="B227" s="26">
        <v>179.35634899999999</v>
      </c>
      <c r="C227" s="10">
        <v>23.452679</v>
      </c>
      <c r="D227" s="10">
        <v>23.452679</v>
      </c>
      <c r="E227" s="10">
        <v>23.452679</v>
      </c>
      <c r="F227" s="65">
        <f t="shared" si="4"/>
        <v>0.83872453911563805</v>
      </c>
      <c r="G227" s="65">
        <f t="shared" si="4"/>
        <v>0.83872453911563805</v>
      </c>
      <c r="H227" s="65">
        <f t="shared" si="4"/>
        <v>0.83872453911563805</v>
      </c>
    </row>
    <row r="228" spans="1:8">
      <c r="A228" s="499">
        <v>44</v>
      </c>
      <c r="B228" s="26">
        <v>1062.989347</v>
      </c>
      <c r="C228" s="10">
        <v>30.767455999999999</v>
      </c>
      <c r="D228" s="10">
        <v>30.767455999999999</v>
      </c>
      <c r="E228" s="10">
        <v>30.767455999999999</v>
      </c>
      <c r="F228" s="65">
        <f t="shared" si="4"/>
        <v>2.8570275334759234E-6</v>
      </c>
      <c r="G228" s="65">
        <f t="shared" si="4"/>
        <v>2.8570275334759234E-6</v>
      </c>
      <c r="H228" s="65">
        <f t="shared" si="4"/>
        <v>2.8570275334759234E-6</v>
      </c>
    </row>
    <row r="229" spans="1:8">
      <c r="A229" s="499">
        <v>135</v>
      </c>
      <c r="B229" s="26">
        <v>1217.1819419999999</v>
      </c>
      <c r="C229" s="10">
        <v>22.635006000000001</v>
      </c>
      <c r="D229" s="10">
        <v>22.635006000000001</v>
      </c>
      <c r="E229" s="10">
        <v>22.635006000000001</v>
      </c>
      <c r="F229" s="65">
        <f t="shared" si="4"/>
        <v>0.94766962178326863</v>
      </c>
      <c r="G229" s="65">
        <f t="shared" si="4"/>
        <v>0.94766962178326863</v>
      </c>
      <c r="H229" s="65">
        <f t="shared" si="4"/>
        <v>0.94766962178326863</v>
      </c>
    </row>
    <row r="230" spans="1:8">
      <c r="A230" s="499">
        <v>357</v>
      </c>
      <c r="B230" s="26">
        <v>999.79793800000004</v>
      </c>
      <c r="C230" s="10">
        <v>23.151539</v>
      </c>
      <c r="D230" s="10">
        <v>23.151539</v>
      </c>
      <c r="E230" s="10">
        <v>23.151539</v>
      </c>
      <c r="F230" s="65">
        <f t="shared" si="4"/>
        <v>0.89651549236481964</v>
      </c>
      <c r="G230" s="65">
        <f t="shared" si="4"/>
        <v>0.89651549236481964</v>
      </c>
      <c r="H230" s="65">
        <f t="shared" si="4"/>
        <v>0.89651549236481964</v>
      </c>
    </row>
    <row r="231" spans="1:8">
      <c r="A231" s="499">
        <v>244</v>
      </c>
      <c r="B231" s="26">
        <v>1000.962912</v>
      </c>
      <c r="C231" s="10">
        <v>19.349513999999999</v>
      </c>
      <c r="D231" s="10">
        <v>19.349513999999999</v>
      </c>
      <c r="E231" s="10">
        <v>19.349513999999999</v>
      </c>
      <c r="F231" s="65">
        <f t="shared" si="4"/>
        <v>0.97881289874513921</v>
      </c>
      <c r="G231" s="65">
        <f t="shared" si="4"/>
        <v>0.97881289874513921</v>
      </c>
      <c r="H231" s="65">
        <f t="shared" si="4"/>
        <v>0.97881289874513921</v>
      </c>
    </row>
    <row r="232" spans="1:8">
      <c r="A232" s="499">
        <v>207</v>
      </c>
      <c r="B232" s="26">
        <v>1001.242624</v>
      </c>
      <c r="C232" s="10">
        <v>32.867144000000003</v>
      </c>
      <c r="D232" s="10">
        <v>32.867144000000003</v>
      </c>
      <c r="E232" s="10">
        <v>32.867144000000003</v>
      </c>
      <c r="F232" s="65">
        <f t="shared" si="4"/>
        <v>4.4066421238851973E-8</v>
      </c>
      <c r="G232" s="65">
        <f t="shared" si="4"/>
        <v>4.4066421238851973E-8</v>
      </c>
      <c r="H232" s="65">
        <f t="shared" si="4"/>
        <v>4.4066421238851973E-8</v>
      </c>
    </row>
    <row r="233" spans="1:8">
      <c r="A233" s="499">
        <v>102</v>
      </c>
      <c r="B233" s="26">
        <v>1001.619266</v>
      </c>
      <c r="C233" s="10">
        <v>20.473941</v>
      </c>
      <c r="D233" s="10">
        <v>20.473941</v>
      </c>
      <c r="E233" s="10">
        <v>20.473941</v>
      </c>
      <c r="F233" s="65">
        <f t="shared" si="4"/>
        <v>0.97842033750068469</v>
      </c>
      <c r="G233" s="65">
        <f t="shared" si="4"/>
        <v>0.97842033750068469</v>
      </c>
      <c r="H233" s="65">
        <f t="shared" si="4"/>
        <v>0.97842033750068469</v>
      </c>
    </row>
    <row r="234" spans="1:8">
      <c r="A234" s="499">
        <v>23</v>
      </c>
      <c r="B234" s="26">
        <v>998.54181500000004</v>
      </c>
      <c r="C234" s="10">
        <v>29.392731999999999</v>
      </c>
      <c r="D234" s="10">
        <v>29.392731999999999</v>
      </c>
      <c r="E234" s="10">
        <v>29.392731999999999</v>
      </c>
      <c r="F234" s="65">
        <f t="shared" si="4"/>
        <v>4.3866919229553928E-5</v>
      </c>
      <c r="G234" s="65">
        <f t="shared" si="4"/>
        <v>4.3866919229553928E-5</v>
      </c>
      <c r="H234" s="65">
        <f t="shared" si="4"/>
        <v>4.3866919229553928E-5</v>
      </c>
    </row>
    <row r="235" spans="1:8">
      <c r="A235" s="499">
        <v>152</v>
      </c>
      <c r="B235" s="26">
        <v>930.189888</v>
      </c>
      <c r="C235" s="10">
        <v>21.194637</v>
      </c>
      <c r="D235" s="10">
        <v>21.194637</v>
      </c>
      <c r="E235" s="10">
        <v>21.194637</v>
      </c>
      <c r="F235" s="65">
        <f t="shared" si="4"/>
        <v>0.97702184392856106</v>
      </c>
      <c r="G235" s="65">
        <f t="shared" si="4"/>
        <v>0.97702184392856106</v>
      </c>
      <c r="H235" s="65">
        <f t="shared" si="4"/>
        <v>0.97702184392856106</v>
      </c>
    </row>
    <row r="236" spans="1:8">
      <c r="A236" s="499">
        <v>169</v>
      </c>
      <c r="B236" s="26">
        <v>999.38897499999996</v>
      </c>
      <c r="C236" s="10">
        <v>17.905570999999998</v>
      </c>
      <c r="D236" s="10">
        <v>17.905570999999998</v>
      </c>
      <c r="E236" s="10">
        <v>17.905570999999998</v>
      </c>
      <c r="F236" s="65">
        <f t="shared" si="4"/>
        <v>0.97885732648494217</v>
      </c>
      <c r="G236" s="65">
        <f t="shared" si="4"/>
        <v>0.97885732648494217</v>
      </c>
      <c r="H236" s="65">
        <f t="shared" si="4"/>
        <v>0.97885732648494217</v>
      </c>
    </row>
    <row r="237" spans="1:8">
      <c r="A237" s="499">
        <v>449</v>
      </c>
      <c r="B237" s="26">
        <v>999.54391699999996</v>
      </c>
      <c r="C237" s="10">
        <v>17.905570999999998</v>
      </c>
      <c r="D237" s="10">
        <v>17.905570999999998</v>
      </c>
      <c r="E237" s="10">
        <v>17.905570999999998</v>
      </c>
      <c r="F237" s="65">
        <f t="shared" si="4"/>
        <v>0.97885732648494217</v>
      </c>
      <c r="G237" s="65">
        <f t="shared" si="4"/>
        <v>0.97885732648494217</v>
      </c>
      <c r="H237" s="65">
        <f t="shared" si="4"/>
        <v>0.97885732648494217</v>
      </c>
    </row>
    <row r="238" spans="1:8">
      <c r="A238" s="499">
        <v>284</v>
      </c>
      <c r="B238" s="26">
        <v>1492.7075400000001</v>
      </c>
      <c r="C238" s="10">
        <v>19.386263</v>
      </c>
      <c r="D238" s="10">
        <v>19.386263</v>
      </c>
      <c r="E238" s="10">
        <v>19.386263</v>
      </c>
      <c r="F238" s="65">
        <f t="shared" si="4"/>
        <v>0.97880933111105051</v>
      </c>
      <c r="G238" s="65">
        <f t="shared" si="4"/>
        <v>0.97880933111105051</v>
      </c>
      <c r="H238" s="65">
        <f t="shared" si="4"/>
        <v>0.97880933111105051</v>
      </c>
    </row>
    <row r="239" spans="1:8">
      <c r="A239" s="499">
        <v>68</v>
      </c>
      <c r="B239" s="26">
        <v>923.20297400000004</v>
      </c>
      <c r="C239" s="10">
        <v>17.620457999999999</v>
      </c>
      <c r="D239" s="10">
        <v>17.620457999999999</v>
      </c>
      <c r="E239" s="10">
        <v>17.620457999999999</v>
      </c>
      <c r="F239" s="65">
        <f t="shared" si="4"/>
        <v>0.97885848273692333</v>
      </c>
      <c r="G239" s="65">
        <f t="shared" si="4"/>
        <v>0.97885848273692333</v>
      </c>
      <c r="H239" s="65">
        <f t="shared" si="4"/>
        <v>0.97885848273692333</v>
      </c>
    </row>
    <row r="240" spans="1:8">
      <c r="A240" s="499">
        <v>442</v>
      </c>
      <c r="B240" s="26">
        <v>1001.087681</v>
      </c>
      <c r="C240" s="10">
        <v>19.147392</v>
      </c>
      <c r="D240" s="10">
        <v>19.147392</v>
      </c>
      <c r="E240" s="10">
        <v>19.147392</v>
      </c>
      <c r="F240" s="65">
        <f t="shared" si="4"/>
        <v>0.97882847685382146</v>
      </c>
      <c r="G240" s="65">
        <f t="shared" si="4"/>
        <v>0.97882847685382146</v>
      </c>
      <c r="H240" s="65">
        <f t="shared" si="4"/>
        <v>0.97882847685382146</v>
      </c>
    </row>
    <row r="241" spans="1:8">
      <c r="A241" s="499">
        <v>275</v>
      </c>
      <c r="B241" s="26">
        <v>1115.152525</v>
      </c>
      <c r="C241" s="10">
        <v>29.666878000000001</v>
      </c>
      <c r="D241" s="10">
        <v>29.666878000000001</v>
      </c>
      <c r="E241" s="10">
        <v>29.666878000000001</v>
      </c>
      <c r="F241" s="65">
        <f t="shared" si="4"/>
        <v>2.5444059806123252E-5</v>
      </c>
      <c r="G241" s="65">
        <f t="shared" si="4"/>
        <v>2.5444059806123252E-5</v>
      </c>
      <c r="H241" s="65">
        <f t="shared" si="4"/>
        <v>2.5444059806123252E-5</v>
      </c>
    </row>
    <row r="242" spans="1:8">
      <c r="A242" s="499">
        <v>359</v>
      </c>
      <c r="B242" s="26">
        <v>1000.510123</v>
      </c>
      <c r="C242" s="10">
        <v>35.234413000000004</v>
      </c>
      <c r="D242" s="10">
        <v>35.234413000000004</v>
      </c>
      <c r="E242" s="10">
        <v>35.234413000000004</v>
      </c>
      <c r="F242" s="65">
        <f t="shared" si="4"/>
        <v>3.9939801835740248E-10</v>
      </c>
      <c r="G242" s="65">
        <f t="shared" si="4"/>
        <v>3.9939801835740248E-10</v>
      </c>
      <c r="H242" s="65">
        <f t="shared" si="4"/>
        <v>3.9939801835740248E-10</v>
      </c>
    </row>
    <row r="243" spans="1:8">
      <c r="A243" s="499">
        <v>393</v>
      </c>
      <c r="B243" s="26">
        <v>999.17886699999997</v>
      </c>
      <c r="C243" s="10">
        <v>35.234413000000004</v>
      </c>
      <c r="D243" s="10">
        <v>35.234413000000004</v>
      </c>
      <c r="E243" s="10">
        <v>35.234413000000004</v>
      </c>
      <c r="F243" s="65">
        <f t="shared" si="4"/>
        <v>3.9939801835740248E-10</v>
      </c>
      <c r="G243" s="65">
        <f t="shared" si="4"/>
        <v>3.9939801835740248E-10</v>
      </c>
      <c r="H243" s="65">
        <f t="shared" si="4"/>
        <v>3.9939801835740248E-10</v>
      </c>
    </row>
    <row r="244" spans="1:8">
      <c r="A244" s="499">
        <v>412</v>
      </c>
      <c r="B244" s="26">
        <v>998.82629199999997</v>
      </c>
      <c r="C244" s="10">
        <v>35.234413000000004</v>
      </c>
      <c r="D244" s="10">
        <v>35.234413000000004</v>
      </c>
      <c r="E244" s="10">
        <v>35.234413000000004</v>
      </c>
      <c r="F244" s="65">
        <f t="shared" si="4"/>
        <v>3.9939801835740248E-10</v>
      </c>
      <c r="G244" s="65">
        <f t="shared" si="4"/>
        <v>3.9939801835740248E-10</v>
      </c>
      <c r="H244" s="65">
        <f t="shared" si="4"/>
        <v>3.9939801835740248E-10</v>
      </c>
    </row>
    <row r="245" spans="1:8">
      <c r="A245" s="499">
        <v>155</v>
      </c>
      <c r="B245" s="26">
        <v>1001.465869</v>
      </c>
      <c r="C245" s="10">
        <v>32.867144000000003</v>
      </c>
      <c r="D245" s="10">
        <v>32.867144000000003</v>
      </c>
      <c r="E245" s="10">
        <v>32.867144000000003</v>
      </c>
      <c r="F245" s="65">
        <f t="shared" si="4"/>
        <v>4.4066421238851973E-8</v>
      </c>
      <c r="G245" s="65">
        <f t="shared" si="4"/>
        <v>4.4066421238851973E-8</v>
      </c>
      <c r="H245" s="65">
        <f t="shared" si="4"/>
        <v>4.4066421238851973E-8</v>
      </c>
    </row>
    <row r="246" spans="1:8">
      <c r="A246" s="499">
        <v>99</v>
      </c>
      <c r="B246" s="26">
        <v>1000.983576</v>
      </c>
      <c r="C246" s="10">
        <v>31.612562</v>
      </c>
      <c r="D246" s="10">
        <v>31.612562</v>
      </c>
      <c r="E246" s="10">
        <v>31.612562</v>
      </c>
      <c r="F246" s="65">
        <f t="shared" si="4"/>
        <v>5.3294043834426263E-7</v>
      </c>
      <c r="G246" s="65">
        <f t="shared" si="4"/>
        <v>5.3294043834426263E-7</v>
      </c>
      <c r="H246" s="65">
        <f t="shared" si="4"/>
        <v>5.3294043834426263E-7</v>
      </c>
    </row>
    <row r="247" spans="1:8">
      <c r="A247" s="499">
        <v>145</v>
      </c>
      <c r="B247" s="26">
        <v>1000.616663</v>
      </c>
      <c r="C247" s="10">
        <v>24.709811999999999</v>
      </c>
      <c r="D247" s="10">
        <v>24.709811999999999</v>
      </c>
      <c r="E247" s="10">
        <v>24.709811999999999</v>
      </c>
      <c r="F247" s="65">
        <f t="shared" si="4"/>
        <v>0.3229539436427869</v>
      </c>
      <c r="G247" s="65">
        <f t="shared" si="4"/>
        <v>0.3229539436427869</v>
      </c>
      <c r="H247" s="65">
        <f t="shared" si="4"/>
        <v>0.3229539436427869</v>
      </c>
    </row>
    <row r="248" spans="1:8">
      <c r="A248" s="499">
        <v>385</v>
      </c>
      <c r="B248" s="26">
        <v>1001.4618819999999</v>
      </c>
      <c r="C248" s="10">
        <v>33.297417000000003</v>
      </c>
      <c r="D248" s="10">
        <v>33.297417000000003</v>
      </c>
      <c r="E248" s="10">
        <v>33.297417000000003</v>
      </c>
      <c r="F248" s="65">
        <f t="shared" si="4"/>
        <v>1.8742514745499474E-8</v>
      </c>
      <c r="G248" s="65">
        <f t="shared" si="4"/>
        <v>1.8742514745499474E-8</v>
      </c>
      <c r="H248" s="65">
        <f t="shared" si="4"/>
        <v>1.8742514745499474E-8</v>
      </c>
    </row>
    <row r="249" spans="1:8">
      <c r="A249" s="499">
        <v>432</v>
      </c>
      <c r="B249" s="26">
        <v>821.53631700000005</v>
      </c>
      <c r="C249" s="10">
        <v>20.730675999999999</v>
      </c>
      <c r="D249" s="10">
        <v>20.730675999999999</v>
      </c>
      <c r="E249" s="10">
        <v>20.730675999999999</v>
      </c>
      <c r="F249" s="65">
        <f t="shared" si="4"/>
        <v>0.97812797706137455</v>
      </c>
      <c r="G249" s="65">
        <f t="shared" si="4"/>
        <v>0.97812797706137455</v>
      </c>
      <c r="H249" s="65">
        <f t="shared" si="4"/>
        <v>0.97812797706137455</v>
      </c>
    </row>
    <row r="250" spans="1:8">
      <c r="A250" s="499">
        <v>42</v>
      </c>
      <c r="B250" s="26">
        <v>1001.758615</v>
      </c>
      <c r="C250" s="10">
        <v>20.478024999999999</v>
      </c>
      <c r="D250" s="10">
        <v>20.478024999999999</v>
      </c>
      <c r="E250" s="10">
        <v>20.478024999999999</v>
      </c>
      <c r="F250" s="65">
        <f t="shared" si="4"/>
        <v>0.97841675699186081</v>
      </c>
      <c r="G250" s="65">
        <f t="shared" si="4"/>
        <v>0.97841675699186081</v>
      </c>
      <c r="H250" s="65">
        <f t="shared" si="4"/>
        <v>0.97841675699186081</v>
      </c>
    </row>
    <row r="251" spans="1:8">
      <c r="A251" s="499">
        <v>211</v>
      </c>
      <c r="B251" s="26">
        <v>1001.69229</v>
      </c>
      <c r="C251" s="10">
        <v>22.030684000000001</v>
      </c>
      <c r="D251" s="10">
        <v>22.030684000000001</v>
      </c>
      <c r="E251" s="10">
        <v>22.030684000000001</v>
      </c>
      <c r="F251" s="65">
        <f t="shared" si="4"/>
        <v>0.96925853353740377</v>
      </c>
      <c r="G251" s="65">
        <f t="shared" si="4"/>
        <v>0.96925853353740377</v>
      </c>
      <c r="H251" s="65">
        <f t="shared" si="4"/>
        <v>0.96925853353740377</v>
      </c>
    </row>
    <row r="252" spans="1:8">
      <c r="A252" s="499">
        <v>7</v>
      </c>
      <c r="B252" s="26">
        <v>999.94017399999996</v>
      </c>
      <c r="C252" s="10">
        <v>17.905570999999998</v>
      </c>
      <c r="D252" s="10">
        <v>17.905570999999998</v>
      </c>
      <c r="E252" s="10">
        <v>17.905570999999998</v>
      </c>
      <c r="F252" s="65">
        <f t="shared" si="4"/>
        <v>0.97885732648494217</v>
      </c>
      <c r="G252" s="65">
        <f t="shared" si="4"/>
        <v>0.97885732648494217</v>
      </c>
      <c r="H252" s="65">
        <f t="shared" si="4"/>
        <v>0.97885732648494217</v>
      </c>
    </row>
    <row r="253" spans="1:8">
      <c r="A253" s="499">
        <v>345</v>
      </c>
      <c r="B253" s="26">
        <v>1211.857861</v>
      </c>
      <c r="C253" s="10">
        <v>24.284030999999999</v>
      </c>
      <c r="D253" s="10">
        <v>24.284030999999999</v>
      </c>
      <c r="E253" s="10">
        <v>24.284030999999999</v>
      </c>
      <c r="F253" s="65">
        <f t="shared" si="4"/>
        <v>0.52301826094530457</v>
      </c>
      <c r="G253" s="65">
        <f t="shared" si="4"/>
        <v>0.52301826094530457</v>
      </c>
      <c r="H253" s="65">
        <f t="shared" si="4"/>
        <v>0.52301826094530457</v>
      </c>
    </row>
    <row r="254" spans="1:8">
      <c r="A254" s="499">
        <v>39</v>
      </c>
      <c r="B254" s="26">
        <v>1000.997469</v>
      </c>
      <c r="C254" s="10">
        <v>21.654513999999999</v>
      </c>
      <c r="D254" s="10">
        <v>21.654513999999999</v>
      </c>
      <c r="E254" s="10">
        <v>21.654513999999999</v>
      </c>
      <c r="F254" s="65">
        <f t="shared" si="4"/>
        <v>0.97428921235316224</v>
      </c>
      <c r="G254" s="65">
        <f t="shared" si="4"/>
        <v>0.97428921235316224</v>
      </c>
      <c r="H254" s="65">
        <f t="shared" si="4"/>
        <v>0.97428921235316224</v>
      </c>
    </row>
    <row r="255" spans="1:8">
      <c r="A255" s="499">
        <v>229</v>
      </c>
      <c r="B255" s="26">
        <v>428.15541300000001</v>
      </c>
      <c r="C255" s="10">
        <v>19.880848</v>
      </c>
      <c r="D255" s="10">
        <v>19.880848</v>
      </c>
      <c r="E255" s="10">
        <v>19.880848</v>
      </c>
      <c r="F255" s="65">
        <f t="shared" si="4"/>
        <v>0.97872464379605828</v>
      </c>
      <c r="G255" s="65">
        <f t="shared" si="4"/>
        <v>0.97872464379605828</v>
      </c>
      <c r="H255" s="65">
        <f t="shared" si="4"/>
        <v>0.97872464379605828</v>
      </c>
    </row>
    <row r="256" spans="1:8">
      <c r="A256" s="499">
        <v>126</v>
      </c>
      <c r="B256" s="26">
        <v>999.46786599999996</v>
      </c>
      <c r="C256" s="10">
        <v>24.407140999999999</v>
      </c>
      <c r="D256" s="10">
        <v>24.407140999999999</v>
      </c>
      <c r="E256" s="10">
        <v>24.407140999999999</v>
      </c>
      <c r="F256" s="65">
        <f t="shared" si="4"/>
        <v>0.46323752866303308</v>
      </c>
      <c r="G256" s="65">
        <f t="shared" si="4"/>
        <v>0.46323752866303308</v>
      </c>
      <c r="H256" s="65">
        <f t="shared" si="4"/>
        <v>0.46323752866303308</v>
      </c>
    </row>
    <row r="257" spans="1:8">
      <c r="A257" s="499">
        <v>471</v>
      </c>
      <c r="B257" s="26">
        <v>748.80267300000003</v>
      </c>
      <c r="C257" s="10">
        <v>18.606871000000002</v>
      </c>
      <c r="D257" s="10">
        <v>18.606871000000002</v>
      </c>
      <c r="E257" s="10">
        <v>18.606871000000002</v>
      </c>
      <c r="F257" s="65">
        <f t="shared" si="4"/>
        <v>0.97884922973202337</v>
      </c>
      <c r="G257" s="65">
        <f t="shared" si="4"/>
        <v>0.97884922973202337</v>
      </c>
      <c r="H257" s="65">
        <f t="shared" si="4"/>
        <v>0.97884922973202337</v>
      </c>
    </row>
    <row r="258" spans="1:8">
      <c r="A258" s="499">
        <v>95</v>
      </c>
      <c r="B258" s="26">
        <v>1001.187236</v>
      </c>
      <c r="C258" s="10">
        <v>21.291104000000001</v>
      </c>
      <c r="D258" s="10">
        <v>21.291104000000001</v>
      </c>
      <c r="E258" s="10">
        <v>21.291104000000001</v>
      </c>
      <c r="F258" s="65">
        <f t="shared" si="4"/>
        <v>0.97663438058824714</v>
      </c>
      <c r="G258" s="65">
        <f t="shared" si="4"/>
        <v>0.97663438058824714</v>
      </c>
      <c r="H258" s="65">
        <f t="shared" si="4"/>
        <v>0.97663438058824714</v>
      </c>
    </row>
    <row r="259" spans="1:8">
      <c r="A259" s="499">
        <v>469</v>
      </c>
      <c r="B259" s="26">
        <v>793.32627300000001</v>
      </c>
      <c r="C259" s="10">
        <v>22.581924000000001</v>
      </c>
      <c r="D259" s="10">
        <v>22.581924000000001</v>
      </c>
      <c r="E259" s="10">
        <v>22.581924000000001</v>
      </c>
      <c r="F259" s="65">
        <f t="shared" si="4"/>
        <v>0.95070186444298277</v>
      </c>
      <c r="G259" s="65">
        <f t="shared" si="4"/>
        <v>0.95070186444298277</v>
      </c>
      <c r="H259" s="65">
        <f t="shared" si="4"/>
        <v>0.95070186444298277</v>
      </c>
    </row>
    <row r="260" spans="1:8">
      <c r="A260" s="499">
        <v>165</v>
      </c>
      <c r="B260" s="26">
        <v>998.56828099999996</v>
      </c>
      <c r="C260" s="10">
        <v>20.523961</v>
      </c>
      <c r="D260" s="10">
        <v>20.523961</v>
      </c>
      <c r="E260" s="10">
        <v>20.523961</v>
      </c>
      <c r="F260" s="65">
        <f t="shared" si="4"/>
        <v>0.97837441977350947</v>
      </c>
      <c r="G260" s="65">
        <f t="shared" si="4"/>
        <v>0.97837441977350947</v>
      </c>
      <c r="H260" s="65">
        <f t="shared" si="4"/>
        <v>0.97837441977350947</v>
      </c>
    </row>
    <row r="261" spans="1:8">
      <c r="A261" s="499">
        <v>12</v>
      </c>
      <c r="B261" s="26">
        <v>999.57288100000005</v>
      </c>
      <c r="C261" s="10">
        <v>22.843762999999999</v>
      </c>
      <c r="D261" s="10">
        <v>22.843762999999999</v>
      </c>
      <c r="E261" s="10">
        <v>22.843762999999999</v>
      </c>
      <c r="F261" s="65">
        <f t="shared" si="4"/>
        <v>0.93239777080751141</v>
      </c>
      <c r="G261" s="65">
        <f t="shared" si="4"/>
        <v>0.93239777080751141</v>
      </c>
      <c r="H261" s="65">
        <f t="shared" si="4"/>
        <v>0.93239777080751141</v>
      </c>
    </row>
    <row r="262" spans="1:8">
      <c r="A262" s="499">
        <v>318</v>
      </c>
      <c r="B262" s="26">
        <v>1001.359716</v>
      </c>
      <c r="C262" s="10">
        <v>21.291104000000001</v>
      </c>
      <c r="D262" s="10">
        <v>21.291104000000001</v>
      </c>
      <c r="E262" s="10">
        <v>21.291104000000001</v>
      </c>
      <c r="F262" s="65">
        <f t="shared" ref="F262:H325" si="5">(97.886/(1+EXP(-((C262-24.35322)/-0.5033))))/100</f>
        <v>0.97663438058824714</v>
      </c>
      <c r="G262" s="65">
        <f t="shared" si="5"/>
        <v>0.97663438058824714</v>
      </c>
      <c r="H262" s="65">
        <f t="shared" si="5"/>
        <v>0.97663438058824714</v>
      </c>
    </row>
    <row r="263" spans="1:8">
      <c r="A263" s="499">
        <v>156</v>
      </c>
      <c r="B263" s="26">
        <v>960.01029700000004</v>
      </c>
      <c r="C263" s="10">
        <v>24.440521</v>
      </c>
      <c r="D263" s="10">
        <v>24.440521</v>
      </c>
      <c r="E263" s="10">
        <v>24.440521</v>
      </c>
      <c r="F263" s="65">
        <f t="shared" si="5"/>
        <v>0.4470885343942903</v>
      </c>
      <c r="G263" s="65">
        <f t="shared" si="5"/>
        <v>0.4470885343942903</v>
      </c>
      <c r="H263" s="65">
        <f t="shared" si="5"/>
        <v>0.4470885343942903</v>
      </c>
    </row>
    <row r="264" spans="1:8">
      <c r="A264" s="499">
        <v>349</v>
      </c>
      <c r="B264" s="26">
        <v>1001.370136</v>
      </c>
      <c r="C264" s="10">
        <v>24.851195000000001</v>
      </c>
      <c r="D264" s="10">
        <v>24.851195000000001</v>
      </c>
      <c r="E264" s="10">
        <v>24.851195000000001</v>
      </c>
      <c r="F264" s="65">
        <f t="shared" si="5"/>
        <v>0.26529718331702851</v>
      </c>
      <c r="G264" s="65">
        <f t="shared" si="5"/>
        <v>0.26529718331702851</v>
      </c>
      <c r="H264" s="65">
        <f t="shared" si="5"/>
        <v>0.26529718331702851</v>
      </c>
    </row>
    <row r="265" spans="1:8">
      <c r="A265" s="499">
        <v>108</v>
      </c>
      <c r="B265" s="26">
        <v>999.85782500000005</v>
      </c>
      <c r="C265" s="10">
        <v>18.371062999999999</v>
      </c>
      <c r="D265" s="10">
        <v>18.371062999999999</v>
      </c>
      <c r="E265" s="10">
        <v>18.371062999999999</v>
      </c>
      <c r="F265" s="65">
        <f t="shared" si="5"/>
        <v>0.97885325858566286</v>
      </c>
      <c r="G265" s="65">
        <f t="shared" si="5"/>
        <v>0.97885325858566286</v>
      </c>
      <c r="H265" s="65">
        <f t="shared" si="5"/>
        <v>0.97885325858566286</v>
      </c>
    </row>
    <row r="266" spans="1:8">
      <c r="A266" s="499">
        <v>391</v>
      </c>
      <c r="B266" s="26">
        <v>1000.60865</v>
      </c>
      <c r="C266" s="10">
        <v>25.492165</v>
      </c>
      <c r="D266" s="10">
        <v>25.492165</v>
      </c>
      <c r="E266" s="10">
        <v>25.492165</v>
      </c>
      <c r="F266" s="65">
        <f t="shared" si="5"/>
        <v>9.2245690102936428E-2</v>
      </c>
      <c r="G266" s="65">
        <f t="shared" si="5"/>
        <v>9.2245690102936428E-2</v>
      </c>
      <c r="H266" s="65">
        <f t="shared" si="5"/>
        <v>9.2245690102936428E-2</v>
      </c>
    </row>
    <row r="267" spans="1:8">
      <c r="A267" s="499">
        <v>363</v>
      </c>
      <c r="B267" s="26">
        <v>1000.116982</v>
      </c>
      <c r="C267" s="10">
        <v>22.084277</v>
      </c>
      <c r="D267" s="10">
        <v>22.084277</v>
      </c>
      <c r="E267" s="10">
        <v>22.084277</v>
      </c>
      <c r="F267" s="65">
        <f t="shared" si="5"/>
        <v>0.96819147786898285</v>
      </c>
      <c r="G267" s="65">
        <f t="shared" si="5"/>
        <v>0.96819147786898285</v>
      </c>
      <c r="H267" s="65">
        <f t="shared" si="5"/>
        <v>0.96819147786898285</v>
      </c>
    </row>
    <row r="268" spans="1:8">
      <c r="A268" s="499">
        <v>201</v>
      </c>
      <c r="B268" s="26">
        <v>1001.261831</v>
      </c>
      <c r="C268" s="10">
        <v>25.497064999999999</v>
      </c>
      <c r="D268" s="10">
        <v>25.497064999999999</v>
      </c>
      <c r="E268" s="10">
        <v>25.497064999999999</v>
      </c>
      <c r="F268" s="65">
        <f t="shared" si="5"/>
        <v>9.1435450034871857E-2</v>
      </c>
      <c r="G268" s="65">
        <f t="shared" si="5"/>
        <v>9.1435450034871857E-2</v>
      </c>
      <c r="H268" s="65">
        <f t="shared" si="5"/>
        <v>9.1435450034871857E-2</v>
      </c>
    </row>
    <row r="269" spans="1:8">
      <c r="A269" s="499">
        <v>281</v>
      </c>
      <c r="B269" s="26">
        <v>1001.119227</v>
      </c>
      <c r="C269" s="10">
        <v>24.647542999999999</v>
      </c>
      <c r="D269" s="10">
        <v>24.647542999999999</v>
      </c>
      <c r="E269" s="10">
        <v>24.647542999999999</v>
      </c>
      <c r="F269" s="65">
        <f t="shared" si="5"/>
        <v>0.35026741790941318</v>
      </c>
      <c r="G269" s="65">
        <f t="shared" si="5"/>
        <v>0.35026741790941318</v>
      </c>
      <c r="H269" s="65">
        <f t="shared" si="5"/>
        <v>0.35026741790941318</v>
      </c>
    </row>
    <row r="270" spans="1:8">
      <c r="A270" s="499">
        <v>187</v>
      </c>
      <c r="B270" s="26">
        <v>1250.26179</v>
      </c>
      <c r="C270" s="10">
        <v>25.276263</v>
      </c>
      <c r="D270" s="10">
        <v>25.276263</v>
      </c>
      <c r="E270" s="10">
        <v>25.276263</v>
      </c>
      <c r="F270" s="65">
        <f t="shared" si="5"/>
        <v>0.13485227578061162</v>
      </c>
      <c r="G270" s="65">
        <f t="shared" si="5"/>
        <v>0.13485227578061162</v>
      </c>
      <c r="H270" s="65">
        <f t="shared" si="5"/>
        <v>0.13485227578061162</v>
      </c>
    </row>
    <row r="271" spans="1:8">
      <c r="A271" s="499">
        <v>344</v>
      </c>
      <c r="B271" s="26">
        <v>1000.8136040000001</v>
      </c>
      <c r="C271" s="10">
        <v>18.30471</v>
      </c>
      <c r="D271" s="10">
        <v>18.30471</v>
      </c>
      <c r="E271" s="10">
        <v>18.30471</v>
      </c>
      <c r="F271" s="65">
        <f t="shared" si="5"/>
        <v>0.97885409124757994</v>
      </c>
      <c r="G271" s="65">
        <f t="shared" si="5"/>
        <v>0.97885409124757994</v>
      </c>
      <c r="H271" s="65">
        <f t="shared" si="5"/>
        <v>0.97885409124757994</v>
      </c>
    </row>
    <row r="272" spans="1:8">
      <c r="A272" s="499">
        <v>273</v>
      </c>
      <c r="B272" s="26">
        <v>641.94822199999999</v>
      </c>
      <c r="C272" s="10">
        <v>28.529593999999999</v>
      </c>
      <c r="D272" s="10">
        <v>28.529593999999999</v>
      </c>
      <c r="E272" s="10">
        <v>28.529593999999999</v>
      </c>
      <c r="F272" s="65">
        <f t="shared" si="5"/>
        <v>2.4369406264251902E-4</v>
      </c>
      <c r="G272" s="65">
        <f t="shared" si="5"/>
        <v>2.4369406264251902E-4</v>
      </c>
      <c r="H272" s="65">
        <f t="shared" si="5"/>
        <v>2.4369406264251902E-4</v>
      </c>
    </row>
    <row r="273" spans="1:8">
      <c r="A273" s="499">
        <v>228</v>
      </c>
      <c r="B273" s="26">
        <v>1002.0588739999999</v>
      </c>
      <c r="C273" s="10">
        <v>19.349513999999999</v>
      </c>
      <c r="D273" s="10">
        <v>19.349513999999999</v>
      </c>
      <c r="E273" s="10">
        <v>19.349513999999999</v>
      </c>
      <c r="F273" s="65">
        <f t="shared" si="5"/>
        <v>0.97881289874513921</v>
      </c>
      <c r="G273" s="65">
        <f t="shared" si="5"/>
        <v>0.97881289874513921</v>
      </c>
      <c r="H273" s="65">
        <f t="shared" si="5"/>
        <v>0.97881289874513921</v>
      </c>
    </row>
    <row r="274" spans="1:8">
      <c r="A274" s="499">
        <v>113</v>
      </c>
      <c r="B274" s="26">
        <v>744.88009199999999</v>
      </c>
      <c r="C274" s="10">
        <v>19.866046000000001</v>
      </c>
      <c r="D274" s="10">
        <v>19.866046000000001</v>
      </c>
      <c r="E274" s="10">
        <v>19.866046000000001</v>
      </c>
      <c r="F274" s="65">
        <f t="shared" si="5"/>
        <v>0.97872856611307357</v>
      </c>
      <c r="G274" s="65">
        <f t="shared" si="5"/>
        <v>0.97872856611307357</v>
      </c>
      <c r="H274" s="65">
        <f t="shared" si="5"/>
        <v>0.97872856611307357</v>
      </c>
    </row>
    <row r="275" spans="1:8">
      <c r="A275" s="499">
        <v>398</v>
      </c>
      <c r="B275" s="26">
        <v>1000.528806</v>
      </c>
      <c r="C275" s="10">
        <v>25.715315</v>
      </c>
      <c r="D275" s="10">
        <v>25.715315</v>
      </c>
      <c r="E275" s="10">
        <v>25.715315</v>
      </c>
      <c r="F275" s="65">
        <f t="shared" si="5"/>
        <v>6.1277588013557552E-2</v>
      </c>
      <c r="G275" s="65">
        <f t="shared" si="5"/>
        <v>6.1277588013557552E-2</v>
      </c>
      <c r="H275" s="65">
        <f t="shared" si="5"/>
        <v>6.1277588013557552E-2</v>
      </c>
    </row>
    <row r="276" spans="1:8">
      <c r="A276" s="499">
        <v>9</v>
      </c>
      <c r="B276" s="26">
        <v>390.58313199999998</v>
      </c>
      <c r="C276" s="10">
        <v>18.848804000000001</v>
      </c>
      <c r="D276" s="10">
        <v>18.848804000000001</v>
      </c>
      <c r="E276" s="10">
        <v>18.848804000000001</v>
      </c>
      <c r="F276" s="65">
        <f t="shared" si="5"/>
        <v>0.97884258249029499</v>
      </c>
      <c r="G276" s="65">
        <f t="shared" si="5"/>
        <v>0.97884258249029499</v>
      </c>
      <c r="H276" s="65">
        <f t="shared" si="5"/>
        <v>0.97884258249029499</v>
      </c>
    </row>
    <row r="277" spans="1:8">
      <c r="A277" s="499">
        <v>445</v>
      </c>
      <c r="B277" s="26">
        <v>1346.821948</v>
      </c>
      <c r="C277" s="10">
        <v>25.536162000000001</v>
      </c>
      <c r="D277" s="10">
        <v>25.536162000000001</v>
      </c>
      <c r="E277" s="10">
        <v>25.536162000000001</v>
      </c>
      <c r="F277" s="65">
        <f t="shared" si="5"/>
        <v>8.519629816892621E-2</v>
      </c>
      <c r="G277" s="65">
        <f t="shared" si="5"/>
        <v>8.519629816892621E-2</v>
      </c>
      <c r="H277" s="65">
        <f t="shared" si="5"/>
        <v>8.519629816892621E-2</v>
      </c>
    </row>
    <row r="278" spans="1:8">
      <c r="A278" s="499">
        <v>477</v>
      </c>
      <c r="B278" s="26">
        <v>1001.294231</v>
      </c>
      <c r="C278" s="10">
        <v>19.349513999999999</v>
      </c>
      <c r="D278" s="10">
        <v>19.349513999999999</v>
      </c>
      <c r="E278" s="10">
        <v>19.349513999999999</v>
      </c>
      <c r="F278" s="65">
        <f t="shared" si="5"/>
        <v>0.97881289874513921</v>
      </c>
      <c r="G278" s="65">
        <f t="shared" si="5"/>
        <v>0.97881289874513921</v>
      </c>
      <c r="H278" s="65">
        <f t="shared" si="5"/>
        <v>0.97881289874513921</v>
      </c>
    </row>
    <row r="279" spans="1:8">
      <c r="A279" s="499">
        <v>157</v>
      </c>
      <c r="B279" s="26">
        <v>1286.981035</v>
      </c>
      <c r="C279" s="10">
        <v>29.291740000000001</v>
      </c>
      <c r="D279" s="10">
        <v>29.291740000000001</v>
      </c>
      <c r="E279" s="10">
        <v>29.291740000000001</v>
      </c>
      <c r="F279" s="65">
        <f t="shared" si="5"/>
        <v>5.3613997210724894E-5</v>
      </c>
      <c r="G279" s="65">
        <f t="shared" si="5"/>
        <v>5.3613997210724894E-5</v>
      </c>
      <c r="H279" s="65">
        <f t="shared" si="5"/>
        <v>5.3613997210724894E-5</v>
      </c>
    </row>
    <row r="280" spans="1:8">
      <c r="A280" s="499">
        <v>100</v>
      </c>
      <c r="B280" s="26">
        <v>1002.103373</v>
      </c>
      <c r="C280" s="10">
        <v>18.709973000000002</v>
      </c>
      <c r="D280" s="10">
        <v>18.709973000000002</v>
      </c>
      <c r="E280" s="10">
        <v>18.709973000000002</v>
      </c>
      <c r="F280" s="65">
        <f t="shared" si="5"/>
        <v>0.97884678121600277</v>
      </c>
      <c r="G280" s="65">
        <f t="shared" si="5"/>
        <v>0.97884678121600277</v>
      </c>
      <c r="H280" s="65">
        <f t="shared" si="5"/>
        <v>0.97884678121600277</v>
      </c>
    </row>
    <row r="281" spans="1:8">
      <c r="A281" s="499">
        <v>436</v>
      </c>
      <c r="B281" s="26">
        <v>1001.496262</v>
      </c>
      <c r="C281" s="10">
        <v>29.291740000000001</v>
      </c>
      <c r="D281" s="10">
        <v>29.291740000000001</v>
      </c>
      <c r="E281" s="10">
        <v>29.291740000000001</v>
      </c>
      <c r="F281" s="65">
        <f t="shared" si="5"/>
        <v>5.3613997210724894E-5</v>
      </c>
      <c r="G281" s="65">
        <f t="shared" si="5"/>
        <v>5.3613997210724894E-5</v>
      </c>
      <c r="H281" s="65">
        <f t="shared" si="5"/>
        <v>5.3613997210724894E-5</v>
      </c>
    </row>
    <row r="282" spans="1:8">
      <c r="A282" s="499">
        <v>470</v>
      </c>
      <c r="B282" s="26">
        <v>1070.856542</v>
      </c>
      <c r="C282" s="10">
        <v>20.730675999999999</v>
      </c>
      <c r="D282" s="10">
        <v>20.730675999999999</v>
      </c>
      <c r="E282" s="10">
        <v>20.730675999999999</v>
      </c>
      <c r="F282" s="65">
        <f t="shared" si="5"/>
        <v>0.97812797706137455</v>
      </c>
      <c r="G282" s="65">
        <f t="shared" si="5"/>
        <v>0.97812797706137455</v>
      </c>
      <c r="H282" s="65">
        <f t="shared" si="5"/>
        <v>0.97812797706137455</v>
      </c>
    </row>
    <row r="283" spans="1:8">
      <c r="A283" s="499">
        <v>460</v>
      </c>
      <c r="B283" s="26">
        <v>1001.2291729999999</v>
      </c>
      <c r="C283" s="10">
        <v>26.903033000000001</v>
      </c>
      <c r="D283" s="10">
        <v>26.903033000000001</v>
      </c>
      <c r="E283" s="10">
        <v>26.903033000000001</v>
      </c>
      <c r="F283" s="65">
        <f t="shared" si="5"/>
        <v>6.1344036731522424E-3</v>
      </c>
      <c r="G283" s="65">
        <f t="shared" si="5"/>
        <v>6.1344036731522424E-3</v>
      </c>
      <c r="H283" s="65">
        <f t="shared" si="5"/>
        <v>6.1344036731522424E-3</v>
      </c>
    </row>
    <row r="284" spans="1:8">
      <c r="A284" s="499">
        <v>319</v>
      </c>
      <c r="B284" s="26">
        <v>999.34153300000003</v>
      </c>
      <c r="C284" s="10">
        <v>17.905570999999998</v>
      </c>
      <c r="D284" s="10">
        <v>17.905570999999998</v>
      </c>
      <c r="E284" s="10">
        <v>17.905570999999998</v>
      </c>
      <c r="F284" s="65">
        <f t="shared" si="5"/>
        <v>0.97885732648494217</v>
      </c>
      <c r="G284" s="65">
        <f t="shared" si="5"/>
        <v>0.97885732648494217</v>
      </c>
      <c r="H284" s="65">
        <f t="shared" si="5"/>
        <v>0.97885732648494217</v>
      </c>
    </row>
    <row r="285" spans="1:8">
      <c r="A285" s="499">
        <v>19</v>
      </c>
      <c r="B285" s="26">
        <v>1001.743395</v>
      </c>
      <c r="C285" s="10">
        <v>20.205466999999999</v>
      </c>
      <c r="D285" s="10">
        <v>20.205466999999999</v>
      </c>
      <c r="E285" s="10">
        <v>20.205466999999999</v>
      </c>
      <c r="F285" s="65">
        <f t="shared" si="5"/>
        <v>0.97860205001505518</v>
      </c>
      <c r="G285" s="65">
        <f t="shared" si="5"/>
        <v>0.97860205001505518</v>
      </c>
      <c r="H285" s="65">
        <f t="shared" si="5"/>
        <v>0.97860205001505518</v>
      </c>
    </row>
    <row r="286" spans="1:8">
      <c r="A286" s="499">
        <v>407</v>
      </c>
      <c r="B286" s="26">
        <v>1001.098245</v>
      </c>
      <c r="C286" s="10">
        <v>25.776665999999999</v>
      </c>
      <c r="D286" s="10">
        <v>25.776665999999999</v>
      </c>
      <c r="E286" s="10">
        <v>25.776665999999999</v>
      </c>
      <c r="F286" s="65">
        <f t="shared" si="5"/>
        <v>5.4637844247166154E-2</v>
      </c>
      <c r="G286" s="65">
        <f t="shared" si="5"/>
        <v>5.4637844247166154E-2</v>
      </c>
      <c r="H286" s="65">
        <f t="shared" si="5"/>
        <v>5.4637844247166154E-2</v>
      </c>
    </row>
    <row r="287" spans="1:8">
      <c r="A287" s="499">
        <v>458</v>
      </c>
      <c r="B287" s="26">
        <v>1001.510678</v>
      </c>
      <c r="C287" s="10">
        <v>18.755400000000002</v>
      </c>
      <c r="D287" s="10">
        <v>18.755400000000002</v>
      </c>
      <c r="E287" s="10">
        <v>18.755400000000002</v>
      </c>
      <c r="F287" s="65">
        <f t="shared" si="5"/>
        <v>0.97884553262856699</v>
      </c>
      <c r="G287" s="65">
        <f t="shared" si="5"/>
        <v>0.97884553262856699</v>
      </c>
      <c r="H287" s="65">
        <f t="shared" si="5"/>
        <v>0.97884553262856699</v>
      </c>
    </row>
    <row r="288" spans="1:8">
      <c r="A288" s="499">
        <v>162</v>
      </c>
      <c r="B288" s="26">
        <v>1002.145849</v>
      </c>
      <c r="C288" s="10">
        <v>20.205466999999999</v>
      </c>
      <c r="D288" s="10">
        <v>20.205466999999999</v>
      </c>
      <c r="E288" s="10">
        <v>20.205466999999999</v>
      </c>
      <c r="F288" s="65">
        <f t="shared" si="5"/>
        <v>0.97860205001505518</v>
      </c>
      <c r="G288" s="65">
        <f t="shared" si="5"/>
        <v>0.97860205001505518</v>
      </c>
      <c r="H288" s="65">
        <f t="shared" si="5"/>
        <v>0.97860205001505518</v>
      </c>
    </row>
    <row r="289" spans="1:8">
      <c r="A289" s="499">
        <v>276</v>
      </c>
      <c r="B289" s="26">
        <v>998.42692899999997</v>
      </c>
      <c r="C289" s="10">
        <v>18.512955999999999</v>
      </c>
      <c r="D289" s="10">
        <v>18.512955999999999</v>
      </c>
      <c r="E289" s="10">
        <v>18.512955999999999</v>
      </c>
      <c r="F289" s="65">
        <f t="shared" si="5"/>
        <v>0.97885106306405179</v>
      </c>
      <c r="G289" s="65">
        <f t="shared" si="5"/>
        <v>0.97885106306405179</v>
      </c>
      <c r="H289" s="65">
        <f t="shared" si="5"/>
        <v>0.97885106306405179</v>
      </c>
    </row>
    <row r="290" spans="1:8">
      <c r="A290" s="499">
        <v>225</v>
      </c>
      <c r="B290" s="26">
        <v>1002.0752639999999</v>
      </c>
      <c r="C290" s="10">
        <v>18.10463</v>
      </c>
      <c r="D290" s="10">
        <v>18.10463</v>
      </c>
      <c r="E290" s="10">
        <v>18.10463</v>
      </c>
      <c r="F290" s="65">
        <f t="shared" si="5"/>
        <v>0.97885602946664463</v>
      </c>
      <c r="G290" s="65">
        <f t="shared" si="5"/>
        <v>0.97885602946664463</v>
      </c>
      <c r="H290" s="65">
        <f t="shared" si="5"/>
        <v>0.97885602946664463</v>
      </c>
    </row>
    <row r="291" spans="1:8">
      <c r="A291" s="499">
        <v>488</v>
      </c>
      <c r="B291" s="26">
        <v>1001.3480070000001</v>
      </c>
      <c r="C291" s="10">
        <v>20.205466999999999</v>
      </c>
      <c r="D291" s="10">
        <v>20.205466999999999</v>
      </c>
      <c r="E291" s="10">
        <v>20.205466999999999</v>
      </c>
      <c r="F291" s="65">
        <f t="shared" si="5"/>
        <v>0.97860205001505518</v>
      </c>
      <c r="G291" s="65">
        <f t="shared" si="5"/>
        <v>0.97860205001505518</v>
      </c>
      <c r="H291" s="65">
        <f t="shared" si="5"/>
        <v>0.97860205001505518</v>
      </c>
    </row>
    <row r="292" spans="1:8">
      <c r="A292" s="499">
        <v>321</v>
      </c>
      <c r="B292" s="26">
        <v>1001.297101</v>
      </c>
      <c r="C292" s="10">
        <v>18.389130999999999</v>
      </c>
      <c r="D292" s="10">
        <v>18.389130999999999</v>
      </c>
      <c r="E292" s="10">
        <v>18.389130999999999</v>
      </c>
      <c r="F292" s="65">
        <f t="shared" si="5"/>
        <v>0.9788530121805159</v>
      </c>
      <c r="G292" s="65">
        <f t="shared" si="5"/>
        <v>0.9788530121805159</v>
      </c>
      <c r="H292" s="65">
        <f t="shared" si="5"/>
        <v>0.9788530121805159</v>
      </c>
    </row>
    <row r="293" spans="1:8">
      <c r="A293" s="499">
        <v>128</v>
      </c>
      <c r="B293" s="26">
        <v>1001.452242</v>
      </c>
      <c r="C293" s="10">
        <v>29.801126</v>
      </c>
      <c r="D293" s="10">
        <v>29.801126</v>
      </c>
      <c r="E293" s="10">
        <v>29.801126</v>
      </c>
      <c r="F293" s="65">
        <f t="shared" si="5"/>
        <v>1.9487102756740737E-5</v>
      </c>
      <c r="G293" s="65">
        <f t="shared" si="5"/>
        <v>1.9487102756740737E-5</v>
      </c>
      <c r="H293" s="65">
        <f t="shared" si="5"/>
        <v>1.9487102756740737E-5</v>
      </c>
    </row>
    <row r="294" spans="1:8">
      <c r="A294" s="499">
        <v>382</v>
      </c>
      <c r="B294" s="26">
        <v>1000.596362</v>
      </c>
      <c r="C294" s="10">
        <v>22.100355</v>
      </c>
      <c r="D294" s="10">
        <v>22.100355</v>
      </c>
      <c r="E294" s="10">
        <v>22.100355</v>
      </c>
      <c r="F294" s="65">
        <f t="shared" si="5"/>
        <v>0.96784906373826307</v>
      </c>
      <c r="G294" s="65">
        <f t="shared" si="5"/>
        <v>0.96784906373826307</v>
      </c>
      <c r="H294" s="65">
        <f t="shared" si="5"/>
        <v>0.96784906373826307</v>
      </c>
    </row>
    <row r="295" spans="1:8">
      <c r="A295" s="499">
        <v>368</v>
      </c>
      <c r="B295" s="26">
        <v>775.74836200000004</v>
      </c>
      <c r="C295" s="10">
        <v>34.421334000000002</v>
      </c>
      <c r="D295" s="10">
        <v>34.421334000000002</v>
      </c>
      <c r="E295" s="10">
        <v>34.421334000000002</v>
      </c>
      <c r="F295" s="65">
        <f t="shared" si="5"/>
        <v>2.0091242025397049E-9</v>
      </c>
      <c r="G295" s="65">
        <f t="shared" si="5"/>
        <v>2.0091242025397049E-9</v>
      </c>
      <c r="H295" s="65">
        <f t="shared" si="5"/>
        <v>2.0091242025397049E-9</v>
      </c>
    </row>
    <row r="296" spans="1:8">
      <c r="A296" s="499">
        <v>213</v>
      </c>
      <c r="B296" s="26">
        <v>970.00176499999998</v>
      </c>
      <c r="C296" s="10">
        <v>24.738108</v>
      </c>
      <c r="D296" s="10">
        <v>24.738108</v>
      </c>
      <c r="E296" s="10">
        <v>24.738108</v>
      </c>
      <c r="F296" s="65">
        <f t="shared" si="5"/>
        <v>0.31090597946661935</v>
      </c>
      <c r="G296" s="65">
        <f t="shared" si="5"/>
        <v>0.31090597946661935</v>
      </c>
      <c r="H296" s="65">
        <f t="shared" si="5"/>
        <v>0.31090597946661935</v>
      </c>
    </row>
    <row r="297" spans="1:8">
      <c r="A297" s="499">
        <v>267</v>
      </c>
      <c r="B297" s="26">
        <v>969.09942599999999</v>
      </c>
      <c r="C297" s="10">
        <v>25.715824999999999</v>
      </c>
      <c r="D297" s="10">
        <v>25.715824999999999</v>
      </c>
      <c r="E297" s="10">
        <v>25.715824999999999</v>
      </c>
      <c r="F297" s="65">
        <f t="shared" si="5"/>
        <v>6.1219407583993517E-2</v>
      </c>
      <c r="G297" s="65">
        <f t="shared" si="5"/>
        <v>6.1219407583993517E-2</v>
      </c>
      <c r="H297" s="65">
        <f t="shared" si="5"/>
        <v>6.1219407583993517E-2</v>
      </c>
    </row>
    <row r="298" spans="1:8">
      <c r="A298" s="499">
        <v>140</v>
      </c>
      <c r="B298" s="26">
        <v>1000.623879</v>
      </c>
      <c r="C298" s="10">
        <v>26.731535999999998</v>
      </c>
      <c r="D298" s="10">
        <v>26.731535999999998</v>
      </c>
      <c r="E298" s="10">
        <v>26.731535999999998</v>
      </c>
      <c r="F298" s="65">
        <f t="shared" si="5"/>
        <v>8.6030506193787194E-3</v>
      </c>
      <c r="G298" s="65">
        <f t="shared" si="5"/>
        <v>8.6030506193787194E-3</v>
      </c>
      <c r="H298" s="65">
        <f t="shared" si="5"/>
        <v>8.6030506193787194E-3</v>
      </c>
    </row>
    <row r="299" spans="1:8">
      <c r="A299" s="499">
        <v>360</v>
      </c>
      <c r="B299" s="26">
        <v>1013.202407</v>
      </c>
      <c r="C299" s="10">
        <v>17.775928</v>
      </c>
      <c r="D299" s="10">
        <v>17.775928</v>
      </c>
      <c r="E299" s="10">
        <v>17.775928</v>
      </c>
      <c r="F299" s="65">
        <f t="shared" si="5"/>
        <v>0.97885793359828033</v>
      </c>
      <c r="G299" s="65">
        <f t="shared" si="5"/>
        <v>0.97885793359828033</v>
      </c>
      <c r="H299" s="65">
        <f t="shared" si="5"/>
        <v>0.97885793359828033</v>
      </c>
    </row>
    <row r="300" spans="1:8">
      <c r="A300" s="499">
        <v>87</v>
      </c>
      <c r="B300" s="26">
        <v>1000.094811</v>
      </c>
      <c r="C300" s="10">
        <v>24.407140999999999</v>
      </c>
      <c r="D300" s="10">
        <v>24.407140999999999</v>
      </c>
      <c r="E300" s="10">
        <v>24.407140999999999</v>
      </c>
      <c r="F300" s="65">
        <f t="shared" si="5"/>
        <v>0.46323752866303308</v>
      </c>
      <c r="G300" s="65">
        <f t="shared" si="5"/>
        <v>0.46323752866303308</v>
      </c>
      <c r="H300" s="65">
        <f t="shared" si="5"/>
        <v>0.46323752866303308</v>
      </c>
    </row>
    <row r="301" spans="1:8">
      <c r="A301" s="499">
        <v>31</v>
      </c>
      <c r="B301" s="26">
        <v>1002.306302</v>
      </c>
      <c r="C301" s="10">
        <v>18.10463</v>
      </c>
      <c r="D301" s="10">
        <v>18.10463</v>
      </c>
      <c r="E301" s="10">
        <v>18.10463</v>
      </c>
      <c r="F301" s="65">
        <f t="shared" si="5"/>
        <v>0.97885602946664463</v>
      </c>
      <c r="G301" s="65">
        <f t="shared" si="5"/>
        <v>0.97885602946664463</v>
      </c>
      <c r="H301" s="65">
        <f t="shared" si="5"/>
        <v>0.97885602946664463</v>
      </c>
    </row>
    <row r="302" spans="1:8">
      <c r="A302" s="499">
        <v>376</v>
      </c>
      <c r="B302" s="26">
        <v>1278.288681</v>
      </c>
      <c r="C302" s="10">
        <v>32.011701000000002</v>
      </c>
      <c r="D302" s="10">
        <v>32.011701000000002</v>
      </c>
      <c r="E302" s="10">
        <v>32.011701000000002</v>
      </c>
      <c r="F302" s="65">
        <f t="shared" si="5"/>
        <v>2.4113719801722675E-7</v>
      </c>
      <c r="G302" s="65">
        <f t="shared" si="5"/>
        <v>2.4113719801722675E-7</v>
      </c>
      <c r="H302" s="65">
        <f t="shared" si="5"/>
        <v>2.4113719801722675E-7</v>
      </c>
    </row>
    <row r="303" spans="1:8">
      <c r="A303" s="499">
        <v>134</v>
      </c>
      <c r="B303" s="26">
        <v>1000.73619</v>
      </c>
      <c r="C303" s="10">
        <v>17.726417999999999</v>
      </c>
      <c r="D303" s="10">
        <v>17.726417999999999</v>
      </c>
      <c r="E303" s="10">
        <v>17.726417999999999</v>
      </c>
      <c r="F303" s="65">
        <f t="shared" si="5"/>
        <v>0.97885812719325305</v>
      </c>
      <c r="G303" s="65">
        <f t="shared" si="5"/>
        <v>0.97885812719325305</v>
      </c>
      <c r="H303" s="65">
        <f t="shared" si="5"/>
        <v>0.97885812719325305</v>
      </c>
    </row>
    <row r="304" spans="1:8">
      <c r="A304" s="499">
        <v>54</v>
      </c>
      <c r="B304" s="26">
        <v>1001.733178</v>
      </c>
      <c r="C304" s="10">
        <v>18.10463</v>
      </c>
      <c r="D304" s="10">
        <v>18.10463</v>
      </c>
      <c r="E304" s="10">
        <v>18.10463</v>
      </c>
      <c r="F304" s="65">
        <f t="shared" si="5"/>
        <v>0.97885602946664463</v>
      </c>
      <c r="G304" s="65">
        <f t="shared" si="5"/>
        <v>0.97885602946664463</v>
      </c>
      <c r="H304" s="65">
        <f t="shared" si="5"/>
        <v>0.97885602946664463</v>
      </c>
    </row>
    <row r="305" spans="1:8">
      <c r="A305" s="499">
        <v>237</v>
      </c>
      <c r="B305" s="26">
        <v>555.97514999999999</v>
      </c>
      <c r="C305" s="10">
        <v>19.790199999999999</v>
      </c>
      <c r="D305" s="10">
        <v>19.790199999999999</v>
      </c>
      <c r="E305" s="10">
        <v>19.790199999999999</v>
      </c>
      <c r="F305" s="65">
        <f t="shared" si="5"/>
        <v>0.97874695054805438</v>
      </c>
      <c r="G305" s="65">
        <f t="shared" si="5"/>
        <v>0.97874695054805438</v>
      </c>
      <c r="H305" s="65">
        <f t="shared" si="5"/>
        <v>0.97874695054805438</v>
      </c>
    </row>
    <row r="306" spans="1:8">
      <c r="A306" s="499">
        <v>468</v>
      </c>
      <c r="B306" s="26">
        <v>590.48803899999996</v>
      </c>
      <c r="C306" s="10">
        <v>24.237175000000001</v>
      </c>
      <c r="D306" s="10">
        <v>24.237175000000001</v>
      </c>
      <c r="E306" s="10">
        <v>24.237175000000001</v>
      </c>
      <c r="F306" s="65">
        <f t="shared" si="5"/>
        <v>0.54560486670960284</v>
      </c>
      <c r="G306" s="65">
        <f t="shared" si="5"/>
        <v>0.54560486670960284</v>
      </c>
      <c r="H306" s="65">
        <f t="shared" si="5"/>
        <v>0.54560486670960284</v>
      </c>
    </row>
    <row r="307" spans="1:8">
      <c r="A307" s="499">
        <v>139</v>
      </c>
      <c r="B307" s="26">
        <v>927.29477999999995</v>
      </c>
      <c r="C307" s="10">
        <v>21.454315999999999</v>
      </c>
      <c r="D307" s="10">
        <v>21.454315999999999</v>
      </c>
      <c r="E307" s="10">
        <v>21.454315999999999</v>
      </c>
      <c r="F307" s="65">
        <f t="shared" si="5"/>
        <v>0.97578455852815038</v>
      </c>
      <c r="G307" s="65">
        <f t="shared" si="5"/>
        <v>0.97578455852815038</v>
      </c>
      <c r="H307" s="65">
        <f t="shared" si="5"/>
        <v>0.97578455852815038</v>
      </c>
    </row>
    <row r="308" spans="1:8">
      <c r="A308" s="499">
        <v>45</v>
      </c>
      <c r="B308" s="26">
        <v>999.58258499999999</v>
      </c>
      <c r="C308" s="10">
        <v>23.00826</v>
      </c>
      <c r="D308" s="10">
        <v>23.00826</v>
      </c>
      <c r="E308" s="10">
        <v>23.00826</v>
      </c>
      <c r="F308" s="65">
        <f t="shared" si="5"/>
        <v>0.91559742967530799</v>
      </c>
      <c r="G308" s="65">
        <f t="shared" si="5"/>
        <v>0.91559742967530799</v>
      </c>
      <c r="H308" s="65">
        <f t="shared" si="5"/>
        <v>0.91559742967530799</v>
      </c>
    </row>
    <row r="309" spans="1:8">
      <c r="A309" s="499">
        <v>166</v>
      </c>
      <c r="B309" s="26">
        <v>1001.205212</v>
      </c>
      <c r="C309" s="10">
        <v>23.517500999999999</v>
      </c>
      <c r="D309" s="10">
        <v>23.517500999999999</v>
      </c>
      <c r="E309" s="10">
        <v>23.517500999999999</v>
      </c>
      <c r="F309" s="65">
        <f t="shared" si="5"/>
        <v>0.82253828109983784</v>
      </c>
      <c r="G309" s="65">
        <f t="shared" si="5"/>
        <v>0.82253828109983784</v>
      </c>
      <c r="H309" s="65">
        <f t="shared" si="5"/>
        <v>0.82253828109983784</v>
      </c>
    </row>
    <row r="310" spans="1:8">
      <c r="A310" s="499">
        <v>208</v>
      </c>
      <c r="B310" s="26">
        <v>1002.407493</v>
      </c>
      <c r="C310" s="10">
        <v>18.755400000000002</v>
      </c>
      <c r="D310" s="10">
        <v>18.755400000000002</v>
      </c>
      <c r="E310" s="10">
        <v>18.755400000000002</v>
      </c>
      <c r="F310" s="65">
        <f t="shared" si="5"/>
        <v>0.97884553262856699</v>
      </c>
      <c r="G310" s="65">
        <f t="shared" si="5"/>
        <v>0.97884553262856699</v>
      </c>
      <c r="H310" s="65">
        <f t="shared" si="5"/>
        <v>0.97884553262856699</v>
      </c>
    </row>
    <row r="311" spans="1:8">
      <c r="A311" s="499">
        <v>417</v>
      </c>
      <c r="B311" s="26">
        <v>1000.174259</v>
      </c>
      <c r="C311" s="10">
        <v>18.275617</v>
      </c>
      <c r="D311" s="10">
        <v>18.275617</v>
      </c>
      <c r="E311" s="10">
        <v>18.275617</v>
      </c>
      <c r="F311" s="65">
        <f t="shared" si="5"/>
        <v>0.97885442311397053</v>
      </c>
      <c r="G311" s="65">
        <f t="shared" si="5"/>
        <v>0.97885442311397053</v>
      </c>
      <c r="H311" s="65">
        <f t="shared" si="5"/>
        <v>0.97885442311397053</v>
      </c>
    </row>
    <row r="312" spans="1:8">
      <c r="A312" s="499">
        <v>443</v>
      </c>
      <c r="B312" s="26">
        <v>583.59952399999997</v>
      </c>
      <c r="C312" s="10">
        <v>28.477941000000001</v>
      </c>
      <c r="D312" s="10">
        <v>28.477941000000001</v>
      </c>
      <c r="E312" s="10">
        <v>28.477941000000001</v>
      </c>
      <c r="F312" s="65">
        <f t="shared" si="5"/>
        <v>2.7002521431144594E-4</v>
      </c>
      <c r="G312" s="65">
        <f t="shared" si="5"/>
        <v>2.7002521431144594E-4</v>
      </c>
      <c r="H312" s="65">
        <f t="shared" si="5"/>
        <v>2.7002521431144594E-4</v>
      </c>
    </row>
    <row r="313" spans="1:8">
      <c r="A313" s="499">
        <v>164</v>
      </c>
      <c r="B313" s="26">
        <v>1001.014872</v>
      </c>
      <c r="C313" s="10">
        <v>18.10463</v>
      </c>
      <c r="D313" s="10">
        <v>18.10463</v>
      </c>
      <c r="E313" s="10">
        <v>18.10463</v>
      </c>
      <c r="F313" s="65">
        <f t="shared" si="5"/>
        <v>0.97885602946664463</v>
      </c>
      <c r="G313" s="65">
        <f t="shared" si="5"/>
        <v>0.97885602946664463</v>
      </c>
      <c r="H313" s="65">
        <f t="shared" si="5"/>
        <v>0.97885602946664463</v>
      </c>
    </row>
    <row r="314" spans="1:8">
      <c r="A314" s="499">
        <v>350</v>
      </c>
      <c r="B314" s="26">
        <v>1000.877802</v>
      </c>
      <c r="C314" s="10">
        <v>22.255262999999999</v>
      </c>
      <c r="D314" s="10">
        <v>22.255262999999999</v>
      </c>
      <c r="E314" s="10">
        <v>22.255262999999999</v>
      </c>
      <c r="F314" s="65">
        <f t="shared" si="5"/>
        <v>0.96394111785859049</v>
      </c>
      <c r="G314" s="65">
        <f t="shared" si="5"/>
        <v>0.96394111785859049</v>
      </c>
      <c r="H314" s="65">
        <f t="shared" si="5"/>
        <v>0.96394111785859049</v>
      </c>
    </row>
    <row r="315" spans="1:8">
      <c r="A315" s="499">
        <v>304</v>
      </c>
      <c r="B315" s="26">
        <v>1019.994973</v>
      </c>
      <c r="C315" s="10">
        <v>21.51849</v>
      </c>
      <c r="D315" s="10">
        <v>21.51849</v>
      </c>
      <c r="E315" s="10">
        <v>21.51849</v>
      </c>
      <c r="F315" s="65">
        <f t="shared" si="5"/>
        <v>0.97536781456578381</v>
      </c>
      <c r="G315" s="65">
        <f t="shared" si="5"/>
        <v>0.97536781456578381</v>
      </c>
      <c r="H315" s="65">
        <f t="shared" si="5"/>
        <v>0.97536781456578381</v>
      </c>
    </row>
    <row r="316" spans="1:8">
      <c r="A316" s="499">
        <v>197</v>
      </c>
      <c r="B316" s="26">
        <v>853.611897</v>
      </c>
      <c r="C316" s="10">
        <v>24.844049999999999</v>
      </c>
      <c r="D316" s="10">
        <v>24.844049999999999</v>
      </c>
      <c r="E316" s="10">
        <v>24.844049999999999</v>
      </c>
      <c r="F316" s="65">
        <f t="shared" si="5"/>
        <v>0.26805157856004791</v>
      </c>
      <c r="G316" s="65">
        <f t="shared" si="5"/>
        <v>0.26805157856004791</v>
      </c>
      <c r="H316" s="65">
        <f t="shared" si="5"/>
        <v>0.26805157856004791</v>
      </c>
    </row>
    <row r="317" spans="1:8">
      <c r="A317" s="499">
        <v>424</v>
      </c>
      <c r="B317" s="26">
        <v>1001.321795</v>
      </c>
      <c r="C317" s="10">
        <v>19.040206999999999</v>
      </c>
      <c r="D317" s="10">
        <v>19.040206999999999</v>
      </c>
      <c r="E317" s="10">
        <v>19.040206999999999</v>
      </c>
      <c r="F317" s="65">
        <f t="shared" si="5"/>
        <v>0.9788345233125133</v>
      </c>
      <c r="G317" s="65">
        <f t="shared" si="5"/>
        <v>0.9788345233125133</v>
      </c>
      <c r="H317" s="65">
        <f t="shared" si="5"/>
        <v>0.9788345233125133</v>
      </c>
    </row>
    <row r="318" spans="1:8">
      <c r="A318" s="499">
        <v>251</v>
      </c>
      <c r="B318" s="26">
        <v>1079.5243009999999</v>
      </c>
      <c r="C318" s="10">
        <v>18.572163</v>
      </c>
      <c r="D318" s="10">
        <v>18.572163</v>
      </c>
      <c r="E318" s="10">
        <v>18.572163</v>
      </c>
      <c r="F318" s="65">
        <f t="shared" si="5"/>
        <v>0.97884994742070874</v>
      </c>
      <c r="G318" s="65">
        <f t="shared" si="5"/>
        <v>0.97884994742070874</v>
      </c>
      <c r="H318" s="65">
        <f t="shared" si="5"/>
        <v>0.97884994742070874</v>
      </c>
    </row>
    <row r="319" spans="1:8">
      <c r="A319" s="499">
        <v>266</v>
      </c>
      <c r="B319" s="26">
        <v>999.73983499999997</v>
      </c>
      <c r="C319" s="10">
        <v>24.619980999999999</v>
      </c>
      <c r="D319" s="10">
        <v>24.619980999999999</v>
      </c>
      <c r="E319" s="10">
        <v>24.619980999999999</v>
      </c>
      <c r="F319" s="65">
        <f t="shared" si="5"/>
        <v>0.36267871767726745</v>
      </c>
      <c r="G319" s="65">
        <f t="shared" si="5"/>
        <v>0.36267871767726745</v>
      </c>
      <c r="H319" s="65">
        <f t="shared" si="5"/>
        <v>0.36267871767726745</v>
      </c>
    </row>
    <row r="320" spans="1:8">
      <c r="A320" s="499">
        <v>411</v>
      </c>
      <c r="B320" s="26">
        <v>1000.032631</v>
      </c>
      <c r="C320" s="10">
        <v>23.622644999999999</v>
      </c>
      <c r="D320" s="10">
        <v>23.622644999999999</v>
      </c>
      <c r="E320" s="10">
        <v>23.622644999999999</v>
      </c>
      <c r="F320" s="65">
        <f t="shared" si="5"/>
        <v>0.79311141444347999</v>
      </c>
      <c r="G320" s="65">
        <f t="shared" si="5"/>
        <v>0.79311141444347999</v>
      </c>
      <c r="H320" s="65">
        <f t="shared" si="5"/>
        <v>0.79311141444347999</v>
      </c>
    </row>
    <row r="321" spans="1:8">
      <c r="A321" s="499">
        <v>418</v>
      </c>
      <c r="B321" s="26">
        <v>1000.816812</v>
      </c>
      <c r="C321" s="10">
        <v>19.297452</v>
      </c>
      <c r="D321" s="10">
        <v>19.297452</v>
      </c>
      <c r="E321" s="10">
        <v>19.297452</v>
      </c>
      <c r="F321" s="65">
        <f t="shared" si="5"/>
        <v>0.97881752723341475</v>
      </c>
      <c r="G321" s="65">
        <f t="shared" si="5"/>
        <v>0.97881752723341475</v>
      </c>
      <c r="H321" s="65">
        <f t="shared" si="5"/>
        <v>0.97881752723341475</v>
      </c>
    </row>
    <row r="322" spans="1:8">
      <c r="A322" s="499">
        <v>403</v>
      </c>
      <c r="B322" s="26">
        <v>1001.340763</v>
      </c>
      <c r="C322" s="10">
        <v>18.478860999999998</v>
      </c>
      <c r="D322" s="10">
        <v>18.478860999999998</v>
      </c>
      <c r="E322" s="10">
        <v>18.478860999999998</v>
      </c>
      <c r="F322" s="65">
        <f t="shared" si="5"/>
        <v>0.97885164842205497</v>
      </c>
      <c r="G322" s="65">
        <f t="shared" si="5"/>
        <v>0.97885164842205497</v>
      </c>
      <c r="H322" s="65">
        <f t="shared" si="5"/>
        <v>0.97885164842205497</v>
      </c>
    </row>
    <row r="323" spans="1:8">
      <c r="A323" s="499">
        <v>347</v>
      </c>
      <c r="B323" s="26">
        <v>1001.265976</v>
      </c>
      <c r="C323" s="10">
        <v>18.929959</v>
      </c>
      <c r="D323" s="10">
        <v>18.929959</v>
      </c>
      <c r="E323" s="10">
        <v>18.929959</v>
      </c>
      <c r="F323" s="65">
        <f t="shared" si="5"/>
        <v>0.97883953494761722</v>
      </c>
      <c r="G323" s="65">
        <f t="shared" si="5"/>
        <v>0.97883953494761722</v>
      </c>
      <c r="H323" s="65">
        <f t="shared" si="5"/>
        <v>0.97883953494761722</v>
      </c>
    </row>
    <row r="324" spans="1:8">
      <c r="A324" s="499">
        <v>138</v>
      </c>
      <c r="B324" s="26">
        <v>656.19972800000005</v>
      </c>
      <c r="C324" s="10">
        <v>24.237175000000001</v>
      </c>
      <c r="D324" s="10">
        <v>24.237175000000001</v>
      </c>
      <c r="E324" s="10">
        <v>24.237175000000001</v>
      </c>
      <c r="F324" s="65">
        <f t="shared" si="5"/>
        <v>0.54560486670960284</v>
      </c>
      <c r="G324" s="65">
        <f t="shared" si="5"/>
        <v>0.54560486670960284</v>
      </c>
      <c r="H324" s="65">
        <f t="shared" si="5"/>
        <v>0.54560486670960284</v>
      </c>
    </row>
    <row r="325" spans="1:8">
      <c r="A325" s="499">
        <v>280</v>
      </c>
      <c r="B325" s="26">
        <v>1000.969874</v>
      </c>
      <c r="C325" s="10">
        <v>18.587986000000001</v>
      </c>
      <c r="D325" s="10">
        <v>18.587986000000001</v>
      </c>
      <c r="E325" s="10">
        <v>18.587986000000001</v>
      </c>
      <c r="F325" s="65">
        <f t="shared" si="5"/>
        <v>0.97884962636568318</v>
      </c>
      <c r="G325" s="65">
        <f t="shared" si="5"/>
        <v>0.97884962636568318</v>
      </c>
      <c r="H325" s="65">
        <f t="shared" si="5"/>
        <v>0.97884962636568318</v>
      </c>
    </row>
    <row r="326" spans="1:8">
      <c r="A326" s="499">
        <v>405</v>
      </c>
      <c r="B326" s="26">
        <v>1001.170821</v>
      </c>
      <c r="C326" s="10">
        <v>17.726417999999999</v>
      </c>
      <c r="D326" s="10">
        <v>17.726417999999999</v>
      </c>
      <c r="E326" s="10">
        <v>17.726417999999999</v>
      </c>
      <c r="F326" s="65">
        <f t="shared" ref="F326:H389" si="6">(97.886/(1+EXP(-((C326-24.35322)/-0.5033))))/100</f>
        <v>0.97885812719325305</v>
      </c>
      <c r="G326" s="65">
        <f t="shared" si="6"/>
        <v>0.97885812719325305</v>
      </c>
      <c r="H326" s="65">
        <f t="shared" si="6"/>
        <v>0.97885812719325305</v>
      </c>
    </row>
    <row r="327" spans="1:8">
      <c r="A327" s="499">
        <v>324</v>
      </c>
      <c r="B327" s="26">
        <v>998.72445700000003</v>
      </c>
      <c r="C327" s="10">
        <v>28.618511999999999</v>
      </c>
      <c r="D327" s="10">
        <v>28.618511999999999</v>
      </c>
      <c r="E327" s="10">
        <v>28.618511999999999</v>
      </c>
      <c r="F327" s="65">
        <f t="shared" si="6"/>
        <v>2.0423758256806881E-4</v>
      </c>
      <c r="G327" s="65">
        <f t="shared" si="6"/>
        <v>2.0423758256806881E-4</v>
      </c>
      <c r="H327" s="65">
        <f t="shared" si="6"/>
        <v>2.0423758256806881E-4</v>
      </c>
    </row>
    <row r="328" spans="1:8">
      <c r="A328" s="499">
        <v>258</v>
      </c>
      <c r="B328" s="26">
        <v>999.95886800000005</v>
      </c>
      <c r="C328" s="10">
        <v>23.884484</v>
      </c>
      <c r="D328" s="10">
        <v>23.884484</v>
      </c>
      <c r="E328" s="10">
        <v>23.884484</v>
      </c>
      <c r="F328" s="65">
        <f t="shared" si="6"/>
        <v>0.7021794195886365</v>
      </c>
      <c r="G328" s="65">
        <f t="shared" si="6"/>
        <v>0.7021794195886365</v>
      </c>
      <c r="H328" s="65">
        <f t="shared" si="6"/>
        <v>0.7021794195886365</v>
      </c>
    </row>
    <row r="329" spans="1:8">
      <c r="A329" s="499">
        <v>252</v>
      </c>
      <c r="B329" s="26">
        <v>903.83003699999995</v>
      </c>
      <c r="C329" s="10">
        <v>20.198117</v>
      </c>
      <c r="D329" s="10">
        <v>20.198117</v>
      </c>
      <c r="E329" s="10">
        <v>20.198117</v>
      </c>
      <c r="F329" s="65">
        <f t="shared" si="6"/>
        <v>0.97860578867390791</v>
      </c>
      <c r="G329" s="65">
        <f t="shared" si="6"/>
        <v>0.97860578867390791</v>
      </c>
      <c r="H329" s="65">
        <f t="shared" si="6"/>
        <v>0.97860578867390791</v>
      </c>
    </row>
    <row r="330" spans="1:8">
      <c r="A330" s="499">
        <v>334</v>
      </c>
      <c r="B330" s="26">
        <v>1000.32122</v>
      </c>
      <c r="C330" s="10">
        <v>21.291104000000001</v>
      </c>
      <c r="D330" s="10">
        <v>21.291104000000001</v>
      </c>
      <c r="E330" s="10">
        <v>21.291104000000001</v>
      </c>
      <c r="F330" s="65">
        <f t="shared" si="6"/>
        <v>0.97663438058824714</v>
      </c>
      <c r="G330" s="65">
        <f t="shared" si="6"/>
        <v>0.97663438058824714</v>
      </c>
      <c r="H330" s="65">
        <f t="shared" si="6"/>
        <v>0.97663438058824714</v>
      </c>
    </row>
    <row r="331" spans="1:8">
      <c r="A331" s="499">
        <v>150</v>
      </c>
      <c r="B331" s="26">
        <v>521.64627399999995</v>
      </c>
      <c r="C331" s="10">
        <v>24.237175000000001</v>
      </c>
      <c r="D331" s="10">
        <v>24.237175000000001</v>
      </c>
      <c r="E331" s="10">
        <v>24.237175000000001</v>
      </c>
      <c r="F331" s="65">
        <f t="shared" si="6"/>
        <v>0.54560486670960284</v>
      </c>
      <c r="G331" s="65">
        <f t="shared" si="6"/>
        <v>0.54560486670960284</v>
      </c>
      <c r="H331" s="65">
        <f t="shared" si="6"/>
        <v>0.54560486670960284</v>
      </c>
    </row>
    <row r="332" spans="1:8">
      <c r="A332" s="499">
        <v>270</v>
      </c>
      <c r="B332" s="26">
        <v>712.75831400000004</v>
      </c>
      <c r="C332" s="10">
        <v>21.902571999999999</v>
      </c>
      <c r="D332" s="10">
        <v>21.902571999999999</v>
      </c>
      <c r="E332" s="10">
        <v>21.902571999999999</v>
      </c>
      <c r="F332" s="65">
        <f t="shared" si="6"/>
        <v>0.97139982699605409</v>
      </c>
      <c r="G332" s="65">
        <f t="shared" si="6"/>
        <v>0.97139982699605409</v>
      </c>
      <c r="H332" s="65">
        <f t="shared" si="6"/>
        <v>0.97139982699605409</v>
      </c>
    </row>
    <row r="333" spans="1:8">
      <c r="A333" s="499">
        <v>78</v>
      </c>
      <c r="B333" s="26">
        <v>911.12652100000003</v>
      </c>
      <c r="C333" s="10">
        <v>24.844049999999999</v>
      </c>
      <c r="D333" s="10">
        <v>24.844049999999999</v>
      </c>
      <c r="E333" s="10">
        <v>24.844049999999999</v>
      </c>
      <c r="F333" s="65">
        <f t="shared" si="6"/>
        <v>0.26805157856004791</v>
      </c>
      <c r="G333" s="65">
        <f t="shared" si="6"/>
        <v>0.26805157856004791</v>
      </c>
      <c r="H333" s="65">
        <f t="shared" si="6"/>
        <v>0.26805157856004791</v>
      </c>
    </row>
    <row r="334" spans="1:8">
      <c r="A334" s="499">
        <v>295</v>
      </c>
      <c r="B334" s="26">
        <v>1088.5249650000001</v>
      </c>
      <c r="C334" s="10">
        <v>19.302046000000001</v>
      </c>
      <c r="D334" s="10">
        <v>19.302046000000001</v>
      </c>
      <c r="E334" s="10">
        <v>19.302046000000001</v>
      </c>
      <c r="F334" s="65">
        <f t="shared" si="6"/>
        <v>0.97881713779465906</v>
      </c>
      <c r="G334" s="65">
        <f t="shared" si="6"/>
        <v>0.97881713779465906</v>
      </c>
      <c r="H334" s="65">
        <f t="shared" si="6"/>
        <v>0.97881713779465906</v>
      </c>
    </row>
    <row r="335" spans="1:8">
      <c r="A335" s="499">
        <v>472</v>
      </c>
      <c r="B335" s="26">
        <v>998.64377000000002</v>
      </c>
      <c r="C335" s="10">
        <v>29.76305</v>
      </c>
      <c r="D335" s="10">
        <v>29.76305</v>
      </c>
      <c r="E335" s="10">
        <v>29.76305</v>
      </c>
      <c r="F335" s="65">
        <f t="shared" si="6"/>
        <v>2.1018520494606868E-5</v>
      </c>
      <c r="G335" s="65">
        <f t="shared" si="6"/>
        <v>2.1018520494606868E-5</v>
      </c>
      <c r="H335" s="65">
        <f t="shared" si="6"/>
        <v>2.1018520494606868E-5</v>
      </c>
    </row>
    <row r="336" spans="1:8">
      <c r="A336" s="499">
        <v>79</v>
      </c>
      <c r="B336" s="26">
        <v>826.28956500000004</v>
      </c>
      <c r="C336" s="10">
        <v>20.792435999999999</v>
      </c>
      <c r="D336" s="10">
        <v>20.792435999999999</v>
      </c>
      <c r="E336" s="10">
        <v>20.792435999999999</v>
      </c>
      <c r="F336" s="65">
        <f t="shared" si="6"/>
        <v>0.97803248739980131</v>
      </c>
      <c r="G336" s="65">
        <f t="shared" si="6"/>
        <v>0.97803248739980131</v>
      </c>
      <c r="H336" s="65">
        <f t="shared" si="6"/>
        <v>0.97803248739980131</v>
      </c>
    </row>
    <row r="337" spans="1:8">
      <c r="A337" s="499">
        <v>110</v>
      </c>
      <c r="B337" s="26">
        <v>1246.7447</v>
      </c>
      <c r="C337" s="10">
        <v>21.698409000000002</v>
      </c>
      <c r="D337" s="10">
        <v>21.698409000000002</v>
      </c>
      <c r="E337" s="10">
        <v>21.698409000000002</v>
      </c>
      <c r="F337" s="65">
        <f t="shared" si="6"/>
        <v>0.9738747952144361</v>
      </c>
      <c r="G337" s="65">
        <f t="shared" si="6"/>
        <v>0.9738747952144361</v>
      </c>
      <c r="H337" s="65">
        <f t="shared" si="6"/>
        <v>0.9738747952144361</v>
      </c>
    </row>
    <row r="338" spans="1:8">
      <c r="A338" s="499">
        <v>396</v>
      </c>
      <c r="B338" s="26">
        <v>1000.759761</v>
      </c>
      <c r="C338" s="10">
        <v>19.302046000000001</v>
      </c>
      <c r="D338" s="10">
        <v>19.302046000000001</v>
      </c>
      <c r="E338" s="10">
        <v>19.302046000000001</v>
      </c>
      <c r="F338" s="65">
        <f t="shared" si="6"/>
        <v>0.97881713779465906</v>
      </c>
      <c r="G338" s="65">
        <f t="shared" si="6"/>
        <v>0.97881713779465906</v>
      </c>
      <c r="H338" s="65">
        <f t="shared" si="6"/>
        <v>0.97881713779465906</v>
      </c>
    </row>
    <row r="339" spans="1:8">
      <c r="A339" s="499">
        <v>97</v>
      </c>
      <c r="B339" s="26">
        <v>589.99568499999998</v>
      </c>
      <c r="C339" s="10">
        <v>20.792435999999999</v>
      </c>
      <c r="D339" s="10">
        <v>20.792435999999999</v>
      </c>
      <c r="E339" s="10">
        <v>20.792435999999999</v>
      </c>
      <c r="F339" s="65">
        <f t="shared" si="6"/>
        <v>0.97803248739980131</v>
      </c>
      <c r="G339" s="65">
        <f t="shared" si="6"/>
        <v>0.97803248739980131</v>
      </c>
      <c r="H339" s="65">
        <f t="shared" si="6"/>
        <v>0.97803248739980131</v>
      </c>
    </row>
    <row r="340" spans="1:8">
      <c r="A340" s="499">
        <v>431</v>
      </c>
      <c r="B340" s="26">
        <v>475.99050799999998</v>
      </c>
      <c r="C340" s="10">
        <v>19.866046000000001</v>
      </c>
      <c r="D340" s="10">
        <v>19.866046000000001</v>
      </c>
      <c r="E340" s="10">
        <v>19.866046000000001</v>
      </c>
      <c r="F340" s="65">
        <f t="shared" si="6"/>
        <v>0.97872856611307357</v>
      </c>
      <c r="G340" s="65">
        <f t="shared" si="6"/>
        <v>0.97872856611307357</v>
      </c>
      <c r="H340" s="65">
        <f t="shared" si="6"/>
        <v>0.97872856611307357</v>
      </c>
    </row>
    <row r="341" spans="1:8">
      <c r="A341" s="499">
        <v>427</v>
      </c>
      <c r="B341" s="26">
        <v>897.18048199999998</v>
      </c>
      <c r="C341" s="10">
        <v>23.047415000000001</v>
      </c>
      <c r="D341" s="10">
        <v>23.047415000000001</v>
      </c>
      <c r="E341" s="10">
        <v>23.047415000000001</v>
      </c>
      <c r="F341" s="65">
        <f t="shared" si="6"/>
        <v>0.9108349945114198</v>
      </c>
      <c r="G341" s="65">
        <f t="shared" si="6"/>
        <v>0.9108349945114198</v>
      </c>
      <c r="H341" s="65">
        <f t="shared" si="6"/>
        <v>0.9108349945114198</v>
      </c>
    </row>
    <row r="342" spans="1:8">
      <c r="A342" s="499">
        <v>272</v>
      </c>
      <c r="B342" s="26">
        <v>1035.1293459999999</v>
      </c>
      <c r="C342" s="10">
        <v>23.556802000000001</v>
      </c>
      <c r="D342" s="10">
        <v>23.556802000000001</v>
      </c>
      <c r="E342" s="10">
        <v>23.556802000000001</v>
      </c>
      <c r="F342" s="65">
        <f t="shared" si="6"/>
        <v>0.81200650667862628</v>
      </c>
      <c r="G342" s="65">
        <f t="shared" si="6"/>
        <v>0.81200650667862628</v>
      </c>
      <c r="H342" s="65">
        <f t="shared" si="6"/>
        <v>0.81200650667862628</v>
      </c>
    </row>
    <row r="343" spans="1:8">
      <c r="A343" s="499">
        <v>277</v>
      </c>
      <c r="B343" s="26">
        <v>724.66002100000003</v>
      </c>
      <c r="C343" s="10">
        <v>21.682075999999999</v>
      </c>
      <c r="D343" s="10">
        <v>21.682075999999999</v>
      </c>
      <c r="E343" s="10">
        <v>21.682075999999999</v>
      </c>
      <c r="F343" s="65">
        <f t="shared" si="6"/>
        <v>0.97403319239378561</v>
      </c>
      <c r="G343" s="65">
        <f t="shared" si="6"/>
        <v>0.97403319239378561</v>
      </c>
      <c r="H343" s="65">
        <f t="shared" si="6"/>
        <v>0.97403319239378561</v>
      </c>
    </row>
    <row r="344" spans="1:8">
      <c r="A344" s="499">
        <v>62</v>
      </c>
      <c r="B344" s="26">
        <v>1103.3478399999999</v>
      </c>
      <c r="C344" s="10">
        <v>23.5518</v>
      </c>
      <c r="D344" s="10">
        <v>23.5518</v>
      </c>
      <c r="E344" s="10">
        <v>23.5518</v>
      </c>
      <c r="F344" s="65">
        <f t="shared" si="6"/>
        <v>0.81337760114204671</v>
      </c>
      <c r="G344" s="65">
        <f t="shared" si="6"/>
        <v>0.81337760114204671</v>
      </c>
      <c r="H344" s="65">
        <f t="shared" si="6"/>
        <v>0.81337760114204671</v>
      </c>
    </row>
    <row r="345" spans="1:8">
      <c r="A345" s="499">
        <v>327</v>
      </c>
      <c r="B345" s="26">
        <v>999.30186000000003</v>
      </c>
      <c r="C345" s="10">
        <v>19.302046000000001</v>
      </c>
      <c r="D345" s="10">
        <v>19.302046000000001</v>
      </c>
      <c r="E345" s="10">
        <v>19.302046000000001</v>
      </c>
      <c r="F345" s="65">
        <f t="shared" si="6"/>
        <v>0.97881713779465906</v>
      </c>
      <c r="G345" s="65">
        <f t="shared" si="6"/>
        <v>0.97881713779465906</v>
      </c>
      <c r="H345" s="65">
        <f t="shared" si="6"/>
        <v>0.97881713779465906</v>
      </c>
    </row>
    <row r="346" spans="1:8">
      <c r="A346" s="499">
        <v>30</v>
      </c>
      <c r="B346" s="26">
        <v>1001.003197</v>
      </c>
      <c r="C346" s="10">
        <v>21.291104000000001</v>
      </c>
      <c r="D346" s="10">
        <v>21.291104000000001</v>
      </c>
      <c r="E346" s="10">
        <v>21.291104000000001</v>
      </c>
      <c r="F346" s="65">
        <f t="shared" si="6"/>
        <v>0.97663438058824714</v>
      </c>
      <c r="G346" s="65">
        <f t="shared" si="6"/>
        <v>0.97663438058824714</v>
      </c>
      <c r="H346" s="65">
        <f t="shared" si="6"/>
        <v>0.97663438058824714</v>
      </c>
    </row>
    <row r="347" spans="1:8">
      <c r="A347" s="499">
        <v>224</v>
      </c>
      <c r="B347" s="26">
        <v>1255.844981</v>
      </c>
      <c r="C347" s="10">
        <v>21.512518</v>
      </c>
      <c r="D347" s="10">
        <v>21.512518</v>
      </c>
      <c r="E347" s="10">
        <v>21.512518</v>
      </c>
      <c r="F347" s="65">
        <f t="shared" si="6"/>
        <v>0.97540886164191509</v>
      </c>
      <c r="G347" s="65">
        <f t="shared" si="6"/>
        <v>0.97540886164191509</v>
      </c>
      <c r="H347" s="65">
        <f t="shared" si="6"/>
        <v>0.97540886164191509</v>
      </c>
    </row>
    <row r="348" spans="1:8">
      <c r="A348" s="499">
        <v>127</v>
      </c>
      <c r="B348" s="26">
        <v>1000.986123</v>
      </c>
      <c r="C348" s="10">
        <v>16.006855999999999</v>
      </c>
      <c r="D348" s="10">
        <v>16.006855999999999</v>
      </c>
      <c r="E348" s="10">
        <v>16.006855999999999</v>
      </c>
      <c r="F348" s="65">
        <f t="shared" si="6"/>
        <v>0.97885993852560416</v>
      </c>
      <c r="G348" s="65">
        <f t="shared" si="6"/>
        <v>0.97885993852560416</v>
      </c>
      <c r="H348" s="65">
        <f t="shared" si="6"/>
        <v>0.97885993852560416</v>
      </c>
    </row>
    <row r="349" spans="1:8">
      <c r="A349" s="499">
        <v>333</v>
      </c>
      <c r="B349" s="26">
        <v>1001.097797</v>
      </c>
      <c r="C349" s="10">
        <v>22.345604999999999</v>
      </c>
      <c r="D349" s="10">
        <v>22.345604999999999</v>
      </c>
      <c r="E349" s="10">
        <v>22.345604999999999</v>
      </c>
      <c r="F349" s="65">
        <f t="shared" si="6"/>
        <v>0.96106113337259014</v>
      </c>
      <c r="G349" s="65">
        <f t="shared" si="6"/>
        <v>0.96106113337259014</v>
      </c>
      <c r="H349" s="65">
        <f t="shared" si="6"/>
        <v>0.96106113337259014</v>
      </c>
    </row>
    <row r="350" spans="1:8">
      <c r="A350" s="499">
        <v>112</v>
      </c>
      <c r="B350" s="26">
        <v>1000.288922</v>
      </c>
      <c r="C350" s="10">
        <v>19.772642000000001</v>
      </c>
      <c r="D350" s="10">
        <v>19.772642000000001</v>
      </c>
      <c r="E350" s="10">
        <v>19.772642000000001</v>
      </c>
      <c r="F350" s="65">
        <f t="shared" si="6"/>
        <v>0.97875082593268337</v>
      </c>
      <c r="G350" s="65">
        <f t="shared" si="6"/>
        <v>0.97875082593268337</v>
      </c>
      <c r="H350" s="65">
        <f t="shared" si="6"/>
        <v>0.97875082593268337</v>
      </c>
    </row>
    <row r="351" spans="1:8">
      <c r="A351" s="499">
        <v>329</v>
      </c>
      <c r="B351" s="26">
        <v>805.39914999999996</v>
      </c>
      <c r="C351" s="10">
        <v>22.012308999999998</v>
      </c>
      <c r="D351" s="10">
        <v>22.012308999999998</v>
      </c>
      <c r="E351" s="10">
        <v>22.012308999999998</v>
      </c>
      <c r="F351" s="65">
        <f t="shared" si="6"/>
        <v>0.96959949560644987</v>
      </c>
      <c r="G351" s="65">
        <f t="shared" si="6"/>
        <v>0.96959949560644987</v>
      </c>
      <c r="H351" s="65">
        <f t="shared" si="6"/>
        <v>0.96959949560644987</v>
      </c>
    </row>
    <row r="352" spans="1:8">
      <c r="A352" s="499">
        <v>163</v>
      </c>
      <c r="B352" s="26">
        <v>784.76709100000005</v>
      </c>
      <c r="C352" s="10">
        <v>20.14677</v>
      </c>
      <c r="D352" s="10">
        <v>20.14677</v>
      </c>
      <c r="E352" s="10">
        <v>20.14677</v>
      </c>
      <c r="F352" s="65">
        <f t="shared" si="6"/>
        <v>0.97863043862142873</v>
      </c>
      <c r="G352" s="65">
        <f t="shared" si="6"/>
        <v>0.97863043862142873</v>
      </c>
      <c r="H352" s="65">
        <f t="shared" si="6"/>
        <v>0.97863043862142873</v>
      </c>
    </row>
    <row r="353" spans="1:8">
      <c r="A353" s="499">
        <v>390</v>
      </c>
      <c r="B353" s="26">
        <v>783.579564</v>
      </c>
      <c r="C353" s="10">
        <v>20.321227</v>
      </c>
      <c r="D353" s="10">
        <v>20.321227</v>
      </c>
      <c r="E353" s="10">
        <v>20.321227</v>
      </c>
      <c r="F353" s="65">
        <f t="shared" si="6"/>
        <v>0.97853536562423771</v>
      </c>
      <c r="G353" s="65">
        <f t="shared" si="6"/>
        <v>0.97853536562423771</v>
      </c>
      <c r="H353" s="65">
        <f t="shared" si="6"/>
        <v>0.97853536562423771</v>
      </c>
    </row>
    <row r="354" spans="1:8">
      <c r="A354" s="499">
        <v>343</v>
      </c>
      <c r="B354" s="26">
        <v>1000.933566</v>
      </c>
      <c r="C354" s="10">
        <v>22.004653000000001</v>
      </c>
      <c r="D354" s="10">
        <v>22.004653000000001</v>
      </c>
      <c r="E354" s="10">
        <v>22.004653000000001</v>
      </c>
      <c r="F354" s="65">
        <f t="shared" si="6"/>
        <v>0.96973799392328341</v>
      </c>
      <c r="G354" s="65">
        <f t="shared" si="6"/>
        <v>0.96973799392328341</v>
      </c>
      <c r="H354" s="65">
        <f t="shared" si="6"/>
        <v>0.96973799392328341</v>
      </c>
    </row>
    <row r="355" spans="1:8">
      <c r="A355" s="499">
        <v>291</v>
      </c>
      <c r="B355" s="26">
        <v>1532.70937</v>
      </c>
      <c r="C355" s="10">
        <v>20.14677</v>
      </c>
      <c r="D355" s="10">
        <v>20.14677</v>
      </c>
      <c r="E355" s="10">
        <v>20.14677</v>
      </c>
      <c r="F355" s="65">
        <f t="shared" si="6"/>
        <v>0.97863043862142873</v>
      </c>
      <c r="G355" s="65">
        <f t="shared" si="6"/>
        <v>0.97863043862142873</v>
      </c>
      <c r="H355" s="65">
        <f t="shared" si="6"/>
        <v>0.97863043862142873</v>
      </c>
    </row>
    <row r="356" spans="1:8">
      <c r="A356" s="499">
        <v>76</v>
      </c>
      <c r="B356" s="26">
        <v>1001.525708</v>
      </c>
      <c r="C356" s="10">
        <v>19.222422000000002</v>
      </c>
      <c r="D356" s="10">
        <v>19.222422000000002</v>
      </c>
      <c r="E356" s="10">
        <v>19.222422000000002</v>
      </c>
      <c r="F356" s="65">
        <f t="shared" si="6"/>
        <v>0.97882340934075562</v>
      </c>
      <c r="G356" s="65">
        <f t="shared" si="6"/>
        <v>0.97882340934075562</v>
      </c>
      <c r="H356" s="65">
        <f t="shared" si="6"/>
        <v>0.97882340934075562</v>
      </c>
    </row>
    <row r="357" spans="1:8">
      <c r="A357" s="499">
        <v>422</v>
      </c>
      <c r="B357" s="26">
        <v>999.07876199999998</v>
      </c>
      <c r="C357" s="10">
        <v>31.316526</v>
      </c>
      <c r="D357" s="10">
        <v>31.316526</v>
      </c>
      <c r="E357" s="10">
        <v>31.316526</v>
      </c>
      <c r="F357" s="65">
        <f t="shared" si="6"/>
        <v>9.5967931364932458E-7</v>
      </c>
      <c r="G357" s="65">
        <f t="shared" si="6"/>
        <v>9.5967931364932458E-7</v>
      </c>
      <c r="H357" s="65">
        <f t="shared" si="6"/>
        <v>9.5967931364932458E-7</v>
      </c>
    </row>
    <row r="358" spans="1:8">
      <c r="A358" s="499">
        <v>136</v>
      </c>
      <c r="B358" s="26">
        <v>1001.861705</v>
      </c>
      <c r="C358" s="10">
        <v>19.222422000000002</v>
      </c>
      <c r="D358" s="10">
        <v>19.222422000000002</v>
      </c>
      <c r="E358" s="10">
        <v>19.222422000000002</v>
      </c>
      <c r="F358" s="65">
        <f t="shared" si="6"/>
        <v>0.97882340934075562</v>
      </c>
      <c r="G358" s="65">
        <f t="shared" si="6"/>
        <v>0.97882340934075562</v>
      </c>
      <c r="H358" s="65">
        <f t="shared" si="6"/>
        <v>0.97882340934075562</v>
      </c>
    </row>
    <row r="359" spans="1:8">
      <c r="A359" s="499">
        <v>71</v>
      </c>
      <c r="B359" s="26">
        <v>943.12719700000002</v>
      </c>
      <c r="C359" s="10">
        <v>21.698409000000002</v>
      </c>
      <c r="D359" s="10">
        <v>21.698409000000002</v>
      </c>
      <c r="E359" s="10">
        <v>21.698409000000002</v>
      </c>
      <c r="F359" s="65">
        <f t="shared" si="6"/>
        <v>0.9738747952144361</v>
      </c>
      <c r="G359" s="65">
        <f t="shared" si="6"/>
        <v>0.9738747952144361</v>
      </c>
      <c r="H359" s="65">
        <f t="shared" si="6"/>
        <v>0.9738747952144361</v>
      </c>
    </row>
    <row r="360" spans="1:8">
      <c r="A360" s="499">
        <v>362</v>
      </c>
      <c r="B360" s="26">
        <v>1246.8716320000001</v>
      </c>
      <c r="C360" s="10">
        <v>21.569786000000001</v>
      </c>
      <c r="D360" s="10">
        <v>21.569786000000001</v>
      </c>
      <c r="E360" s="10">
        <v>21.569786000000001</v>
      </c>
      <c r="F360" s="65">
        <f t="shared" si="6"/>
        <v>0.97499460312268926</v>
      </c>
      <c r="G360" s="65">
        <f t="shared" si="6"/>
        <v>0.97499460312268926</v>
      </c>
      <c r="H360" s="65">
        <f t="shared" si="6"/>
        <v>0.97499460312268926</v>
      </c>
    </row>
    <row r="361" spans="1:8">
      <c r="A361" s="499">
        <v>326</v>
      </c>
      <c r="B361" s="26">
        <v>1123.610328</v>
      </c>
      <c r="C361" s="10">
        <v>23.516888000000002</v>
      </c>
      <c r="D361" s="10">
        <v>23.516888000000002</v>
      </c>
      <c r="E361" s="10">
        <v>23.516888000000002</v>
      </c>
      <c r="F361" s="65">
        <f t="shared" si="6"/>
        <v>0.82269820316252618</v>
      </c>
      <c r="G361" s="65">
        <f t="shared" si="6"/>
        <v>0.82269820316252618</v>
      </c>
      <c r="H361" s="65">
        <f t="shared" si="6"/>
        <v>0.82269820316252618</v>
      </c>
    </row>
    <row r="362" spans="1:8">
      <c r="A362" s="499">
        <v>430</v>
      </c>
      <c r="B362" s="26">
        <v>999.38440600000001</v>
      </c>
      <c r="C362" s="10">
        <v>20.523961</v>
      </c>
      <c r="D362" s="10">
        <v>20.523961</v>
      </c>
      <c r="E362" s="10">
        <v>20.523961</v>
      </c>
      <c r="F362" s="65">
        <f t="shared" si="6"/>
        <v>0.97837441977350947</v>
      </c>
      <c r="G362" s="65">
        <f t="shared" si="6"/>
        <v>0.97837441977350947</v>
      </c>
      <c r="H362" s="65">
        <f t="shared" si="6"/>
        <v>0.97837441977350947</v>
      </c>
    </row>
    <row r="363" spans="1:8">
      <c r="A363" s="499">
        <v>111</v>
      </c>
      <c r="B363" s="26">
        <v>1001.105086</v>
      </c>
      <c r="C363" s="10">
        <v>19.222422000000002</v>
      </c>
      <c r="D363" s="10">
        <v>19.222422000000002</v>
      </c>
      <c r="E363" s="10">
        <v>19.222422000000002</v>
      </c>
      <c r="F363" s="65">
        <f t="shared" si="6"/>
        <v>0.97882340934075562</v>
      </c>
      <c r="G363" s="65">
        <f t="shared" si="6"/>
        <v>0.97882340934075562</v>
      </c>
      <c r="H363" s="65">
        <f t="shared" si="6"/>
        <v>0.97882340934075562</v>
      </c>
    </row>
    <row r="364" spans="1:8">
      <c r="A364" s="499">
        <v>299</v>
      </c>
      <c r="B364" s="26">
        <v>540.77966800000002</v>
      </c>
      <c r="C364" s="10">
        <v>22.33897</v>
      </c>
      <c r="D364" s="10">
        <v>22.33897</v>
      </c>
      <c r="E364" s="10">
        <v>22.33897</v>
      </c>
      <c r="F364" s="65">
        <f t="shared" si="6"/>
        <v>0.96129005177480753</v>
      </c>
      <c r="G364" s="65">
        <f t="shared" si="6"/>
        <v>0.96129005177480753</v>
      </c>
      <c r="H364" s="65">
        <f t="shared" si="6"/>
        <v>0.96129005177480753</v>
      </c>
    </row>
    <row r="365" spans="1:8">
      <c r="A365" s="499">
        <v>101</v>
      </c>
      <c r="B365" s="26">
        <v>1263.2569309999999</v>
      </c>
      <c r="C365" s="10">
        <v>23.021032000000002</v>
      </c>
      <c r="D365" s="10">
        <v>23.021032000000002</v>
      </c>
      <c r="E365" s="10">
        <v>23.021032000000002</v>
      </c>
      <c r="F365" s="65">
        <f t="shared" si="6"/>
        <v>0.91407910690160521</v>
      </c>
      <c r="G365" s="65">
        <f t="shared" si="6"/>
        <v>0.91407910690160521</v>
      </c>
      <c r="H365" s="65">
        <f t="shared" si="6"/>
        <v>0.91407910690160521</v>
      </c>
    </row>
    <row r="366" spans="1:8">
      <c r="A366" s="499">
        <v>151</v>
      </c>
      <c r="B366" s="26">
        <v>998.93022299999996</v>
      </c>
      <c r="C366" s="10">
        <v>21.291104000000001</v>
      </c>
      <c r="D366" s="10">
        <v>21.291104000000001</v>
      </c>
      <c r="E366" s="10">
        <v>21.291104000000001</v>
      </c>
      <c r="F366" s="65">
        <f t="shared" si="6"/>
        <v>0.97663438058824714</v>
      </c>
      <c r="G366" s="65">
        <f t="shared" si="6"/>
        <v>0.97663438058824714</v>
      </c>
      <c r="H366" s="65">
        <f t="shared" si="6"/>
        <v>0.97663438058824714</v>
      </c>
    </row>
    <row r="367" spans="1:8">
      <c r="A367" s="499">
        <v>37</v>
      </c>
      <c r="B367" s="26">
        <v>1001.74836</v>
      </c>
      <c r="C367" s="10">
        <v>21.382977</v>
      </c>
      <c r="D367" s="10">
        <v>21.382977</v>
      </c>
      <c r="E367" s="10">
        <v>21.382977</v>
      </c>
      <c r="F367" s="65">
        <f t="shared" si="6"/>
        <v>0.97618988575665611</v>
      </c>
      <c r="G367" s="65">
        <f t="shared" si="6"/>
        <v>0.97618988575665611</v>
      </c>
      <c r="H367" s="65">
        <f t="shared" si="6"/>
        <v>0.97618988575665611</v>
      </c>
    </row>
    <row r="368" spans="1:8">
      <c r="A368" s="499">
        <v>467</v>
      </c>
      <c r="B368" s="26">
        <v>1001.4426989999999</v>
      </c>
      <c r="C368" s="10">
        <v>21.382977</v>
      </c>
      <c r="D368" s="10">
        <v>21.382977</v>
      </c>
      <c r="E368" s="10">
        <v>21.382977</v>
      </c>
      <c r="F368" s="65">
        <f t="shared" si="6"/>
        <v>0.97618988575665611</v>
      </c>
      <c r="G368" s="65">
        <f t="shared" si="6"/>
        <v>0.97618988575665611</v>
      </c>
      <c r="H368" s="65">
        <f t="shared" si="6"/>
        <v>0.97618988575665611</v>
      </c>
    </row>
    <row r="369" spans="1:8">
      <c r="A369" s="499">
        <v>301</v>
      </c>
      <c r="B369" s="26">
        <v>1263.456124</v>
      </c>
      <c r="C369" s="10">
        <v>21.940852</v>
      </c>
      <c r="D369" s="10">
        <v>21.940852</v>
      </c>
      <c r="E369" s="10">
        <v>21.940852</v>
      </c>
      <c r="F369" s="65">
        <f t="shared" si="6"/>
        <v>0.97081513073640635</v>
      </c>
      <c r="G369" s="65">
        <f t="shared" si="6"/>
        <v>0.97081513073640635</v>
      </c>
      <c r="H369" s="65">
        <f t="shared" si="6"/>
        <v>0.97081513073640635</v>
      </c>
    </row>
    <row r="370" spans="1:8">
      <c r="A370" s="499">
        <v>414</v>
      </c>
      <c r="B370" s="26">
        <v>616.72423800000001</v>
      </c>
      <c r="C370" s="10">
        <v>22.993153</v>
      </c>
      <c r="D370" s="10">
        <v>22.993153</v>
      </c>
      <c r="E370" s="10">
        <v>22.993153</v>
      </c>
      <c r="F370" s="65">
        <f t="shared" si="6"/>
        <v>0.91735054832278762</v>
      </c>
      <c r="G370" s="65">
        <f t="shared" si="6"/>
        <v>0.91735054832278762</v>
      </c>
      <c r="H370" s="65">
        <f t="shared" si="6"/>
        <v>0.91735054832278762</v>
      </c>
    </row>
    <row r="371" spans="1:8">
      <c r="A371" s="499">
        <v>305</v>
      </c>
      <c r="B371" s="26">
        <v>1386.3381589999999</v>
      </c>
      <c r="C371" s="10">
        <v>27.506598</v>
      </c>
      <c r="D371" s="10">
        <v>27.506598</v>
      </c>
      <c r="E371" s="10">
        <v>27.506598</v>
      </c>
      <c r="F371" s="65">
        <f t="shared" si="6"/>
        <v>1.8572281934782049E-3</v>
      </c>
      <c r="G371" s="65">
        <f t="shared" si="6"/>
        <v>1.8572281934782049E-3</v>
      </c>
      <c r="H371" s="65">
        <f t="shared" si="6"/>
        <v>1.8572281934782049E-3</v>
      </c>
    </row>
    <row r="372" spans="1:8">
      <c r="A372" s="499">
        <v>198</v>
      </c>
      <c r="B372" s="26">
        <v>1539.161934</v>
      </c>
      <c r="C372" s="10">
        <v>21.940852</v>
      </c>
      <c r="D372" s="10">
        <v>21.940852</v>
      </c>
      <c r="E372" s="10">
        <v>21.940852</v>
      </c>
      <c r="F372" s="65">
        <f t="shared" si="6"/>
        <v>0.97081513073640635</v>
      </c>
      <c r="G372" s="65">
        <f t="shared" si="6"/>
        <v>0.97081513073640635</v>
      </c>
      <c r="H372" s="65">
        <f t="shared" si="6"/>
        <v>0.97081513073640635</v>
      </c>
    </row>
    <row r="373" spans="1:8">
      <c r="A373" s="499">
        <v>328</v>
      </c>
      <c r="B373" s="26">
        <v>1328.5837449999999</v>
      </c>
      <c r="C373" s="10">
        <v>26.033114999999999</v>
      </c>
      <c r="D373" s="10">
        <v>26.033114999999999</v>
      </c>
      <c r="E373" s="10">
        <v>26.033114999999999</v>
      </c>
      <c r="F373" s="65">
        <f t="shared" si="6"/>
        <v>3.3573182654366721E-2</v>
      </c>
      <c r="G373" s="65">
        <f t="shared" si="6"/>
        <v>3.3573182654366721E-2</v>
      </c>
      <c r="H373" s="65">
        <f t="shared" si="6"/>
        <v>3.3573182654366721E-2</v>
      </c>
    </row>
    <row r="374" spans="1:8">
      <c r="A374" s="499">
        <v>52</v>
      </c>
      <c r="B374" s="26">
        <v>1000.23197</v>
      </c>
      <c r="C374" s="10">
        <v>23.306222000000002</v>
      </c>
      <c r="D374" s="10">
        <v>23.306222000000002</v>
      </c>
      <c r="E374" s="10">
        <v>23.306222000000002</v>
      </c>
      <c r="F374" s="65">
        <f t="shared" si="6"/>
        <v>0.87017748227842373</v>
      </c>
      <c r="G374" s="65">
        <f t="shared" si="6"/>
        <v>0.87017748227842373</v>
      </c>
      <c r="H374" s="65">
        <f t="shared" si="6"/>
        <v>0.87017748227842373</v>
      </c>
    </row>
    <row r="375" spans="1:8">
      <c r="A375" s="499">
        <v>287</v>
      </c>
      <c r="B375" s="26">
        <v>1049.1285889999999</v>
      </c>
      <c r="C375" s="10">
        <v>18.903458000000001</v>
      </c>
      <c r="D375" s="10">
        <v>18.903458000000001</v>
      </c>
      <c r="E375" s="10">
        <v>18.903458000000001</v>
      </c>
      <c r="F375" s="65">
        <f t="shared" si="6"/>
        <v>0.97884058462531942</v>
      </c>
      <c r="G375" s="65">
        <f t="shared" si="6"/>
        <v>0.97884058462531942</v>
      </c>
      <c r="H375" s="65">
        <f t="shared" si="6"/>
        <v>0.97884058462531942</v>
      </c>
    </row>
    <row r="376" spans="1:8">
      <c r="A376" s="499">
        <v>457</v>
      </c>
      <c r="B376" s="26">
        <v>1050.658281</v>
      </c>
      <c r="C376" s="10">
        <v>24.628802</v>
      </c>
      <c r="D376" s="10">
        <v>24.628802</v>
      </c>
      <c r="E376" s="10">
        <v>24.628802</v>
      </c>
      <c r="F376" s="65">
        <f t="shared" si="6"/>
        <v>0.35868658199100634</v>
      </c>
      <c r="G376" s="65">
        <f t="shared" si="6"/>
        <v>0.35868658199100634</v>
      </c>
      <c r="H376" s="65">
        <f t="shared" si="6"/>
        <v>0.35868658199100634</v>
      </c>
    </row>
    <row r="377" spans="1:8">
      <c r="A377" s="499">
        <v>223</v>
      </c>
      <c r="B377" s="26">
        <v>938.03245600000002</v>
      </c>
      <c r="C377" s="10">
        <v>21.940852</v>
      </c>
      <c r="D377" s="10">
        <v>21.940852</v>
      </c>
      <c r="E377" s="10">
        <v>21.940852</v>
      </c>
      <c r="F377" s="65">
        <f t="shared" si="6"/>
        <v>0.97081513073640635</v>
      </c>
      <c r="G377" s="65">
        <f t="shared" si="6"/>
        <v>0.97081513073640635</v>
      </c>
      <c r="H377" s="65">
        <f t="shared" si="6"/>
        <v>0.97081513073640635</v>
      </c>
    </row>
    <row r="378" spans="1:8">
      <c r="A378" s="499">
        <v>16</v>
      </c>
      <c r="B378" s="26">
        <v>1216.8144589999999</v>
      </c>
      <c r="C378" s="10">
        <v>23.401133999999999</v>
      </c>
      <c r="D378" s="10">
        <v>23.401133999999999</v>
      </c>
      <c r="E378" s="10">
        <v>23.401133999999999</v>
      </c>
      <c r="F378" s="65">
        <f t="shared" si="6"/>
        <v>0.85057819104766574</v>
      </c>
      <c r="G378" s="65">
        <f t="shared" si="6"/>
        <v>0.85057819104766574</v>
      </c>
      <c r="H378" s="65">
        <f t="shared" si="6"/>
        <v>0.85057819104766574</v>
      </c>
    </row>
    <row r="379" spans="1:8">
      <c r="A379" s="499">
        <v>330</v>
      </c>
      <c r="B379" s="26">
        <v>507.92385999999999</v>
      </c>
      <c r="C379" s="10">
        <v>23.021032000000002</v>
      </c>
      <c r="D379" s="10">
        <v>23.021032000000002</v>
      </c>
      <c r="E379" s="10">
        <v>23.021032000000002</v>
      </c>
      <c r="F379" s="65">
        <f t="shared" si="6"/>
        <v>0.91407910690160521</v>
      </c>
      <c r="G379" s="65">
        <f t="shared" si="6"/>
        <v>0.91407910690160521</v>
      </c>
      <c r="H379" s="65">
        <f t="shared" si="6"/>
        <v>0.91407910690160521</v>
      </c>
    </row>
    <row r="380" spans="1:8">
      <c r="A380" s="499">
        <v>137</v>
      </c>
      <c r="B380" s="26">
        <v>987.24128900000005</v>
      </c>
      <c r="C380" s="10">
        <v>22.918113000000002</v>
      </c>
      <c r="D380" s="10">
        <v>22.918113000000002</v>
      </c>
      <c r="E380" s="10">
        <v>22.918113000000002</v>
      </c>
      <c r="F380" s="65">
        <f t="shared" si="6"/>
        <v>0.92540517653638821</v>
      </c>
      <c r="G380" s="65">
        <f t="shared" si="6"/>
        <v>0.92540517653638821</v>
      </c>
      <c r="H380" s="65">
        <f t="shared" si="6"/>
        <v>0.92540517653638821</v>
      </c>
    </row>
    <row r="381" spans="1:8">
      <c r="A381" s="499">
        <v>439</v>
      </c>
      <c r="B381" s="26">
        <v>1000.173144</v>
      </c>
      <c r="C381" s="10">
        <v>23.306222000000002</v>
      </c>
      <c r="D381" s="10">
        <v>23.306222000000002</v>
      </c>
      <c r="E381" s="10">
        <v>23.306222000000002</v>
      </c>
      <c r="F381" s="65">
        <f t="shared" si="6"/>
        <v>0.87017748227842373</v>
      </c>
      <c r="G381" s="65">
        <f t="shared" si="6"/>
        <v>0.87017748227842373</v>
      </c>
      <c r="H381" s="65">
        <f t="shared" si="6"/>
        <v>0.87017748227842373</v>
      </c>
    </row>
    <row r="382" spans="1:8">
      <c r="A382" s="499">
        <v>190</v>
      </c>
      <c r="B382" s="26">
        <v>999.08233399999995</v>
      </c>
      <c r="C382" s="10">
        <v>23.306222000000002</v>
      </c>
      <c r="D382" s="10">
        <v>23.306222000000002</v>
      </c>
      <c r="E382" s="10">
        <v>23.306222000000002</v>
      </c>
      <c r="F382" s="65">
        <f t="shared" si="6"/>
        <v>0.87017748227842373</v>
      </c>
      <c r="G382" s="65">
        <f t="shared" si="6"/>
        <v>0.87017748227842373</v>
      </c>
      <c r="H382" s="65">
        <f t="shared" si="6"/>
        <v>0.87017748227842373</v>
      </c>
    </row>
    <row r="383" spans="1:8">
      <c r="A383" s="499">
        <v>70</v>
      </c>
      <c r="B383" s="26">
        <v>827.18559500000003</v>
      </c>
      <c r="C383" s="10">
        <v>22.133448999999999</v>
      </c>
      <c r="D383" s="10">
        <v>22.133448999999999</v>
      </c>
      <c r="E383" s="10">
        <v>22.133448999999999</v>
      </c>
      <c r="F383" s="65">
        <f t="shared" si="6"/>
        <v>0.96710969977695826</v>
      </c>
      <c r="G383" s="65">
        <f t="shared" si="6"/>
        <v>0.96710969977695826</v>
      </c>
      <c r="H383" s="65">
        <f t="shared" si="6"/>
        <v>0.96710969977695826</v>
      </c>
    </row>
    <row r="384" spans="1:8">
      <c r="A384" s="499">
        <v>119</v>
      </c>
      <c r="B384" s="26">
        <v>999.38422300000002</v>
      </c>
      <c r="C384" s="10">
        <v>23.306222000000002</v>
      </c>
      <c r="D384" s="10">
        <v>23.306222000000002</v>
      </c>
      <c r="E384" s="10">
        <v>23.306222000000002</v>
      </c>
      <c r="F384" s="65">
        <f t="shared" si="6"/>
        <v>0.87017748227842373</v>
      </c>
      <c r="G384" s="65">
        <f t="shared" si="6"/>
        <v>0.87017748227842373</v>
      </c>
      <c r="H384" s="65">
        <f t="shared" si="6"/>
        <v>0.87017748227842373</v>
      </c>
    </row>
    <row r="385" spans="1:8">
      <c r="A385" s="499">
        <v>256</v>
      </c>
      <c r="B385" s="26">
        <v>971.17383600000005</v>
      </c>
      <c r="C385" s="10">
        <v>22.436817000000001</v>
      </c>
      <c r="D385" s="10">
        <v>22.436817000000001</v>
      </c>
      <c r="E385" s="10">
        <v>22.436817000000001</v>
      </c>
      <c r="F385" s="65">
        <f t="shared" si="6"/>
        <v>0.95760150909800434</v>
      </c>
      <c r="G385" s="65">
        <f t="shared" si="6"/>
        <v>0.95760150909800434</v>
      </c>
      <c r="H385" s="65">
        <f t="shared" si="6"/>
        <v>0.95760150909800434</v>
      </c>
    </row>
    <row r="386" spans="1:8">
      <c r="A386" s="499">
        <v>24</v>
      </c>
      <c r="B386" s="26">
        <v>835.63168800000005</v>
      </c>
      <c r="C386" s="10">
        <v>22.900805999999999</v>
      </c>
      <c r="D386" s="10">
        <v>22.900805999999999</v>
      </c>
      <c r="E386" s="10">
        <v>22.900805999999999</v>
      </c>
      <c r="F386" s="65">
        <f t="shared" si="6"/>
        <v>0.92711657000150405</v>
      </c>
      <c r="G386" s="65">
        <f t="shared" si="6"/>
        <v>0.92711657000150405</v>
      </c>
      <c r="H386" s="65">
        <f t="shared" si="6"/>
        <v>0.92711657000150405</v>
      </c>
    </row>
    <row r="387" spans="1:8">
      <c r="A387" s="499">
        <v>117</v>
      </c>
      <c r="B387" s="26">
        <v>1122.6086539999999</v>
      </c>
      <c r="C387" s="10">
        <v>23.358263999999998</v>
      </c>
      <c r="D387" s="10">
        <v>23.358263999999998</v>
      </c>
      <c r="E387" s="10">
        <v>23.358263999999998</v>
      </c>
      <c r="F387" s="65">
        <f t="shared" si="6"/>
        <v>0.85977829371095937</v>
      </c>
      <c r="G387" s="65">
        <f t="shared" si="6"/>
        <v>0.85977829371095937</v>
      </c>
      <c r="H387" s="65">
        <f t="shared" si="6"/>
        <v>0.85977829371095937</v>
      </c>
    </row>
    <row r="388" spans="1:8">
      <c r="A388" s="499">
        <v>478</v>
      </c>
      <c r="B388" s="26">
        <v>595.24459899999999</v>
      </c>
      <c r="C388" s="10">
        <v>23.463294999999999</v>
      </c>
      <c r="D388" s="10">
        <v>23.463294999999999</v>
      </c>
      <c r="E388" s="10">
        <v>23.463294999999999</v>
      </c>
      <c r="F388" s="65">
        <f t="shared" si="6"/>
        <v>0.83617274434871258</v>
      </c>
      <c r="G388" s="65">
        <f t="shared" si="6"/>
        <v>0.83617274434871258</v>
      </c>
      <c r="H388" s="65">
        <f t="shared" si="6"/>
        <v>0.83617274434871258</v>
      </c>
    </row>
    <row r="389" spans="1:8">
      <c r="A389" s="499">
        <v>116</v>
      </c>
      <c r="B389" s="26">
        <v>553.26062200000001</v>
      </c>
      <c r="C389" s="10">
        <v>19.601751</v>
      </c>
      <c r="D389" s="10">
        <v>19.601751</v>
      </c>
      <c r="E389" s="10">
        <v>19.601751</v>
      </c>
      <c r="F389" s="65">
        <f t="shared" si="6"/>
        <v>0.97878225496908333</v>
      </c>
      <c r="G389" s="65">
        <f t="shared" si="6"/>
        <v>0.97878225496908333</v>
      </c>
      <c r="H389" s="65">
        <f t="shared" si="6"/>
        <v>0.97878225496908333</v>
      </c>
    </row>
    <row r="390" spans="1:8">
      <c r="A390" s="499">
        <v>206</v>
      </c>
      <c r="B390" s="26">
        <v>1093.8564980000001</v>
      </c>
      <c r="C390" s="10">
        <v>21.496413</v>
      </c>
      <c r="D390" s="10">
        <v>19.204567233870968</v>
      </c>
      <c r="E390" s="10">
        <v>17.695280803294938</v>
      </c>
      <c r="F390" s="65">
        <f t="shared" ref="F390:H453" si="7">(97.886/(1+EXP(-((C390-24.35322)/-0.5033))))/100</f>
        <v>0.97551717464143584</v>
      </c>
      <c r="G390" s="65">
        <f t="shared" si="7"/>
        <v>0.97882468460795602</v>
      </c>
      <c r="H390" s="65">
        <f t="shared" si="7"/>
        <v>0.97885823954503726</v>
      </c>
    </row>
    <row r="391" spans="1:8">
      <c r="A391" s="499">
        <v>253</v>
      </c>
      <c r="B391" s="26">
        <v>884.22825599999999</v>
      </c>
      <c r="C391" s="10">
        <v>22.525600000000001</v>
      </c>
      <c r="D391" s="10">
        <v>21.203743346774186</v>
      </c>
      <c r="E391" s="10">
        <v>20.252049977781223</v>
      </c>
      <c r="F391" s="65">
        <f t="shared" si="7"/>
        <v>0.95360618611835091</v>
      </c>
      <c r="G391" s="65">
        <f t="shared" si="7"/>
        <v>0.97698834713257254</v>
      </c>
      <c r="H391" s="65">
        <f t="shared" si="7"/>
        <v>0.97857704291386294</v>
      </c>
    </row>
    <row r="392" spans="1:8">
      <c r="A392" s="499">
        <v>203</v>
      </c>
      <c r="B392" s="26">
        <v>625.01359100000002</v>
      </c>
      <c r="C392" s="10">
        <v>22.133448999999999</v>
      </c>
      <c r="D392" s="10">
        <v>20.005731459677421</v>
      </c>
      <c r="E392" s="10">
        <v>18.52548774779142</v>
      </c>
      <c r="F392" s="65">
        <f t="shared" si="7"/>
        <v>0.96710969977695826</v>
      </c>
      <c r="G392" s="65">
        <f t="shared" si="7"/>
        <v>0.97868653078036094</v>
      </c>
      <c r="H392" s="65">
        <f t="shared" si="7"/>
        <v>0.97885083775050807</v>
      </c>
    </row>
    <row r="393" spans="1:8">
      <c r="A393" s="499">
        <v>420</v>
      </c>
      <c r="B393" s="26">
        <v>776.18885499999999</v>
      </c>
      <c r="C393" s="10">
        <v>21.942233999999999</v>
      </c>
      <c r="D393" s="10">
        <v>20.114890250000002</v>
      </c>
      <c r="E393" s="10">
        <v>19.254459436596065</v>
      </c>
      <c r="F393" s="65">
        <f t="shared" si="7"/>
        <v>0.970793192453135</v>
      </c>
      <c r="G393" s="65">
        <f t="shared" si="7"/>
        <v>0.97864452532478285</v>
      </c>
      <c r="H393" s="65">
        <f t="shared" si="7"/>
        <v>0.97882100453758869</v>
      </c>
    </row>
    <row r="394" spans="1:8">
      <c r="A394" s="499">
        <v>400</v>
      </c>
      <c r="B394" s="26">
        <v>1000.22528</v>
      </c>
      <c r="C394" s="10">
        <v>20.335678000000001</v>
      </c>
      <c r="D394" s="10">
        <v>17.697675782258063</v>
      </c>
      <c r="E394" s="10">
        <v>15.801832335810882</v>
      </c>
      <c r="F394" s="65">
        <f t="shared" si="7"/>
        <v>0.97852591268246247</v>
      </c>
      <c r="G394" s="65">
        <f t="shared" si="7"/>
        <v>0.9788582311478734</v>
      </c>
      <c r="H394" s="65">
        <f t="shared" si="7"/>
        <v>0.97885995909460266</v>
      </c>
    </row>
    <row r="395" spans="1:8">
      <c r="A395" s="499">
        <v>406</v>
      </c>
      <c r="B395" s="26">
        <v>644.32779900000003</v>
      </c>
      <c r="C395" s="10">
        <v>21.262176</v>
      </c>
      <c r="D395" s="10">
        <v>19.044335475806442</v>
      </c>
      <c r="E395" s="10">
        <v>16.503578201363727</v>
      </c>
      <c r="F395" s="65">
        <f t="shared" si="7"/>
        <v>0.97675842803960489</v>
      </c>
      <c r="G395" s="65">
        <f t="shared" si="7"/>
        <v>0.97883431347805283</v>
      </c>
      <c r="H395" s="65">
        <f t="shared" si="7"/>
        <v>0.97885983506502316</v>
      </c>
    </row>
    <row r="396" spans="1:8">
      <c r="A396" s="499">
        <v>59</v>
      </c>
      <c r="B396" s="26">
        <v>483.06021199999998</v>
      </c>
      <c r="C396" s="10">
        <v>21.747067000000001</v>
      </c>
      <c r="D396" s="10">
        <v>20.382529499999997</v>
      </c>
      <c r="E396" s="10">
        <v>19.79289624714227</v>
      </c>
      <c r="F396" s="65">
        <f t="shared" si="7"/>
        <v>0.97337160651057719</v>
      </c>
      <c r="G396" s="65">
        <f t="shared" si="7"/>
        <v>0.97849333166975683</v>
      </c>
      <c r="H396" s="65">
        <f t="shared" si="7"/>
        <v>0.97874634337204125</v>
      </c>
    </row>
    <row r="397" spans="1:8">
      <c r="A397" s="499">
        <v>72</v>
      </c>
      <c r="B397" s="26">
        <v>1317.2734439999999</v>
      </c>
      <c r="C397" s="10">
        <v>20.551707</v>
      </c>
      <c r="D397" s="10">
        <v>17.826887443548401</v>
      </c>
      <c r="E397" s="10">
        <v>15.397179794369901</v>
      </c>
      <c r="F397" s="65">
        <f t="shared" si="7"/>
        <v>0.97834691344269076</v>
      </c>
      <c r="G397" s="65">
        <f t="shared" si="7"/>
        <v>0.97885771341553762</v>
      </c>
      <c r="H397" s="65">
        <f t="shared" si="7"/>
        <v>0.97885998169336874</v>
      </c>
    </row>
    <row r="398" spans="1:8">
      <c r="A398" s="499">
        <v>454</v>
      </c>
      <c r="B398" s="26">
        <v>567.60278200000005</v>
      </c>
      <c r="C398" s="10">
        <v>22.133448999999999</v>
      </c>
      <c r="D398" s="10">
        <v>19.878322991935491</v>
      </c>
      <c r="E398" s="10">
        <v>17.888332210659058</v>
      </c>
      <c r="F398" s="65">
        <f t="shared" si="7"/>
        <v>0.96710969977695826</v>
      </c>
      <c r="G398" s="65">
        <f t="shared" si="7"/>
        <v>0.97872532107145005</v>
      </c>
      <c r="H398" s="65">
        <f t="shared" si="7"/>
        <v>0.97885741650616898</v>
      </c>
    </row>
    <row r="399" spans="1:8">
      <c r="A399" s="499">
        <v>96</v>
      </c>
      <c r="B399" s="26">
        <v>924.541787</v>
      </c>
      <c r="C399" s="10">
        <v>20.186008999999999</v>
      </c>
      <c r="D399" s="10">
        <v>19.130402548387082</v>
      </c>
      <c r="E399" s="10">
        <v>18.315346140121399</v>
      </c>
      <c r="F399" s="65">
        <f t="shared" si="7"/>
        <v>0.97861182978428507</v>
      </c>
      <c r="G399" s="65">
        <f t="shared" si="7"/>
        <v>0.97882952316059535</v>
      </c>
      <c r="H399" s="65">
        <f t="shared" si="7"/>
        <v>0.97885396505109834</v>
      </c>
    </row>
    <row r="400" spans="1:8">
      <c r="A400" s="499">
        <v>222</v>
      </c>
      <c r="B400" s="26">
        <v>497.17684800000001</v>
      </c>
      <c r="C400" s="10">
        <v>21.503959999999999</v>
      </c>
      <c r="D400" s="10">
        <v>19.400503749999995</v>
      </c>
      <c r="E400" s="10">
        <v>18.163370976973741</v>
      </c>
      <c r="F400" s="65">
        <f t="shared" si="7"/>
        <v>0.97546684622822366</v>
      </c>
      <c r="G400" s="65">
        <f t="shared" si="7"/>
        <v>0.97880787704946159</v>
      </c>
      <c r="H400" s="65">
        <f t="shared" si="7"/>
        <v>0.97885553793534086</v>
      </c>
    </row>
    <row r="401" spans="1:8">
      <c r="A401" s="499">
        <v>50</v>
      </c>
      <c r="B401" s="26">
        <v>998.90715499999999</v>
      </c>
      <c r="C401" s="10">
        <v>21.595592</v>
      </c>
      <c r="D401" s="10">
        <v>21.580711153225792</v>
      </c>
      <c r="E401" s="10">
        <v>21.142719006364906</v>
      </c>
      <c r="F401" s="65">
        <f t="shared" si="7"/>
        <v>0.97479208646164206</v>
      </c>
      <c r="G401" s="65">
        <f t="shared" si="7"/>
        <v>0.97491012177261549</v>
      </c>
      <c r="H401" s="65">
        <f t="shared" si="7"/>
        <v>0.97720170188938327</v>
      </c>
    </row>
    <row r="402" spans="1:8">
      <c r="A402" s="499">
        <v>338</v>
      </c>
      <c r="B402" s="26">
        <v>678.37897499999997</v>
      </c>
      <c r="C402" s="10">
        <v>22.231379</v>
      </c>
      <c r="D402" s="10">
        <v>20.858521540322577</v>
      </c>
      <c r="E402" s="10">
        <v>22.018838820223916</v>
      </c>
      <c r="F402" s="65">
        <f t="shared" si="7"/>
        <v>0.96462249771620434</v>
      </c>
      <c r="G402" s="65">
        <f t="shared" si="7"/>
        <v>0.97791648695382305</v>
      </c>
      <c r="H402" s="65">
        <f t="shared" si="7"/>
        <v>0.96947972578486119</v>
      </c>
    </row>
    <row r="403" spans="1:8">
      <c r="A403" s="499">
        <v>234</v>
      </c>
      <c r="B403" s="26">
        <v>1962.180719</v>
      </c>
      <c r="C403" s="10">
        <v>20.97822</v>
      </c>
      <c r="D403" s="10">
        <v>19.156393790322582</v>
      </c>
      <c r="E403" s="10">
        <v>20.577825867121593</v>
      </c>
      <c r="F403" s="65">
        <f t="shared" si="7"/>
        <v>0.97766347273992016</v>
      </c>
      <c r="G403" s="65">
        <f t="shared" si="7"/>
        <v>0.97882790799190122</v>
      </c>
      <c r="H403" s="65">
        <f t="shared" si="7"/>
        <v>0.97831959877938968</v>
      </c>
    </row>
    <row r="404" spans="1:8">
      <c r="A404" s="499">
        <v>249</v>
      </c>
      <c r="B404" s="26">
        <v>1343.2320500000001</v>
      </c>
      <c r="C404" s="10">
        <v>20.435846000000002</v>
      </c>
      <c r="D404" s="10">
        <v>20.309182895161285</v>
      </c>
      <c r="E404" s="10">
        <v>19.435921682001052</v>
      </c>
      <c r="F404" s="65">
        <f t="shared" si="7"/>
        <v>0.97845237416391906</v>
      </c>
      <c r="G404" s="65">
        <f t="shared" si="7"/>
        <v>0.97854303951164956</v>
      </c>
      <c r="H404" s="65">
        <f t="shared" si="7"/>
        <v>0.97880407715954276</v>
      </c>
    </row>
    <row r="405" spans="1:8">
      <c r="A405" s="499">
        <v>194</v>
      </c>
      <c r="B405" s="26">
        <v>396.69090199999999</v>
      </c>
      <c r="C405" s="10">
        <v>21.106905999999999</v>
      </c>
      <c r="D405" s="10">
        <v>21.160475556451605</v>
      </c>
      <c r="E405" s="10">
        <v>20.658170379866924</v>
      </c>
      <c r="F405" s="65">
        <f t="shared" si="7"/>
        <v>0.97731542031314478</v>
      </c>
      <c r="G405" s="65">
        <f t="shared" si="7"/>
        <v>0.97714225693315104</v>
      </c>
      <c r="H405" s="65">
        <f t="shared" si="7"/>
        <v>0.97822612501740569</v>
      </c>
    </row>
    <row r="406" spans="1:8">
      <c r="A406" s="499">
        <v>120</v>
      </c>
      <c r="B406" s="26">
        <v>787.30150300000003</v>
      </c>
      <c r="C406" s="10">
        <v>19.727077000000001</v>
      </c>
      <c r="D406" s="10">
        <v>18.168883451612899</v>
      </c>
      <c r="E406" s="10">
        <v>16.993647633676296</v>
      </c>
      <c r="F406" s="65">
        <f t="shared" si="7"/>
        <v>0.97876027456852288</v>
      </c>
      <c r="G406" s="65">
        <f t="shared" si="7"/>
        <v>0.97885548879546647</v>
      </c>
      <c r="H406" s="65">
        <f t="shared" si="7"/>
        <v>0.97885956329260182</v>
      </c>
    </row>
    <row r="407" spans="1:8">
      <c r="A407" s="499">
        <v>451</v>
      </c>
      <c r="B407" s="26">
        <v>437.63851499999998</v>
      </c>
      <c r="C407" s="10">
        <v>20.335743999999998</v>
      </c>
      <c r="D407" s="10">
        <v>19.624370008064517</v>
      </c>
      <c r="E407" s="10">
        <v>18.785677742235315</v>
      </c>
      <c r="F407" s="65">
        <f t="shared" si="7"/>
        <v>0.9785258688841677</v>
      </c>
      <c r="G407" s="65">
        <f t="shared" si="7"/>
        <v>0.97877868159375536</v>
      </c>
      <c r="H407" s="65">
        <f t="shared" si="7"/>
        <v>0.97884463559623358</v>
      </c>
    </row>
    <row r="408" spans="1:8">
      <c r="A408" s="499">
        <v>293</v>
      </c>
      <c r="B408" s="26">
        <v>1272.6709840000001</v>
      </c>
      <c r="C408" s="10">
        <v>20.164985000000001</v>
      </c>
      <c r="D408" s="10">
        <v>20.164985000000001</v>
      </c>
      <c r="E408" s="10">
        <v>20.164985000000001</v>
      </c>
      <c r="F408" s="65">
        <f t="shared" si="7"/>
        <v>0.97862198042122406</v>
      </c>
      <c r="G408" s="65">
        <f t="shared" si="7"/>
        <v>0.97862198042122406</v>
      </c>
      <c r="H408" s="65">
        <f t="shared" si="7"/>
        <v>0.97862198042122406</v>
      </c>
    </row>
    <row r="409" spans="1:8">
      <c r="A409" s="499">
        <v>336</v>
      </c>
      <c r="B409" s="26">
        <v>691.19887700000004</v>
      </c>
      <c r="C409" s="10">
        <v>21.436083</v>
      </c>
      <c r="D409" s="10">
        <v>21.373300540322589</v>
      </c>
      <c r="E409" s="10">
        <v>20.774719175976617</v>
      </c>
      <c r="F409" s="65">
        <f t="shared" si="7"/>
        <v>0.97589364672244527</v>
      </c>
      <c r="G409" s="65">
        <f t="shared" si="7"/>
        <v>0.97624059504262317</v>
      </c>
      <c r="H409" s="65">
        <f t="shared" si="7"/>
        <v>0.97806108683840154</v>
      </c>
    </row>
    <row r="410" spans="1:8">
      <c r="A410" s="499">
        <v>218</v>
      </c>
      <c r="B410" s="26">
        <v>923.22034900000006</v>
      </c>
      <c r="C410" s="10">
        <v>22.231379</v>
      </c>
      <c r="D410" s="10">
        <v>22.299096137096768</v>
      </c>
      <c r="E410" s="10">
        <v>21.973907383371881</v>
      </c>
      <c r="F410" s="65">
        <f t="shared" si="7"/>
        <v>0.96462249771620434</v>
      </c>
      <c r="G410" s="65">
        <f t="shared" si="7"/>
        <v>0.96260609454711887</v>
      </c>
      <c r="H410" s="65">
        <f t="shared" si="7"/>
        <v>0.97027381869731211</v>
      </c>
    </row>
    <row r="411" spans="1:8">
      <c r="A411" s="499">
        <v>397</v>
      </c>
      <c r="B411" s="26">
        <v>975.91880500000002</v>
      </c>
      <c r="C411" s="10">
        <v>21.157041</v>
      </c>
      <c r="D411" s="10">
        <v>18.991401483870977</v>
      </c>
      <c r="E411" s="10">
        <v>20.511002163565522</v>
      </c>
      <c r="F411" s="65">
        <f t="shared" si="7"/>
        <v>0.97715391867283685</v>
      </c>
      <c r="G411" s="65">
        <f t="shared" si="7"/>
        <v>0.9788368777536478</v>
      </c>
      <c r="H411" s="65">
        <f t="shared" si="7"/>
        <v>0.97838675681430909</v>
      </c>
    </row>
    <row r="412" spans="1:8">
      <c r="A412" s="499">
        <v>3</v>
      </c>
      <c r="B412" s="26">
        <v>995.70369600000004</v>
      </c>
      <c r="C412" s="10">
        <v>21.881260000000001</v>
      </c>
      <c r="D412" s="10">
        <v>21.262586612903235</v>
      </c>
      <c r="E412" s="10">
        <v>21.808842614813017</v>
      </c>
      <c r="F412" s="65">
        <f t="shared" si="7"/>
        <v>0.97170686937063255</v>
      </c>
      <c r="G412" s="65">
        <f t="shared" si="7"/>
        <v>0.97675671647647799</v>
      </c>
      <c r="H412" s="65">
        <f t="shared" si="7"/>
        <v>0.97265940797083061</v>
      </c>
    </row>
    <row r="413" spans="1:8">
      <c r="A413" s="499">
        <v>46</v>
      </c>
      <c r="B413" s="26">
        <v>1160.93147</v>
      </c>
      <c r="C413" s="10">
        <v>20.828133999999999</v>
      </c>
      <c r="D413" s="10">
        <v>17.47143883870967</v>
      </c>
      <c r="E413" s="10">
        <v>18.709312782508562</v>
      </c>
      <c r="F413" s="65">
        <f t="shared" si="7"/>
        <v>0.97797171727797894</v>
      </c>
      <c r="G413" s="65">
        <f t="shared" si="7"/>
        <v>0.97885887157333085</v>
      </c>
      <c r="H413" s="65">
        <f t="shared" si="7"/>
        <v>0.97884679854450107</v>
      </c>
    </row>
    <row r="414" spans="1:8">
      <c r="A414" s="499">
        <v>352</v>
      </c>
      <c r="B414" s="26">
        <v>828.08221200000003</v>
      </c>
      <c r="C414" s="10">
        <v>22.712561000000001</v>
      </c>
      <c r="D414" s="10">
        <v>19.194319870967725</v>
      </c>
      <c r="E414" s="10">
        <v>20.110229225397752</v>
      </c>
      <c r="F414" s="65">
        <f t="shared" si="7"/>
        <v>0.94266546413629326</v>
      </c>
      <c r="G414" s="65">
        <f t="shared" si="7"/>
        <v>0.97882539634598831</v>
      </c>
      <c r="H414" s="65">
        <f t="shared" si="7"/>
        <v>0.97864651117522128</v>
      </c>
    </row>
    <row r="415" spans="1:8">
      <c r="A415" s="499">
        <v>226</v>
      </c>
      <c r="B415" s="26">
        <v>753.30775200000005</v>
      </c>
      <c r="C415" s="10">
        <v>21.926708000000001</v>
      </c>
      <c r="D415" s="10">
        <v>18.908944895161302</v>
      </c>
      <c r="E415" s="10">
        <v>20.17113093736781</v>
      </c>
      <c r="F415" s="65">
        <f t="shared" si="7"/>
        <v>0.97103628284745158</v>
      </c>
      <c r="G415" s="65">
        <f t="shared" si="7"/>
        <v>0.97884037180835026</v>
      </c>
      <c r="H415" s="65">
        <f t="shared" si="7"/>
        <v>0.97861905679860772</v>
      </c>
    </row>
    <row r="416" spans="1:8">
      <c r="A416" s="499">
        <v>402</v>
      </c>
      <c r="B416" s="26">
        <v>523.117614</v>
      </c>
      <c r="C416" s="10">
        <v>20.344982000000002</v>
      </c>
      <c r="D416" s="10">
        <v>20.344982000000002</v>
      </c>
      <c r="E416" s="10">
        <v>20.344982000000002</v>
      </c>
      <c r="F416" s="65">
        <f t="shared" si="7"/>
        <v>0.97851968147644486</v>
      </c>
      <c r="G416" s="65">
        <f t="shared" si="7"/>
        <v>0.97851968147644486</v>
      </c>
      <c r="H416" s="65">
        <f t="shared" si="7"/>
        <v>0.97851968147644486</v>
      </c>
    </row>
    <row r="417" spans="1:8">
      <c r="A417" s="499">
        <v>377</v>
      </c>
      <c r="B417" s="26">
        <v>1649.366117</v>
      </c>
      <c r="C417" s="10">
        <v>25.116909</v>
      </c>
      <c r="D417" s="10">
        <v>21.382503153225812</v>
      </c>
      <c r="E417" s="10">
        <v>23.230779912489663</v>
      </c>
      <c r="F417" s="65">
        <f t="shared" si="7"/>
        <v>0.17604806898987385</v>
      </c>
      <c r="G417" s="65">
        <f t="shared" si="7"/>
        <v>0.97619239158463644</v>
      </c>
      <c r="H417" s="65">
        <f t="shared" si="7"/>
        <v>0.88383763685975425</v>
      </c>
    </row>
    <row r="418" spans="1:8">
      <c r="A418" s="499">
        <v>47</v>
      </c>
      <c r="B418" s="26">
        <v>279.79364500000003</v>
      </c>
      <c r="C418" s="10">
        <v>23.879076999999999</v>
      </c>
      <c r="D418" s="10">
        <v>20.430517927419363</v>
      </c>
      <c r="E418" s="10">
        <v>21.267227775779578</v>
      </c>
      <c r="F418" s="65">
        <f t="shared" si="7"/>
        <v>0.70430666987835355</v>
      </c>
      <c r="G418" s="65">
        <f t="shared" si="7"/>
        <v>0.97845666487395189</v>
      </c>
      <c r="H418" s="65">
        <f t="shared" si="7"/>
        <v>0.97673727367540608</v>
      </c>
    </row>
    <row r="419" spans="1:8">
      <c r="A419" s="499">
        <v>339</v>
      </c>
      <c r="B419" s="26">
        <v>1449.1924409999999</v>
      </c>
      <c r="C419" s="10">
        <v>24.738108</v>
      </c>
      <c r="D419" s="10">
        <v>21.216268483870962</v>
      </c>
      <c r="E419" s="10">
        <v>23.4190107402762</v>
      </c>
      <c r="F419" s="65">
        <f t="shared" si="7"/>
        <v>0.31090597946661935</v>
      </c>
      <c r="G419" s="65">
        <f t="shared" si="7"/>
        <v>0.97694127716726653</v>
      </c>
      <c r="H419" s="65">
        <f t="shared" si="7"/>
        <v>0.84656672811616607</v>
      </c>
    </row>
    <row r="420" spans="1:8">
      <c r="A420" s="499">
        <v>53</v>
      </c>
      <c r="B420" s="26">
        <v>999.04299900000001</v>
      </c>
      <c r="C420" s="10">
        <v>23.618113999999998</v>
      </c>
      <c r="D420" s="10">
        <v>20.495260572580648</v>
      </c>
      <c r="E420" s="10">
        <v>22.88101998979322</v>
      </c>
      <c r="F420" s="65">
        <f t="shared" si="7"/>
        <v>0.79446252866101674</v>
      </c>
      <c r="G420" s="65">
        <f t="shared" si="7"/>
        <v>0.97840132242011391</v>
      </c>
      <c r="H420" s="65">
        <f t="shared" si="7"/>
        <v>0.92900968730822187</v>
      </c>
    </row>
    <row r="421" spans="1:8">
      <c r="A421" s="499">
        <v>49</v>
      </c>
      <c r="B421" s="26">
        <v>895.95424500000001</v>
      </c>
      <c r="C421" s="10">
        <v>23.549806</v>
      </c>
      <c r="D421" s="10">
        <v>20.462584427419355</v>
      </c>
      <c r="E421" s="10">
        <v>22.576551224232393</v>
      </c>
      <c r="F421" s="65">
        <f t="shared" si="7"/>
        <v>0.81392166770814778</v>
      </c>
      <c r="G421" s="65">
        <f t="shared" si="7"/>
        <v>0.97843014274617457</v>
      </c>
      <c r="H421" s="65">
        <f t="shared" si="7"/>
        <v>0.9509923443614835</v>
      </c>
    </row>
    <row r="422" spans="1:8">
      <c r="A422" s="499">
        <v>379</v>
      </c>
      <c r="B422" s="26">
        <v>1414.774825</v>
      </c>
      <c r="C422" s="10">
        <v>22.765698</v>
      </c>
      <c r="D422" s="10">
        <v>19.129777637096769</v>
      </c>
      <c r="E422" s="10">
        <v>21.574247102645778</v>
      </c>
      <c r="F422" s="65">
        <f t="shared" si="7"/>
        <v>0.93880007584015468</v>
      </c>
      <c r="G422" s="65">
        <f t="shared" si="7"/>
        <v>0.97882956097682905</v>
      </c>
      <c r="H422" s="65">
        <f t="shared" si="7"/>
        <v>0.97496032619491457</v>
      </c>
    </row>
    <row r="423" spans="1:8">
      <c r="A423" s="499">
        <v>98</v>
      </c>
      <c r="B423" s="26">
        <v>1000.931846</v>
      </c>
      <c r="C423" s="10">
        <v>25.017679999999999</v>
      </c>
      <c r="D423" s="10">
        <v>21.122167096774195</v>
      </c>
      <c r="E423" s="10">
        <v>24.514307738348688</v>
      </c>
      <c r="F423" s="65">
        <f t="shared" si="7"/>
        <v>0.2063279446549805</v>
      </c>
      <c r="G423" s="65">
        <f t="shared" si="7"/>
        <v>0.97726794550722484</v>
      </c>
      <c r="H423" s="65">
        <f t="shared" si="7"/>
        <v>0.41176761917673738</v>
      </c>
    </row>
    <row r="424" spans="1:8">
      <c r="A424" s="499">
        <v>465</v>
      </c>
      <c r="B424" s="26">
        <v>999.78151000000003</v>
      </c>
      <c r="C424" s="10">
        <v>23.115731</v>
      </c>
      <c r="D424" s="10">
        <v>19.810468903225811</v>
      </c>
      <c r="E424" s="10">
        <v>21.666350090905276</v>
      </c>
      <c r="F424" s="65">
        <f t="shared" si="7"/>
        <v>0.90172484270133435</v>
      </c>
      <c r="G424" s="65">
        <f t="shared" si="7"/>
        <v>0.97874230546094554</v>
      </c>
      <c r="H424" s="65">
        <f t="shared" si="7"/>
        <v>0.97418096728507908</v>
      </c>
    </row>
    <row r="425" spans="1:8">
      <c r="A425" s="499">
        <v>446</v>
      </c>
      <c r="B425" s="26">
        <v>824.09269700000004</v>
      </c>
      <c r="C425" s="10">
        <v>22.958390999999999</v>
      </c>
      <c r="D425" s="10">
        <v>19.616067008064519</v>
      </c>
      <c r="E425" s="10">
        <v>21.585049271250451</v>
      </c>
      <c r="F425" s="65">
        <f t="shared" si="7"/>
        <v>0.92121375438486397</v>
      </c>
      <c r="G425" s="65">
        <f t="shared" si="7"/>
        <v>0.97878001199945486</v>
      </c>
      <c r="H425" s="65">
        <f t="shared" si="7"/>
        <v>0.97487606841185737</v>
      </c>
    </row>
    <row r="426" spans="1:8">
      <c r="A426" s="499">
        <v>149</v>
      </c>
      <c r="B426" s="26">
        <v>999.28893800000003</v>
      </c>
      <c r="C426" s="10">
        <v>23.115731</v>
      </c>
      <c r="D426" s="10">
        <v>19.580190274193551</v>
      </c>
      <c r="E426" s="10">
        <v>21.712562973587829</v>
      </c>
      <c r="F426" s="65">
        <f t="shared" si="7"/>
        <v>0.90172484270133435</v>
      </c>
      <c r="G426" s="65">
        <f t="shared" si="7"/>
        <v>0.97878551488904397</v>
      </c>
      <c r="H426" s="65">
        <f t="shared" si="7"/>
        <v>0.97373335434476926</v>
      </c>
    </row>
    <row r="427" spans="1:8">
      <c r="A427" s="499">
        <v>202</v>
      </c>
      <c r="B427" s="26">
        <v>410.23107399999998</v>
      </c>
      <c r="C427" s="10">
        <v>25.491440000000001</v>
      </c>
      <c r="D427" s="10">
        <v>22.444362379032253</v>
      </c>
      <c r="E427" s="10">
        <v>24.819300709179213</v>
      </c>
      <c r="F427" s="65">
        <f t="shared" si="7"/>
        <v>9.2366117460763869E-2</v>
      </c>
      <c r="G427" s="65">
        <f t="shared" si="7"/>
        <v>0.95728748147094234</v>
      </c>
      <c r="H427" s="65">
        <f t="shared" si="7"/>
        <v>0.27772888773465315</v>
      </c>
    </row>
    <row r="428" spans="1:8">
      <c r="A428" s="499">
        <v>85</v>
      </c>
      <c r="B428" s="26">
        <v>392.09173099999998</v>
      </c>
      <c r="C428" s="10">
        <v>25.186457000000001</v>
      </c>
      <c r="D428" s="10">
        <v>22.058230185483865</v>
      </c>
      <c r="E428" s="10">
        <v>24.004343651960149</v>
      </c>
      <c r="F428" s="65">
        <f t="shared" si="7"/>
        <v>0.15697058974800501</v>
      </c>
      <c r="G428" s="65">
        <f t="shared" si="7"/>
        <v>0.96872398087545708</v>
      </c>
      <c r="H428" s="65">
        <f t="shared" si="7"/>
        <v>0.65257997705013604</v>
      </c>
    </row>
    <row r="429" spans="1:8">
      <c r="A429" s="499">
        <v>416</v>
      </c>
      <c r="B429" s="26">
        <v>135.35160200000001</v>
      </c>
      <c r="C429" s="10">
        <v>23.422604</v>
      </c>
      <c r="D429" s="10">
        <v>20.375526379032252</v>
      </c>
      <c r="E429" s="10">
        <v>22.750464709179212</v>
      </c>
      <c r="F429" s="65">
        <f t="shared" si="7"/>
        <v>0.84574775257740309</v>
      </c>
      <c r="G429" s="65">
        <f t="shared" si="7"/>
        <v>0.97849839643900238</v>
      </c>
      <c r="H429" s="65">
        <f t="shared" si="7"/>
        <v>0.93994691864072732</v>
      </c>
    </row>
    <row r="430" spans="1:8">
      <c r="A430" s="499">
        <v>261</v>
      </c>
      <c r="B430" s="26">
        <v>525.42002100000002</v>
      </c>
      <c r="C430" s="10">
        <v>25.491440000000001</v>
      </c>
      <c r="D430" s="10">
        <v>25.491440000000001</v>
      </c>
      <c r="E430" s="10">
        <v>25.491440000000001</v>
      </c>
      <c r="F430" s="65">
        <f t="shared" si="7"/>
        <v>9.2366117460763869E-2</v>
      </c>
      <c r="G430" s="65">
        <f t="shared" si="7"/>
        <v>9.2366117460763869E-2</v>
      </c>
      <c r="H430" s="65">
        <f t="shared" si="7"/>
        <v>9.2366117460763869E-2</v>
      </c>
    </row>
    <row r="431" spans="1:8">
      <c r="A431" s="499">
        <v>243</v>
      </c>
      <c r="B431" s="26">
        <v>1000.369002</v>
      </c>
      <c r="C431" s="10">
        <v>25.373000000000001</v>
      </c>
      <c r="D431" s="10">
        <v>22.312647983870967</v>
      </c>
      <c r="E431" s="10">
        <v>25.331138252737794</v>
      </c>
      <c r="F431" s="65">
        <f t="shared" si="7"/>
        <v>0.11401833605025438</v>
      </c>
      <c r="G431" s="65">
        <f t="shared" si="7"/>
        <v>0.96217006034075225</v>
      </c>
      <c r="H431" s="65">
        <f t="shared" si="7"/>
        <v>0.12266805460055236</v>
      </c>
    </row>
    <row r="432" spans="1:8">
      <c r="A432" s="499">
        <v>158</v>
      </c>
      <c r="B432" s="26">
        <v>711.49928399999999</v>
      </c>
      <c r="C432" s="10">
        <v>25.186457000000001</v>
      </c>
      <c r="D432" s="10">
        <v>22.185149137096786</v>
      </c>
      <c r="E432" s="10">
        <v>24.300001501458262</v>
      </c>
      <c r="F432" s="65">
        <f t="shared" si="7"/>
        <v>0.15697058974800501</v>
      </c>
      <c r="G432" s="65">
        <f t="shared" si="7"/>
        <v>0.96585539796948738</v>
      </c>
      <c r="H432" s="65">
        <f t="shared" si="7"/>
        <v>0.51528186600678072</v>
      </c>
    </row>
    <row r="433" spans="1:8">
      <c r="A433" s="499">
        <v>383</v>
      </c>
      <c r="B433" s="26">
        <v>568.98465099999999</v>
      </c>
      <c r="C433" s="10">
        <v>25.186457000000001</v>
      </c>
      <c r="D433" s="10">
        <v>25.186457000000001</v>
      </c>
      <c r="E433" s="10">
        <v>25.186457000000001</v>
      </c>
      <c r="F433" s="65">
        <f t="shared" si="7"/>
        <v>0.15697058974800501</v>
      </c>
      <c r="G433" s="65">
        <f t="shared" si="7"/>
        <v>0.15697058974800501</v>
      </c>
      <c r="H433" s="65">
        <f t="shared" si="7"/>
        <v>0.15697058974800501</v>
      </c>
    </row>
    <row r="434" spans="1:8">
      <c r="A434" s="499">
        <v>308</v>
      </c>
      <c r="B434" s="26">
        <v>751.61806000000001</v>
      </c>
      <c r="C434" s="10">
        <v>22.848009999999999</v>
      </c>
      <c r="D434" s="10">
        <v>19.044102943548381</v>
      </c>
      <c r="E434" s="10">
        <v>21.454743882038574</v>
      </c>
      <c r="F434" s="65">
        <f t="shared" si="7"/>
        <v>0.93202288844093251</v>
      </c>
      <c r="G434" s="65">
        <f t="shared" si="7"/>
        <v>0.97883432534256443</v>
      </c>
      <c r="H434" s="65">
        <f t="shared" si="7"/>
        <v>0.97578195104558874</v>
      </c>
    </row>
    <row r="435" spans="1:8">
      <c r="A435" s="499">
        <v>404</v>
      </c>
      <c r="B435" s="26">
        <v>1061.299456</v>
      </c>
      <c r="C435" s="10">
        <v>24.532931999999999</v>
      </c>
      <c r="D435" s="10">
        <v>21.383366475806454</v>
      </c>
      <c r="E435" s="10">
        <v>23.873779036179542</v>
      </c>
      <c r="F435" s="65">
        <f t="shared" si="7"/>
        <v>0.40296696476052962</v>
      </c>
      <c r="G435" s="65">
        <f t="shared" si="7"/>
        <v>0.97618782434725693</v>
      </c>
      <c r="H435" s="65">
        <f t="shared" si="7"/>
        <v>0.70638131399479487</v>
      </c>
    </row>
    <row r="436" spans="1:8">
      <c r="A436" s="499">
        <v>387</v>
      </c>
      <c r="B436" s="26">
        <v>1000.549477</v>
      </c>
      <c r="C436" s="10">
        <v>24.628802</v>
      </c>
      <c r="D436" s="10">
        <v>21.591436879032265</v>
      </c>
      <c r="E436" s="10">
        <v>24.024202931203625</v>
      </c>
      <c r="F436" s="65">
        <f t="shared" si="7"/>
        <v>0.35868658199100634</v>
      </c>
      <c r="G436" s="65">
        <f t="shared" si="7"/>
        <v>0.97482539405288759</v>
      </c>
      <c r="H436" s="65">
        <f t="shared" si="7"/>
        <v>0.64394126281628716</v>
      </c>
    </row>
    <row r="437" spans="1:8">
      <c r="A437" s="499">
        <v>195</v>
      </c>
      <c r="B437" s="26">
        <v>935.50215500000002</v>
      </c>
      <c r="C437" s="10">
        <v>23.388137</v>
      </c>
      <c r="D437" s="10">
        <v>19.856536596774205</v>
      </c>
      <c r="E437" s="10">
        <v>22.680865783433919</v>
      </c>
      <c r="F437" s="65">
        <f t="shared" si="7"/>
        <v>0.85342942494784413</v>
      </c>
      <c r="G437" s="65">
        <f t="shared" si="7"/>
        <v>0.97873102580159876</v>
      </c>
      <c r="H437" s="65">
        <f t="shared" si="7"/>
        <v>0.94479764963343105</v>
      </c>
    </row>
    <row r="438" spans="1:8">
      <c r="A438" s="499">
        <v>184</v>
      </c>
      <c r="B438" s="26">
        <v>788.47535500000004</v>
      </c>
      <c r="C438" s="10">
        <v>24.164048000000001</v>
      </c>
      <c r="D438" s="10">
        <v>20.794843161290331</v>
      </c>
      <c r="E438" s="10">
        <v>23.438124873642479</v>
      </c>
      <c r="F438" s="65">
        <f t="shared" si="7"/>
        <v>0.58034161815357022</v>
      </c>
      <c r="G438" s="65">
        <f t="shared" si="7"/>
        <v>0.9780285234988767</v>
      </c>
      <c r="H438" s="65">
        <f t="shared" si="7"/>
        <v>0.84216104921471124</v>
      </c>
    </row>
    <row r="439" spans="1:8">
      <c r="A439" s="499">
        <v>183</v>
      </c>
      <c r="B439" s="26">
        <v>991.96707800000001</v>
      </c>
      <c r="C439" s="10">
        <v>23.401229000000001</v>
      </c>
      <c r="D439" s="10">
        <v>20.048134645161298</v>
      </c>
      <c r="E439" s="10">
        <v>22.675673446993976</v>
      </c>
      <c r="F439" s="65">
        <f t="shared" si="7"/>
        <v>0.85055714911358105</v>
      </c>
      <c r="G439" s="65">
        <f t="shared" si="7"/>
        <v>0.97867128557061978</v>
      </c>
      <c r="H439" s="65">
        <f t="shared" si="7"/>
        <v>0.94513520543248708</v>
      </c>
    </row>
    <row r="440" spans="1:8">
      <c r="A440" s="499">
        <v>242</v>
      </c>
      <c r="B440" s="26">
        <v>483.42492099999998</v>
      </c>
      <c r="C440" s="10">
        <v>23.401229000000001</v>
      </c>
      <c r="D440" s="10">
        <v>20.207273556451614</v>
      </c>
      <c r="E440" s="10">
        <v>22.777287414231367</v>
      </c>
      <c r="F440" s="65">
        <f t="shared" si="7"/>
        <v>0.85055714911358105</v>
      </c>
      <c r="G440" s="65">
        <f t="shared" si="7"/>
        <v>0.97860112270513111</v>
      </c>
      <c r="H440" s="65">
        <f t="shared" si="7"/>
        <v>0.93790596120309533</v>
      </c>
    </row>
    <row r="441" spans="1:8">
      <c r="A441" s="499">
        <v>269</v>
      </c>
      <c r="B441" s="26">
        <v>751.59441500000003</v>
      </c>
      <c r="C441" s="10">
        <v>24.628802</v>
      </c>
      <c r="D441" s="10">
        <v>22.036122564516134</v>
      </c>
      <c r="E441" s="10">
        <v>24.069349445903796</v>
      </c>
      <c r="F441" s="65">
        <f t="shared" si="7"/>
        <v>0.35868658199100634</v>
      </c>
      <c r="G441" s="65">
        <f t="shared" si="7"/>
        <v>0.9691552535298571</v>
      </c>
      <c r="H441" s="65">
        <f t="shared" si="7"/>
        <v>0.62390760023173442</v>
      </c>
    </row>
    <row r="442" spans="1:8">
      <c r="A442" s="499">
        <v>313</v>
      </c>
      <c r="B442" s="26">
        <v>999.19973100000004</v>
      </c>
      <c r="C442" s="10">
        <v>26.759342</v>
      </c>
      <c r="D442" s="10">
        <v>21.968251274193534</v>
      </c>
      <c r="E442" s="10">
        <v>25.847348910159948</v>
      </c>
      <c r="F442" s="65">
        <f t="shared" si="7"/>
        <v>8.1444930468588285E-3</v>
      </c>
      <c r="G442" s="65">
        <f t="shared" si="7"/>
        <v>0.97036893811585656</v>
      </c>
      <c r="H442" s="65">
        <f t="shared" si="7"/>
        <v>4.7828808498302025E-2</v>
      </c>
    </row>
    <row r="443" spans="1:8">
      <c r="A443" s="499">
        <v>268</v>
      </c>
      <c r="B443" s="26">
        <v>473.182794</v>
      </c>
      <c r="C443" s="10">
        <v>23.422604</v>
      </c>
      <c r="D443" s="10">
        <v>23.422604</v>
      </c>
      <c r="E443" s="10">
        <v>23.422604</v>
      </c>
      <c r="F443" s="65">
        <f t="shared" si="7"/>
        <v>0.84574775257740309</v>
      </c>
      <c r="G443" s="65">
        <f t="shared" si="7"/>
        <v>0.84574775257740309</v>
      </c>
      <c r="H443" s="65">
        <f t="shared" si="7"/>
        <v>0.84574775257740309</v>
      </c>
    </row>
    <row r="444" spans="1:8">
      <c r="A444" s="499">
        <v>250</v>
      </c>
      <c r="B444" s="26">
        <v>999.05145500000003</v>
      </c>
      <c r="C444" s="10">
        <v>25.195340000000002</v>
      </c>
      <c r="D444" s="10">
        <v>20.346602701612905</v>
      </c>
      <c r="E444" s="10">
        <v>24.225692091081914</v>
      </c>
      <c r="F444" s="65">
        <f t="shared" si="7"/>
        <v>0.1546583278395473</v>
      </c>
      <c r="G444" s="65">
        <f t="shared" si="7"/>
        <v>0.97851858421617821</v>
      </c>
      <c r="H444" s="65">
        <f t="shared" si="7"/>
        <v>0.55110710363724114</v>
      </c>
    </row>
    <row r="445" spans="1:8">
      <c r="A445" s="499">
        <v>395</v>
      </c>
      <c r="B445" s="26">
        <v>441.21829000000002</v>
      </c>
      <c r="C445" s="10">
        <v>23.422604</v>
      </c>
      <c r="D445" s="10">
        <v>20.329299362903221</v>
      </c>
      <c r="E445" s="10">
        <v>22.608788623355188</v>
      </c>
      <c r="F445" s="65">
        <f t="shared" si="7"/>
        <v>0.84574775257740309</v>
      </c>
      <c r="G445" s="65">
        <f t="shared" si="7"/>
        <v>0.97853011864531003</v>
      </c>
      <c r="H445" s="65">
        <f t="shared" si="7"/>
        <v>0.94920480418630604</v>
      </c>
    </row>
    <row r="446" spans="1:8">
      <c r="A446" s="499">
        <v>297</v>
      </c>
      <c r="B446" s="26">
        <v>1136.4752289999999</v>
      </c>
      <c r="C446" s="10">
        <v>24.628802</v>
      </c>
      <c r="D446" s="10">
        <v>21.399515104838699</v>
      </c>
      <c r="E446" s="10">
        <v>23.797893420093196</v>
      </c>
      <c r="F446" s="65">
        <f t="shared" si="7"/>
        <v>0.35868658199100634</v>
      </c>
      <c r="G446" s="65">
        <f t="shared" si="7"/>
        <v>0.97610094155190996</v>
      </c>
      <c r="H446" s="65">
        <f t="shared" si="7"/>
        <v>0.73501734041305367</v>
      </c>
    </row>
    <row r="447" spans="1:8">
      <c r="A447" s="499">
        <v>455</v>
      </c>
      <c r="B447" s="26">
        <v>1289.971456</v>
      </c>
      <c r="C447" s="10">
        <v>27.957811</v>
      </c>
      <c r="D447" s="10">
        <v>23.642131362903232</v>
      </c>
      <c r="E447" s="10">
        <v>27.364071336852771</v>
      </c>
      <c r="F447" s="65">
        <f t="shared" si="7"/>
        <v>7.5858531261372808E-4</v>
      </c>
      <c r="G447" s="65">
        <f t="shared" si="7"/>
        <v>0.78721434495104248</v>
      </c>
      <c r="H447" s="65">
        <f t="shared" si="7"/>
        <v>2.4636612762759386E-3</v>
      </c>
    </row>
    <row r="448" spans="1:8">
      <c r="A448" s="499">
        <v>210</v>
      </c>
      <c r="B448" s="26">
        <v>748.420885</v>
      </c>
      <c r="C448" s="10">
        <v>27.506598</v>
      </c>
      <c r="D448" s="10">
        <v>22.534552032258052</v>
      </c>
      <c r="E448" s="10">
        <v>26.508073256770345</v>
      </c>
      <c r="F448" s="65">
        <f t="shared" si="7"/>
        <v>1.8572281934782049E-3</v>
      </c>
      <c r="G448" s="65">
        <f t="shared" si="7"/>
        <v>0.95316488280657963</v>
      </c>
      <c r="H448" s="65">
        <f t="shared" si="7"/>
        <v>1.3345933351607419E-2</v>
      </c>
    </row>
    <row r="449" spans="1:8">
      <c r="A449" s="499">
        <v>409</v>
      </c>
      <c r="B449" s="26">
        <v>614.75779999999997</v>
      </c>
      <c r="C449" s="10">
        <v>27.255911999999999</v>
      </c>
      <c r="D449" s="10">
        <v>22.266294661290321</v>
      </c>
      <c r="E449" s="10">
        <v>26.314921471810095</v>
      </c>
      <c r="F449" s="65">
        <f t="shared" si="7"/>
        <v>3.0524534923595408E-3</v>
      </c>
      <c r="G449" s="65">
        <f t="shared" si="7"/>
        <v>0.96361565472117872</v>
      </c>
      <c r="H449" s="65">
        <f t="shared" si="7"/>
        <v>1.9465126474566628E-2</v>
      </c>
    </row>
    <row r="450" spans="1:8">
      <c r="A450" s="499">
        <v>170</v>
      </c>
      <c r="B450" s="26">
        <v>862.82706199999996</v>
      </c>
      <c r="C450" s="10">
        <v>23.229558999999998</v>
      </c>
      <c r="D450" s="10">
        <v>19.540949725806449</v>
      </c>
      <c r="E450" s="10">
        <v>22.485934845805854</v>
      </c>
      <c r="F450" s="65">
        <f t="shared" si="7"/>
        <v>0.88404556384068744</v>
      </c>
      <c r="G450" s="65">
        <f t="shared" si="7"/>
        <v>0.97879110122199309</v>
      </c>
      <c r="H450" s="65">
        <f t="shared" si="7"/>
        <v>0.95547431400763205</v>
      </c>
    </row>
    <row r="451" spans="1:8">
      <c r="A451" s="499">
        <v>146</v>
      </c>
      <c r="B451" s="26">
        <v>1000.6593329999999</v>
      </c>
      <c r="C451" s="10">
        <v>27.710276</v>
      </c>
      <c r="D451" s="10">
        <v>22.876162895161279</v>
      </c>
      <c r="E451" s="10">
        <v>27.4977582747842</v>
      </c>
      <c r="F451" s="65">
        <f t="shared" si="7"/>
        <v>1.2399012478207234E-3</v>
      </c>
      <c r="G451" s="65">
        <f t="shared" si="7"/>
        <v>0.92946429392953189</v>
      </c>
      <c r="H451" s="65">
        <f t="shared" si="7"/>
        <v>1.8900722787376792E-3</v>
      </c>
    </row>
    <row r="452" spans="1:8">
      <c r="A452" s="499">
        <v>473</v>
      </c>
      <c r="B452" s="26">
        <v>1087.5310260000001</v>
      </c>
      <c r="C452" s="10">
        <v>24.628802</v>
      </c>
      <c r="D452" s="10">
        <v>21.871189096774199</v>
      </c>
      <c r="E452" s="10">
        <v>23.941913791004815</v>
      </c>
      <c r="F452" s="65">
        <f t="shared" si="7"/>
        <v>0.35868658199100634</v>
      </c>
      <c r="G452" s="65">
        <f t="shared" si="7"/>
        <v>0.97184756396182626</v>
      </c>
      <c r="H452" s="65">
        <f t="shared" si="7"/>
        <v>0.67898197539777672</v>
      </c>
    </row>
    <row r="453" spans="1:8">
      <c r="A453" s="499">
        <v>463</v>
      </c>
      <c r="B453" s="26">
        <v>879.211457</v>
      </c>
      <c r="C453" s="10">
        <v>28.477941000000001</v>
      </c>
      <c r="D453" s="10">
        <v>24.924779911290322</v>
      </c>
      <c r="E453" s="10">
        <v>28.528689554453646</v>
      </c>
      <c r="F453" s="65">
        <f t="shared" si="7"/>
        <v>2.7002521431144594E-4</v>
      </c>
      <c r="G453" s="65">
        <f t="shared" si="7"/>
        <v>0.23798492327924253</v>
      </c>
      <c r="H453" s="65">
        <f t="shared" si="7"/>
        <v>2.4413227275195168E-4</v>
      </c>
    </row>
    <row r="454" spans="1:8">
      <c r="A454" s="499">
        <v>331</v>
      </c>
      <c r="B454" s="26">
        <v>1000.281403</v>
      </c>
      <c r="C454" s="10">
        <v>25.550660000000001</v>
      </c>
      <c r="D454" s="10">
        <v>20.130241653225795</v>
      </c>
      <c r="E454" s="10">
        <v>25.296985097941768</v>
      </c>
      <c r="F454" s="65">
        <f t="shared" ref="F454:H487" si="8">(97.886/(1+EXP(-((C454-24.35322)/-0.5033))))/100</f>
        <v>8.2982235225227893E-2</v>
      </c>
      <c r="G454" s="65">
        <f t="shared" si="8"/>
        <v>0.97863785327984842</v>
      </c>
      <c r="H454" s="65">
        <f t="shared" si="8"/>
        <v>0.13013597848787362</v>
      </c>
    </row>
    <row r="455" spans="1:8">
      <c r="A455" s="499">
        <v>60</v>
      </c>
      <c r="B455" s="26">
        <v>1280.4011620000001</v>
      </c>
      <c r="C455" s="10">
        <v>28.477941000000001</v>
      </c>
      <c r="D455" s="10">
        <v>23.787393822580643</v>
      </c>
      <c r="E455" s="10">
        <v>28.32613522811311</v>
      </c>
      <c r="F455" s="65">
        <f t="shared" si="8"/>
        <v>2.7002521431144594E-4</v>
      </c>
      <c r="G455" s="65">
        <f t="shared" si="8"/>
        <v>0.73881704284386407</v>
      </c>
      <c r="H455" s="65">
        <f t="shared" si="8"/>
        <v>3.6505173267669099E-4</v>
      </c>
    </row>
    <row r="456" spans="1:8">
      <c r="A456" s="499">
        <v>94</v>
      </c>
      <c r="B456" s="26">
        <v>1057.904012</v>
      </c>
      <c r="C456" s="10">
        <v>27.509188000000002</v>
      </c>
      <c r="D456" s="10">
        <v>24.282835580645145</v>
      </c>
      <c r="E456" s="10">
        <v>27.2724884365451</v>
      </c>
      <c r="F456" s="65">
        <f t="shared" si="8"/>
        <v>1.8477133734834947E-3</v>
      </c>
      <c r="G456" s="65">
        <f t="shared" si="8"/>
        <v>0.52359671399353036</v>
      </c>
      <c r="H456" s="65">
        <f t="shared" si="8"/>
        <v>2.9538553920192777E-3</v>
      </c>
    </row>
    <row r="457" spans="1:8">
      <c r="A457" s="499">
        <v>142</v>
      </c>
      <c r="B457" s="26">
        <v>1000.107618</v>
      </c>
      <c r="C457" s="10">
        <v>25.550660000000001</v>
      </c>
      <c r="D457" s="10">
        <v>20.605798104838705</v>
      </c>
      <c r="E457" s="10">
        <v>25.37334855204065</v>
      </c>
      <c r="F457" s="65">
        <f t="shared" si="8"/>
        <v>8.2982235225227893E-2</v>
      </c>
      <c r="G457" s="65">
        <f t="shared" si="8"/>
        <v>0.97828873227131452</v>
      </c>
      <c r="H457" s="65">
        <f t="shared" si="8"/>
        <v>0.11394859056997603</v>
      </c>
    </row>
    <row r="458" spans="1:8">
      <c r="A458" s="499">
        <v>1</v>
      </c>
      <c r="B458" s="26">
        <v>999.61317699999995</v>
      </c>
      <c r="C458" s="10">
        <v>28.093139000000001</v>
      </c>
      <c r="D458" s="10">
        <v>21.789393838709678</v>
      </c>
      <c r="E458" s="10">
        <v>27.756318343814844</v>
      </c>
      <c r="F458" s="65">
        <f t="shared" si="8"/>
        <v>5.798425568185443E-4</v>
      </c>
      <c r="G458" s="65">
        <f t="shared" si="8"/>
        <v>0.97289301123758587</v>
      </c>
      <c r="H458" s="65">
        <f t="shared" si="8"/>
        <v>1.1316328217934369E-3</v>
      </c>
    </row>
    <row r="459" spans="1:8">
      <c r="A459" s="499">
        <v>476</v>
      </c>
      <c r="B459" s="26">
        <v>1273.230961</v>
      </c>
      <c r="C459" s="10">
        <v>27.411840000000002</v>
      </c>
      <c r="D459" s="10">
        <v>22.530008346774185</v>
      </c>
      <c r="E459" s="10">
        <v>27.159977509280687</v>
      </c>
      <c r="F459" s="65">
        <f t="shared" si="8"/>
        <v>2.2410972088733202E-3</v>
      </c>
      <c r="G459" s="65">
        <f t="shared" si="8"/>
        <v>0.95338980016235775</v>
      </c>
      <c r="H459" s="65">
        <f t="shared" si="8"/>
        <v>3.6910170043060906E-3</v>
      </c>
    </row>
    <row r="460" spans="1:8">
      <c r="A460" s="499">
        <v>235</v>
      </c>
      <c r="B460" s="26">
        <v>999.56978900000001</v>
      </c>
      <c r="C460" s="10">
        <v>25.72832</v>
      </c>
      <c r="D460" s="10">
        <v>20.015511330645154</v>
      </c>
      <c r="E460" s="10">
        <v>25.278345229214523</v>
      </c>
      <c r="F460" s="65">
        <f t="shared" si="8"/>
        <v>5.9809997953614191E-2</v>
      </c>
      <c r="G460" s="65">
        <f t="shared" si="8"/>
        <v>0.97868312766660503</v>
      </c>
      <c r="H460" s="65">
        <f t="shared" si="8"/>
        <v>0.13437195126955664</v>
      </c>
    </row>
    <row r="461" spans="1:8">
      <c r="A461" s="499">
        <v>28</v>
      </c>
      <c r="B461" s="26">
        <v>1000.235482</v>
      </c>
      <c r="C461" s="10">
        <v>26.616620000000001</v>
      </c>
      <c r="D461" s="10">
        <v>19.815332903225812</v>
      </c>
      <c r="E461" s="10">
        <v>26.272214028938471</v>
      </c>
      <c r="F461" s="65">
        <f t="shared" si="8"/>
        <v>1.0785365528030237E-2</v>
      </c>
      <c r="G461" s="65">
        <f t="shared" si="8"/>
        <v>0.97874116266032385</v>
      </c>
      <c r="H461" s="65">
        <f t="shared" si="8"/>
        <v>2.1151690465795337E-2</v>
      </c>
    </row>
    <row r="462" spans="1:8">
      <c r="A462" s="499">
        <v>89</v>
      </c>
      <c r="B462" s="26">
        <v>1000.155572</v>
      </c>
      <c r="C462" s="10">
        <v>29.041609999999999</v>
      </c>
      <c r="D462" s="10">
        <v>22.310035806451612</v>
      </c>
      <c r="E462" s="10">
        <v>28.887184169339477</v>
      </c>
      <c r="F462" s="65">
        <f t="shared" si="8"/>
        <v>8.8124875615404238E-5</v>
      </c>
      <c r="G462" s="65">
        <f t="shared" si="8"/>
        <v>0.96225499277465676</v>
      </c>
      <c r="H462" s="65">
        <f t="shared" si="8"/>
        <v>1.1976711230896384E-4</v>
      </c>
    </row>
    <row r="463" spans="1:8">
      <c r="A463" s="499">
        <v>144</v>
      </c>
      <c r="B463" s="26">
        <v>1240.999159</v>
      </c>
      <c r="C463" s="10">
        <v>29.044177000000001</v>
      </c>
      <c r="D463" s="10">
        <v>22.75085018548388</v>
      </c>
      <c r="E463" s="10">
        <v>28.622595087259697</v>
      </c>
      <c r="F463" s="65">
        <f t="shared" si="8"/>
        <v>8.767659340964963E-5</v>
      </c>
      <c r="G463" s="65">
        <f t="shared" si="8"/>
        <v>0.93991828990163795</v>
      </c>
      <c r="H463" s="65">
        <f t="shared" si="8"/>
        <v>2.0258772271166805E-4</v>
      </c>
    </row>
    <row r="464" spans="1:8">
      <c r="A464" s="499">
        <v>399</v>
      </c>
      <c r="B464" s="26">
        <v>999.88487499999997</v>
      </c>
      <c r="C464" s="10">
        <v>26.705449999999999</v>
      </c>
      <c r="D464" s="10">
        <v>19.725552822580642</v>
      </c>
      <c r="E464" s="10">
        <v>26.337297730156564</v>
      </c>
      <c r="F464" s="65">
        <f t="shared" si="8"/>
        <v>9.0564694486357858E-3</v>
      </c>
      <c r="G464" s="65">
        <f t="shared" si="8"/>
        <v>0.97876057608633071</v>
      </c>
      <c r="H464" s="65">
        <f t="shared" si="8"/>
        <v>1.8634794262363693E-2</v>
      </c>
    </row>
    <row r="465" spans="1:8">
      <c r="A465" s="499">
        <v>372</v>
      </c>
      <c r="B465" s="26">
        <v>999.39421000000004</v>
      </c>
      <c r="C465" s="10">
        <v>28.682257</v>
      </c>
      <c r="D465" s="10">
        <v>21.8194186935484</v>
      </c>
      <c r="E465" s="10">
        <v>28.514911143171911</v>
      </c>
      <c r="F465" s="65">
        <f t="shared" si="8"/>
        <v>1.7994561656395385E-4</v>
      </c>
      <c r="G465" s="65">
        <f t="shared" si="8"/>
        <v>0.97252858509163786</v>
      </c>
      <c r="H465" s="65">
        <f t="shared" si="8"/>
        <v>2.5090625864999412E-4</v>
      </c>
    </row>
    <row r="466" spans="1:8">
      <c r="A466" s="499">
        <v>214</v>
      </c>
      <c r="B466" s="26">
        <v>1067.8182380000001</v>
      </c>
      <c r="C466" s="10">
        <v>29.666878000000001</v>
      </c>
      <c r="D466" s="10">
        <v>22.833054411290313</v>
      </c>
      <c r="E466" s="10">
        <v>29.378381289623643</v>
      </c>
      <c r="F466" s="65">
        <f t="shared" si="8"/>
        <v>2.5444059806123252E-5</v>
      </c>
      <c r="G466" s="65">
        <f t="shared" si="8"/>
        <v>0.93333039823666764</v>
      </c>
      <c r="H466" s="65">
        <f t="shared" si="8"/>
        <v>4.5135651130790013E-5</v>
      </c>
    </row>
    <row r="467" spans="1:8">
      <c r="A467" s="499">
        <v>262</v>
      </c>
      <c r="B467" s="26">
        <v>999.10749599999997</v>
      </c>
      <c r="C467" s="10">
        <v>25.72832</v>
      </c>
      <c r="D467" s="10">
        <v>19.573189556451627</v>
      </c>
      <c r="E467" s="10">
        <v>25.350652379073182</v>
      </c>
      <c r="F467" s="65">
        <f t="shared" si="8"/>
        <v>5.9809997953614191E-2</v>
      </c>
      <c r="G467" s="65">
        <f t="shared" si="8"/>
        <v>0.97878654369999329</v>
      </c>
      <c r="H467" s="65">
        <f t="shared" si="8"/>
        <v>0.11856802642159735</v>
      </c>
    </row>
    <row r="468" spans="1:8">
      <c r="A468" s="499">
        <v>75</v>
      </c>
      <c r="B468" s="26">
        <v>1000.837808</v>
      </c>
      <c r="C468" s="10">
        <v>29.856717</v>
      </c>
      <c r="D468" s="10">
        <v>22.94686518548388</v>
      </c>
      <c r="E468" s="10">
        <v>29.379363346348963</v>
      </c>
      <c r="F468" s="65">
        <f t="shared" si="8"/>
        <v>1.7449341670812924E-5</v>
      </c>
      <c r="G468" s="65">
        <f t="shared" si="8"/>
        <v>0.92244365977398823</v>
      </c>
      <c r="H468" s="65">
        <f t="shared" si="8"/>
        <v>4.5047670771267704E-5</v>
      </c>
    </row>
    <row r="469" spans="1:8">
      <c r="A469" s="499">
        <v>474</v>
      </c>
      <c r="B469" s="26">
        <v>1000.300881</v>
      </c>
      <c r="C469" s="10">
        <v>28.661266999999999</v>
      </c>
      <c r="D469" s="10">
        <v>22.272836354838706</v>
      </c>
      <c r="E469" s="10">
        <v>28.383889426728853</v>
      </c>
      <c r="F469" s="65">
        <f t="shared" si="8"/>
        <v>1.8760742129944746E-4</v>
      </c>
      <c r="G469" s="65">
        <f t="shared" si="8"/>
        <v>0.96341936738417178</v>
      </c>
      <c r="H469" s="65">
        <f t="shared" si="8"/>
        <v>3.2548893525988524E-4</v>
      </c>
    </row>
    <row r="470" spans="1:8">
      <c r="A470" s="499">
        <v>337</v>
      </c>
      <c r="B470" s="26">
        <v>999.65326100000004</v>
      </c>
      <c r="C470" s="10">
        <v>28.079886999999999</v>
      </c>
      <c r="D470" s="10">
        <v>21.636896475806452</v>
      </c>
      <c r="E470" s="10">
        <v>27.50067790062139</v>
      </c>
      <c r="F470" s="65">
        <f t="shared" si="8"/>
        <v>5.9530330343727416E-4</v>
      </c>
      <c r="G470" s="65">
        <f t="shared" si="8"/>
        <v>0.97444573140629143</v>
      </c>
      <c r="H470" s="65">
        <f t="shared" si="8"/>
        <v>1.8791607628319822E-3</v>
      </c>
    </row>
    <row r="471" spans="1:8">
      <c r="A471" s="499">
        <v>200</v>
      </c>
      <c r="B471" s="26">
        <v>999.36442399999999</v>
      </c>
      <c r="C471" s="10">
        <v>25.90598</v>
      </c>
      <c r="D471" s="10">
        <v>19.689381411290324</v>
      </c>
      <c r="E471" s="10">
        <v>25.61112426976057</v>
      </c>
      <c r="F471" s="65">
        <f t="shared" si="8"/>
        <v>4.2799325375661501E-2</v>
      </c>
      <c r="G471" s="65">
        <f t="shared" si="8"/>
        <v>0.97876747015713927</v>
      </c>
      <c r="H471" s="65">
        <f t="shared" si="8"/>
        <v>7.4301689930303727E-2</v>
      </c>
    </row>
    <row r="472" spans="1:8">
      <c r="A472" s="499">
        <v>88</v>
      </c>
      <c r="B472" s="26">
        <v>1000.236705</v>
      </c>
      <c r="C472" s="10">
        <v>25.90598</v>
      </c>
      <c r="D472" s="10">
        <v>19.655012459677408</v>
      </c>
      <c r="E472" s="10">
        <v>25.55937577044828</v>
      </c>
      <c r="F472" s="65">
        <f t="shared" si="8"/>
        <v>4.2799325375661501E-2</v>
      </c>
      <c r="G472" s="65">
        <f t="shared" si="8"/>
        <v>0.97877357731061398</v>
      </c>
      <c r="H472" s="65">
        <f t="shared" si="8"/>
        <v>8.1676456064050815E-2</v>
      </c>
    </row>
    <row r="473" spans="1:8">
      <c r="A473" s="499">
        <v>64</v>
      </c>
      <c r="B473" s="26">
        <v>999.50562500000001</v>
      </c>
      <c r="C473" s="10">
        <v>26.261299999999999</v>
      </c>
      <c r="D473" s="10">
        <v>19.952438911290322</v>
      </c>
      <c r="E473" s="10">
        <v>24.934378802397347</v>
      </c>
      <c r="F473" s="65">
        <f t="shared" si="8"/>
        <v>2.1605138564361016E-2</v>
      </c>
      <c r="G473" s="65">
        <f t="shared" si="8"/>
        <v>0.97870395698081636</v>
      </c>
      <c r="H473" s="65">
        <f t="shared" si="8"/>
        <v>0.23456644815679401</v>
      </c>
    </row>
    <row r="474" spans="1:8">
      <c r="A474" s="499">
        <v>38</v>
      </c>
      <c r="B474" s="26">
        <v>999.82766500000002</v>
      </c>
      <c r="C474" s="10">
        <v>26.261299999999999</v>
      </c>
      <c r="D474" s="10">
        <v>20.048687903225808</v>
      </c>
      <c r="E474" s="10">
        <v>25.020254026675087</v>
      </c>
      <c r="F474" s="65">
        <f t="shared" si="8"/>
        <v>2.1605138564361016E-2</v>
      </c>
      <c r="G474" s="65">
        <f t="shared" si="8"/>
        <v>0.97867107805020492</v>
      </c>
      <c r="H474" s="65">
        <f t="shared" si="8"/>
        <v>0.20549637766713047</v>
      </c>
    </row>
    <row r="475" spans="1:8">
      <c r="A475" s="499">
        <v>180</v>
      </c>
      <c r="B475" s="26">
        <v>919.67985899999996</v>
      </c>
      <c r="C475" s="10">
        <v>28.529593999999999</v>
      </c>
      <c r="D475" s="10">
        <v>22.208979483870976</v>
      </c>
      <c r="E475" s="10">
        <v>27.875268784703422</v>
      </c>
      <c r="F475" s="65">
        <f t="shared" si="8"/>
        <v>2.4369406264251902E-4</v>
      </c>
      <c r="G475" s="65">
        <f t="shared" si="8"/>
        <v>0.9652336212544812</v>
      </c>
      <c r="H475" s="65">
        <f t="shared" si="8"/>
        <v>8.936544529037911E-4</v>
      </c>
    </row>
    <row r="476" spans="1:8">
      <c r="A476" s="499">
        <v>378</v>
      </c>
      <c r="B476" s="26">
        <v>1000.118677</v>
      </c>
      <c r="C476" s="10">
        <v>26.794280000000001</v>
      </c>
      <c r="D476" s="10">
        <v>19.996593508064517</v>
      </c>
      <c r="E476" s="10">
        <v>26.586634951120615</v>
      </c>
      <c r="F476" s="65">
        <f t="shared" si="8"/>
        <v>7.6025392587247527E-3</v>
      </c>
      <c r="G476" s="65">
        <f t="shared" si="8"/>
        <v>0.97868965133784025</v>
      </c>
      <c r="H476" s="65">
        <f t="shared" si="8"/>
        <v>1.1439713094588688E-2</v>
      </c>
    </row>
    <row r="477" spans="1:8">
      <c r="A477" s="499">
        <v>374</v>
      </c>
      <c r="B477" s="26">
        <v>725.90938900000003</v>
      </c>
      <c r="C477" s="10">
        <v>26.138141999999998</v>
      </c>
      <c r="D477" s="10">
        <v>20.927595024193547</v>
      </c>
      <c r="E477" s="10">
        <v>25.74961988435868</v>
      </c>
      <c r="F477" s="65">
        <f t="shared" si="8"/>
        <v>2.7427102023392137E-2</v>
      </c>
      <c r="G477" s="65">
        <f t="shared" si="8"/>
        <v>0.97777784512658816</v>
      </c>
      <c r="H477" s="65">
        <f t="shared" si="8"/>
        <v>5.7477150805188296E-2</v>
      </c>
    </row>
    <row r="478" spans="1:8">
      <c r="A478" s="499">
        <v>80</v>
      </c>
      <c r="B478" s="26">
        <v>1120.2209439999999</v>
      </c>
      <c r="C478" s="10">
        <v>29.110348999999999</v>
      </c>
      <c r="D478" s="10">
        <v>22.45729133870967</v>
      </c>
      <c r="E478" s="10">
        <v>28.180226358912471</v>
      </c>
      <c r="F478" s="65">
        <f t="shared" si="8"/>
        <v>7.6875693582149313E-5</v>
      </c>
      <c r="G478" s="65">
        <f t="shared" si="8"/>
        <v>0.95673882510989117</v>
      </c>
      <c r="H478" s="65">
        <f t="shared" si="8"/>
        <v>4.8775734396030806E-4</v>
      </c>
    </row>
    <row r="479" spans="1:8">
      <c r="A479" s="499">
        <v>240</v>
      </c>
      <c r="B479" s="26">
        <v>722.94109800000001</v>
      </c>
      <c r="C479" s="10">
        <v>28.380026000000001</v>
      </c>
      <c r="D479" s="10">
        <v>22.279427209677412</v>
      </c>
      <c r="E479" s="10">
        <v>28.120285684107728</v>
      </c>
      <c r="F479" s="65">
        <f t="shared" si="8"/>
        <v>3.2799622406486513E-4</v>
      </c>
      <c r="G479" s="65">
        <f t="shared" si="8"/>
        <v>0.96321909036788045</v>
      </c>
      <c r="H479" s="65">
        <f t="shared" si="8"/>
        <v>5.4941294538909133E-4</v>
      </c>
    </row>
    <row r="480" spans="1:8">
      <c r="A480" s="499">
        <v>425</v>
      </c>
      <c r="B480" s="26">
        <v>999.92338600000005</v>
      </c>
      <c r="C480" s="10">
        <v>28.276401</v>
      </c>
      <c r="D480" s="10">
        <v>21.940640717741939</v>
      </c>
      <c r="E480" s="10">
        <v>27.921628291101122</v>
      </c>
      <c r="F480" s="65">
        <f t="shared" si="8"/>
        <v>4.0295166311835246E-4</v>
      </c>
      <c r="G480" s="65">
        <f t="shared" si="8"/>
        <v>0.9708184794760909</v>
      </c>
      <c r="H480" s="65">
        <f t="shared" si="8"/>
        <v>8.1508177243465665E-4</v>
      </c>
    </row>
    <row r="481" spans="1:8">
      <c r="A481" s="499">
        <v>22</v>
      </c>
      <c r="B481" s="26">
        <v>604.68997200000001</v>
      </c>
      <c r="C481" s="10">
        <v>29.392731999999999</v>
      </c>
      <c r="D481" s="10">
        <v>22.746158612903233</v>
      </c>
      <c r="E481" s="10">
        <v>28.242761833052707</v>
      </c>
      <c r="F481" s="65">
        <f t="shared" si="8"/>
        <v>4.3866919229553928E-5</v>
      </c>
      <c r="G481" s="65">
        <f t="shared" si="8"/>
        <v>0.94026535727553084</v>
      </c>
      <c r="H481" s="65">
        <f t="shared" si="8"/>
        <v>4.3079199643494457E-4</v>
      </c>
    </row>
    <row r="482" spans="1:8">
      <c r="A482" s="499">
        <v>51</v>
      </c>
      <c r="B482" s="26">
        <v>1000.322087</v>
      </c>
      <c r="C482" s="10">
        <v>29.333949</v>
      </c>
      <c r="D482" s="10">
        <v>22.732830854838699</v>
      </c>
      <c r="E482" s="10">
        <v>28.038002091030517</v>
      </c>
      <c r="F482" s="65">
        <f t="shared" si="8"/>
        <v>4.9301282145833492E-5</v>
      </c>
      <c r="G482" s="65">
        <f t="shared" si="8"/>
        <v>0.94123519090210694</v>
      </c>
      <c r="H482" s="65">
        <f t="shared" si="8"/>
        <v>6.4693046511544072E-4</v>
      </c>
    </row>
    <row r="483" spans="1:8">
      <c r="A483" s="499">
        <v>434</v>
      </c>
      <c r="B483" s="26">
        <v>1000.421721</v>
      </c>
      <c r="C483" s="10">
        <v>26.261299999999999</v>
      </c>
      <c r="D483" s="10">
        <v>19.804309475806466</v>
      </c>
      <c r="E483" s="10">
        <v>25.24761285396653</v>
      </c>
      <c r="F483" s="65">
        <f t="shared" si="8"/>
        <v>2.1605138564361016E-2</v>
      </c>
      <c r="G483" s="65">
        <f t="shared" si="8"/>
        <v>0.97874373686875449</v>
      </c>
      <c r="H483" s="65">
        <f t="shared" si="8"/>
        <v>0.14160864106852405</v>
      </c>
    </row>
    <row r="484" spans="1:8">
      <c r="A484" s="499">
        <v>177</v>
      </c>
      <c r="B484" s="26">
        <v>1192.4855190000001</v>
      </c>
      <c r="C484" s="10">
        <v>26.52779</v>
      </c>
      <c r="D484" s="10">
        <v>19.891767620967741</v>
      </c>
      <c r="E484" s="10">
        <v>25.923483273173673</v>
      </c>
      <c r="F484" s="65">
        <f t="shared" si="8"/>
        <v>1.2839941169738548E-2</v>
      </c>
      <c r="G484" s="65">
        <f t="shared" si="8"/>
        <v>0.97872167543190003</v>
      </c>
      <c r="H484" s="65">
        <f t="shared" si="8"/>
        <v>4.139834404762565E-2</v>
      </c>
    </row>
    <row r="485" spans="1:8">
      <c r="A485" s="499">
        <v>335</v>
      </c>
      <c r="B485" s="26">
        <v>907.17723699999999</v>
      </c>
      <c r="C485" s="10">
        <v>29.666878000000001</v>
      </c>
      <c r="D485" s="10">
        <v>22.853531225806442</v>
      </c>
      <c r="E485" s="10">
        <v>29.413962203078402</v>
      </c>
      <c r="F485" s="65">
        <f t="shared" si="8"/>
        <v>2.5444059806123252E-5</v>
      </c>
      <c r="G485" s="65">
        <f t="shared" si="8"/>
        <v>0.93153123417000994</v>
      </c>
      <c r="H485" s="65">
        <f t="shared" si="8"/>
        <v>4.2055086146564752E-5</v>
      </c>
    </row>
    <row r="486" spans="1:8">
      <c r="A486" s="499">
        <v>464</v>
      </c>
      <c r="B486" s="26">
        <v>1000.333602</v>
      </c>
      <c r="C486" s="10">
        <v>26.52779</v>
      </c>
      <c r="D486" s="10">
        <v>19.594455120967737</v>
      </c>
      <c r="E486" s="10">
        <v>26.124179145094821</v>
      </c>
      <c r="F486" s="65">
        <f t="shared" si="8"/>
        <v>1.2839941169738548E-2</v>
      </c>
      <c r="G486" s="65">
        <f t="shared" si="8"/>
        <v>0.9787833737507845</v>
      </c>
      <c r="H486" s="65">
        <f t="shared" si="8"/>
        <v>2.8176445229816389E-2</v>
      </c>
    </row>
    <row r="487" spans="1:8">
      <c r="A487" s="499">
        <v>340</v>
      </c>
      <c r="B487" s="26">
        <v>1000.555668</v>
      </c>
      <c r="C487" s="10">
        <v>26.261299999999999</v>
      </c>
      <c r="D487" s="10">
        <v>19.98093064516129</v>
      </c>
      <c r="E487" s="10">
        <v>25.024558482432951</v>
      </c>
      <c r="F487" s="65">
        <f t="shared" si="8"/>
        <v>2.1605138564361016E-2</v>
      </c>
      <c r="G487" s="65">
        <f t="shared" si="8"/>
        <v>0.97869487012402734</v>
      </c>
      <c r="H487" s="65">
        <f t="shared" si="8"/>
        <v>0.20411128141888327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1</vt:i4>
      </vt:variant>
    </vt:vector>
  </HeadingPairs>
  <TitlesOfParts>
    <vt:vector size="31" baseType="lpstr">
      <vt:lpstr>InputFile (stoch) (noKelts)</vt:lpstr>
      <vt:lpstr>InputFile (stoch) (noRes)</vt:lpstr>
      <vt:lpstr>HeaderFile</vt:lpstr>
      <vt:lpstr>InputFile (stoch)</vt:lpstr>
      <vt:lpstr>Inits</vt:lpstr>
      <vt:lpstr>InputFile (sensi) (sigma)</vt:lpstr>
      <vt:lpstr>Cap.egg</vt:lpstr>
      <vt:lpstr>Cap.juv</vt:lpstr>
      <vt:lpstr>Temp-Surv</vt:lpstr>
      <vt:lpstr>Cap.juvHS</vt:lpstr>
      <vt:lpstr>S.egg</vt:lpstr>
      <vt:lpstr>S.fry</vt:lpstr>
      <vt:lpstr>S.parr</vt:lpstr>
      <vt:lpstr>S.smolt (sf)</vt:lpstr>
      <vt:lpstr>S.AdOcn</vt:lpstr>
      <vt:lpstr>S.AdRvr</vt:lpstr>
      <vt:lpstr>S.kelt</vt:lpstr>
      <vt:lpstr>e (sf)</vt:lpstr>
      <vt:lpstr>m</vt:lpstr>
      <vt:lpstr>f</vt:lpstr>
      <vt:lpstr>e</vt:lpstr>
      <vt:lpstr>e (sf&amp;mf)</vt:lpstr>
      <vt:lpstr>ValidationData</vt:lpstr>
      <vt:lpstr>TablesForMS</vt:lpstr>
      <vt:lpstr>FullParmList</vt:lpstr>
      <vt:lpstr>scratch</vt:lpstr>
      <vt:lpstr>LitVals</vt:lpstr>
      <vt:lpstr>S.smolt</vt:lpstr>
      <vt:lpstr>S.smolt (sf&amp;mf)</vt:lpstr>
      <vt:lpstr>InputFile (determ)</vt:lpstr>
      <vt:lpstr>Cap.juvHS!Print_Area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dc:creator>
  <cp:lastModifiedBy>Peter</cp:lastModifiedBy>
  <cp:lastPrinted>2015-10-28T22:27:54Z</cp:lastPrinted>
  <dcterms:created xsi:type="dcterms:W3CDTF">2015-03-06T18:00:02Z</dcterms:created>
  <dcterms:modified xsi:type="dcterms:W3CDTF">2015-12-10T22:55:24Z</dcterms:modified>
</cp:coreProperties>
</file>