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 codeName="ThisWorkbook"/>
  <xr:revisionPtr revIDLastSave="0" documentId="13_ncr:1_{B85B5985-B1A8-C447-A172-44787B126F21}" xr6:coauthVersionLast="47" xr6:coauthVersionMax="47" xr10:uidLastSave="{00000000-0000-0000-0000-000000000000}"/>
  <bookViews>
    <workbookView xWindow="0" yWindow="500" windowWidth="51840" windowHeight="21240" activeTab="3" xr2:uid="{00000000-000D-0000-FFFF-FFFF00000000}"/>
  </bookViews>
  <sheets>
    <sheet name="Invoice" sheetId="1" r:id="rId1"/>
    <sheet name="Customers" sheetId="3" r:id="rId2"/>
    <sheet name="Invoices - Main" sheetId="2" r:id="rId3"/>
    <sheet name="Invoice Details" sheetId="4" r:id="rId4"/>
  </sheets>
  <definedNames>
    <definedName name="CompanyName">Invoice!$B$1</definedName>
    <definedName name="CustomerLookup">CustomerList[Lookup]</definedName>
    <definedName name="Invoice_No">InvoicesMain[Invoice '#]</definedName>
    <definedName name="InvoiceNoDetails">"InvoiceDetails[Invoice No]"</definedName>
    <definedName name="_xlnm.Print_Titles" localSheetId="1">Customers!$1:$3</definedName>
    <definedName name="_xlnm.Print_Titles" localSheetId="3">'Invoice Details'!$1:$3</definedName>
    <definedName name="_xlnm.Print_Titles" localSheetId="2">'Invoices - Main'!$1:$3</definedName>
    <definedName name="rngInvoice">Invoice!$G$4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1" i="4" l="1"/>
  <c r="I50" i="2"/>
  <c r="J50" i="2" s="1"/>
  <c r="B38" i="3"/>
  <c r="H60" i="4"/>
  <c r="I49" i="2"/>
  <c r="J49" i="2" s="1"/>
  <c r="B36" i="3"/>
  <c r="H59" i="4"/>
  <c r="I48" i="2" s="1"/>
  <c r="J48" i="2" s="1"/>
  <c r="B35" i="3"/>
  <c r="H55" i="4"/>
  <c r="I47" i="2"/>
  <c r="J47" i="2" s="1"/>
  <c r="B34" i="3"/>
  <c r="H57" i="4"/>
  <c r="I46" i="2"/>
  <c r="J46" i="2" s="1"/>
  <c r="B39" i="3"/>
  <c r="H56" i="4"/>
  <c r="I45" i="2" s="1"/>
  <c r="J45" i="2" s="1"/>
  <c r="B33" i="3"/>
  <c r="F58" i="4"/>
  <c r="H58" i="4" s="1"/>
  <c r="I51" i="2" s="1"/>
  <c r="J51" i="2" s="1"/>
  <c r="H53" i="4"/>
  <c r="I42" i="2"/>
  <c r="J42" i="2" s="1"/>
  <c r="H54" i="4"/>
  <c r="I43" i="2" s="1"/>
  <c r="J43" i="2" s="1"/>
  <c r="H51" i="4"/>
  <c r="I40" i="2" s="1"/>
  <c r="J40" i="2" s="1"/>
  <c r="B37" i="3"/>
  <c r="H52" i="4"/>
  <c r="I39" i="2" s="1"/>
  <c r="J39" i="2" s="1"/>
  <c r="B31" i="3"/>
  <c r="H50" i="4"/>
  <c r="I34" i="2" s="1"/>
  <c r="J34" i="2" s="1"/>
  <c r="H62" i="4"/>
  <c r="I33" i="2"/>
  <c r="J33" i="2" s="1"/>
  <c r="B29" i="3"/>
  <c r="H47" i="4"/>
  <c r="I41" i="2" s="1"/>
  <c r="J41" i="2" s="1"/>
  <c r="B28" i="3"/>
  <c r="H48" i="4"/>
  <c r="I37" i="2" s="1"/>
  <c r="J37" i="2" s="1"/>
  <c r="B30" i="3"/>
  <c r="H46" i="4"/>
  <c r="I36" i="2" s="1"/>
  <c r="J36" i="2" s="1"/>
  <c r="B27" i="3"/>
  <c r="H44" i="4"/>
  <c r="I35" i="2" s="1"/>
  <c r="J35" i="2" s="1"/>
  <c r="B25" i="3"/>
  <c r="H43" i="4"/>
  <c r="I31" i="2" s="1"/>
  <c r="J31" i="2" s="1"/>
  <c r="B26" i="3"/>
  <c r="H45" i="4"/>
  <c r="I30" i="2" s="1"/>
  <c r="J30" i="2" s="1"/>
  <c r="B23" i="3"/>
  <c r="H42" i="4"/>
  <c r="I38" i="2" s="1"/>
  <c r="J38" i="2" s="1"/>
  <c r="B24" i="3"/>
  <c r="H40" i="4"/>
  <c r="I29" i="2" s="1"/>
  <c r="J29" i="2" s="1"/>
  <c r="B32" i="3"/>
  <c r="H39" i="4"/>
  <c r="I28" i="2" s="1"/>
  <c r="J28" i="2" s="1"/>
  <c r="H38" i="4"/>
  <c r="I27" i="2" s="1"/>
  <c r="J27" i="2" s="1"/>
  <c r="B21" i="3"/>
  <c r="B20" i="3"/>
  <c r="H37" i="4"/>
  <c r="I25" i="2" s="1"/>
  <c r="J25" i="2" s="1"/>
  <c r="B17" i="3"/>
  <c r="F34" i="4"/>
  <c r="H34" i="4" s="1"/>
  <c r="B18" i="3"/>
  <c r="B15" i="3"/>
  <c r="H31" i="4"/>
  <c r="I22" i="2" s="1"/>
  <c r="J22" i="2" s="1"/>
  <c r="B16" i="3"/>
  <c r="E12" i="1" a="1"/>
  <c r="E12" i="1" s="1"/>
  <c r="F12" i="1" a="1"/>
  <c r="F12" i="1" s="1"/>
  <c r="D14" i="1" a="1"/>
  <c r="D14" i="1" s="1"/>
  <c r="E14" i="1" a="1"/>
  <c r="E14" i="1" s="1"/>
  <c r="F14" i="1" a="1"/>
  <c r="F14" i="1" s="1"/>
  <c r="D9" i="1" a="1"/>
  <c r="D9" i="1" s="1"/>
  <c r="F9" i="1" a="1"/>
  <c r="F9" i="1" s="1"/>
  <c r="D10" i="1" a="1"/>
  <c r="D10" i="1" s="1"/>
  <c r="E10" i="1" a="1"/>
  <c r="E10" i="1" s="1"/>
  <c r="F10" i="1" a="1"/>
  <c r="F10" i="1" s="1"/>
  <c r="D11" i="1" a="1"/>
  <c r="D11" i="1" s="1"/>
  <c r="E11" i="1" a="1"/>
  <c r="E11" i="1" s="1"/>
  <c r="F11" i="1" a="1"/>
  <c r="F11" i="1" s="1"/>
  <c r="D13" i="1" a="1"/>
  <c r="D13" i="1" s="1"/>
  <c r="E13" i="1" a="1"/>
  <c r="E13" i="1" s="1"/>
  <c r="F13" i="1" a="1"/>
  <c r="F13" i="1" s="1"/>
  <c r="G18" i="1"/>
  <c r="G19" i="1"/>
  <c r="H30" i="4"/>
  <c r="I44" i="2" s="1"/>
  <c r="J44" i="2" s="1"/>
  <c r="B19" i="3"/>
  <c r="B14" i="3"/>
  <c r="B12" i="3"/>
  <c r="B11" i="3"/>
  <c r="B13" i="3"/>
  <c r="B10" i="3"/>
  <c r="B22" i="3"/>
  <c r="B9" i="3"/>
  <c r="C12" i="1" a="1"/>
  <c r="C12" i="1" s="1"/>
  <c r="B12" i="1" a="1"/>
  <c r="B12" i="1" s="1"/>
  <c r="B8" i="3"/>
  <c r="B7" i="3"/>
  <c r="B6" i="3"/>
  <c r="B5" i="3"/>
  <c r="G5" i="1"/>
  <c r="C53" i="2"/>
  <c r="G53" i="2"/>
  <c r="H53" i="2"/>
  <c r="C41" i="3"/>
  <c r="B14" i="1" a="1"/>
  <c r="B14" i="1" s="1"/>
  <c r="B13" i="1" a="1"/>
  <c r="B13" i="1" s="1"/>
  <c r="B11" i="1" a="1"/>
  <c r="B11" i="1" s="1"/>
  <c r="B10" i="1" a="1"/>
  <c r="B10" i="1" s="1"/>
  <c r="B9" i="1" a="1"/>
  <c r="B9" i="1" s="1"/>
  <c r="C14" i="1" a="1"/>
  <c r="C14" i="1" s="1"/>
  <c r="C13" i="1" a="1"/>
  <c r="C13" i="1" s="1"/>
  <c r="C11" i="1" a="1"/>
  <c r="C11" i="1" s="1"/>
  <c r="H28" i="4"/>
  <c r="H29" i="4"/>
  <c r="H32" i="4"/>
  <c r="I20" i="2" s="1"/>
  <c r="J20" i="2" s="1"/>
  <c r="H33" i="4"/>
  <c r="I21" i="2" s="1"/>
  <c r="J21" i="2" s="1"/>
  <c r="H35" i="4"/>
  <c r="H36" i="4"/>
  <c r="H41" i="4"/>
  <c r="I24" i="2" s="1"/>
  <c r="J24" i="2" s="1"/>
  <c r="H49" i="4"/>
  <c r="I26" i="2" s="1"/>
  <c r="J26" i="2" s="1"/>
  <c r="H63" i="4"/>
  <c r="I32" i="2" s="1"/>
  <c r="J32" i="2" s="1"/>
  <c r="H4" i="4"/>
  <c r="I4" i="2" s="1"/>
  <c r="J4" i="2" s="1"/>
  <c r="H5" i="4"/>
  <c r="H6" i="4"/>
  <c r="H7" i="4"/>
  <c r="H8" i="4"/>
  <c r="I52" i="2" s="1"/>
  <c r="J52" i="2" s="1"/>
  <c r="H9" i="4"/>
  <c r="I7" i="2" s="1"/>
  <c r="J7" i="2" s="1"/>
  <c r="H10" i="4"/>
  <c r="I6" i="2" s="1"/>
  <c r="J6" i="2" s="1"/>
  <c r="H11" i="4"/>
  <c r="H12" i="4"/>
  <c r="H13" i="4"/>
  <c r="H14" i="4"/>
  <c r="H15" i="4"/>
  <c r="I9" i="2" s="1"/>
  <c r="J9" i="2" s="1"/>
  <c r="H16" i="4"/>
  <c r="I10" i="2" s="1"/>
  <c r="H17" i="4"/>
  <c r="I11" i="2" s="1"/>
  <c r="J11" i="2" s="1"/>
  <c r="H18" i="4"/>
  <c r="H19" i="4"/>
  <c r="H20" i="4"/>
  <c r="H21" i="4"/>
  <c r="H22" i="4"/>
  <c r="H23" i="4"/>
  <c r="I18" i="2" s="1"/>
  <c r="J18" i="2" s="1"/>
  <c r="H24" i="4"/>
  <c r="I14" i="2" s="1"/>
  <c r="J14" i="2" s="1"/>
  <c r="H25" i="4"/>
  <c r="I15" i="2" s="1"/>
  <c r="J15" i="2" s="1"/>
  <c r="H26" i="4"/>
  <c r="I16" i="2" s="1"/>
  <c r="J16" i="2" s="1"/>
  <c r="H27" i="4"/>
  <c r="I17" i="2" s="1"/>
  <c r="J17" i="2" s="1"/>
  <c r="C9" i="1" a="1"/>
  <c r="C9" i="1" s="1"/>
  <c r="B40" i="3"/>
  <c r="B4" i="3"/>
  <c r="E9" i="1" l="1" a="1"/>
  <c r="E9" i="1" s="1"/>
  <c r="I13" i="2"/>
  <c r="J13" i="2" s="1"/>
  <c r="I19" i="2"/>
  <c r="J19" i="2" s="1"/>
  <c r="D6" i="1"/>
  <c r="D4" i="1"/>
  <c r="I5" i="2"/>
  <c r="J5" i="2" s="1"/>
  <c r="I8" i="2"/>
  <c r="J8" i="2" s="1"/>
  <c r="I12" i="2"/>
  <c r="J12" i="2" s="1"/>
  <c r="I23" i="2"/>
  <c r="J23" i="2" s="1"/>
  <c r="G13" i="1"/>
  <c r="G10" i="1"/>
  <c r="G11" i="1"/>
  <c r="G9" i="1"/>
  <c r="J10" i="2"/>
  <c r="G12" i="1"/>
  <c r="G14" i="1"/>
  <c r="D5" i="1"/>
  <c r="J53" i="2" l="1"/>
  <c r="I53" i="2"/>
  <c r="G15" i="1"/>
  <c r="G17" i="1" l="1"/>
  <c r="G20" i="1" s="1"/>
</calcChain>
</file>

<file path=xl/sharedStrings.xml><?xml version="1.0" encoding="utf-8"?>
<sst xmlns="http://schemas.openxmlformats.org/spreadsheetml/2006/main" count="328" uniqueCount="273">
  <si>
    <t>FANGXIN PLUMBING LTD</t>
    <phoneticPr fontId="1" type="noConversion"/>
  </si>
  <si>
    <t>8900 DEMOREST DR.</t>
    <phoneticPr fontId="1" type="noConversion"/>
  </si>
  <si>
    <t>P: (604) 388-9995</t>
    <phoneticPr fontId="1" type="noConversion"/>
  </si>
  <si>
    <t>Email:PETERLJF@GMAIL.COM</t>
    <phoneticPr fontId="1" type="noConversion"/>
  </si>
  <si>
    <t>V7A4M1</t>
    <phoneticPr fontId="1" type="noConversion"/>
  </si>
  <si>
    <t>GST#:759154495RT0001</t>
    <phoneticPr fontId="1" type="noConversion"/>
  </si>
  <si>
    <t>Invoice #:</t>
  </si>
  <si>
    <t>2023102901</t>
  </si>
  <si>
    <t>Invoice Date:</t>
  </si>
  <si>
    <t>Item #</t>
  </si>
  <si>
    <t>Description</t>
  </si>
  <si>
    <t>Qty</t>
  </si>
  <si>
    <t>Unit Price</t>
  </si>
  <si>
    <t>Discount</t>
  </si>
  <si>
    <t>Price</t>
  </si>
  <si>
    <t>Invoice Subtotal</t>
  </si>
  <si>
    <t>Tax Rate</t>
  </si>
  <si>
    <t>Sales Tax</t>
  </si>
  <si>
    <t>Other</t>
  </si>
  <si>
    <t>Deposit Received</t>
  </si>
  <si>
    <t>TOTAL</t>
  </si>
  <si>
    <t>2024041801</t>
  </si>
  <si>
    <t>Address:</t>
  </si>
  <si>
    <t>Customers</t>
  </si>
  <si>
    <t>Lookup</t>
  </si>
  <si>
    <t>Company #</t>
  </si>
  <si>
    <t>Company Name</t>
  </si>
  <si>
    <t>Contact Name</t>
  </si>
  <si>
    <t>Address</t>
  </si>
  <si>
    <t>City</t>
  </si>
  <si>
    <t>State</t>
  </si>
  <si>
    <t>ZIP Code</t>
  </si>
  <si>
    <t>Phone</t>
  </si>
  <si>
    <t>Email</t>
  </si>
  <si>
    <t>Fax</t>
  </si>
  <si>
    <t>HESTIA SUPREME FOOD INC.</t>
    <phoneticPr fontId="20" type="noConversion"/>
  </si>
  <si>
    <t>2209 W 1ST.,VAN</t>
    <phoneticPr fontId="20" type="noConversion"/>
  </si>
  <si>
    <t>Jing Tan Grill House</t>
    <phoneticPr fontId="20" type="noConversion"/>
  </si>
  <si>
    <t>5960 Minoru Blvd #140, Richmond, BC V6X 3J3</t>
  </si>
  <si>
    <t>7720 SUNNYHOLME CR.</t>
    <phoneticPr fontId="20" type="noConversion"/>
  </si>
  <si>
    <t>3059 W 16TH AVE.</t>
    <phoneticPr fontId="20" type="noConversion"/>
  </si>
  <si>
    <t>990  E 11TH AVE.</t>
    <phoneticPr fontId="20" type="noConversion"/>
  </si>
  <si>
    <t>1126 ROBSON ST. ,VAN</t>
  </si>
  <si>
    <t>209 RONSOVAL CRESCENT</t>
    <phoneticPr fontId="20" type="noConversion"/>
  </si>
  <si>
    <t>9160 Steveston HWY</t>
    <phoneticPr fontId="20" type="noConversion"/>
  </si>
  <si>
    <t>907 HARRIS AVE</t>
    <phoneticPr fontId="20" type="noConversion"/>
  </si>
  <si>
    <t>1540 YEW ST. VAN</t>
    <phoneticPr fontId="20" type="noConversion"/>
  </si>
  <si>
    <t>201-609 stamp landing, Vancouver</t>
    <phoneticPr fontId="20" type="noConversion"/>
  </si>
  <si>
    <t xml:space="preserve">2169 DORSET AVE. </t>
    <phoneticPr fontId="20" type="noConversion"/>
  </si>
  <si>
    <t>3280 Jesmond Ave</t>
  </si>
  <si>
    <t>6136 48A AVE. DELTA</t>
  </si>
  <si>
    <t>7220 MAIN ST.</t>
    <phoneticPr fontId="20" type="noConversion"/>
  </si>
  <si>
    <t>1168 ALBERNI ST.</t>
    <phoneticPr fontId="20" type="noConversion"/>
  </si>
  <si>
    <t>11731 Alderwood CR. Delta</t>
    <phoneticPr fontId="20" type="noConversion"/>
  </si>
  <si>
    <t>610 GARROW DRIVE</t>
    <phoneticPr fontId="20" type="noConversion"/>
  </si>
  <si>
    <t>5890 PATRICK ST. BURNABY</t>
    <phoneticPr fontId="20" type="noConversion"/>
  </si>
  <si>
    <t>???</t>
    <phoneticPr fontId="20" type="noConversion"/>
  </si>
  <si>
    <t>6135 48A AVE., DELTA</t>
    <phoneticPr fontId="20" type="noConversion"/>
  </si>
  <si>
    <t>4581 Carson Pl burnaby</t>
    <phoneticPr fontId="20" type="noConversion"/>
  </si>
  <si>
    <t>9120 Wilberforce St. Burnaby</t>
    <phoneticPr fontId="20" type="noConversion"/>
  </si>
  <si>
    <t>4083 Fir St
Burnaby BC</t>
    <phoneticPr fontId="20" type="noConversion"/>
  </si>
  <si>
    <t>4581 Carson Pl burnaby  BC V5J 2Y6</t>
    <phoneticPr fontId="20" type="noConversion"/>
  </si>
  <si>
    <t xml:space="preserve">1068 KINGSWAY </t>
    <phoneticPr fontId="20" type="noConversion"/>
  </si>
  <si>
    <t>1578 CHIPPENDALE RD.</t>
    <phoneticPr fontId="20" type="noConversion"/>
  </si>
  <si>
    <t>DEVELOPER CHOOSE PLUMBING &amp; HEATING LTD.</t>
    <phoneticPr fontId="20" type="noConversion"/>
  </si>
  <si>
    <t>??</t>
    <phoneticPr fontId="20" type="noConversion"/>
  </si>
  <si>
    <t>ERA ENTERPRICE LTD</t>
    <phoneticPr fontId="20" type="noConversion"/>
  </si>
  <si>
    <t>Total</t>
  </si>
  <si>
    <t>Invoices</t>
  </si>
  <si>
    <t>Invoice #</t>
  </si>
  <si>
    <t>Company</t>
  </si>
  <si>
    <t>Invoice Date</t>
  </si>
  <si>
    <t>Project Description</t>
  </si>
  <si>
    <t>Deposit</t>
  </si>
  <si>
    <t>Detail Total</t>
  </si>
  <si>
    <t>Invoice Total</t>
  </si>
  <si>
    <t>Notes</t>
  </si>
  <si>
    <t>2022082201</t>
    <phoneticPr fontId="20" type="noConversion"/>
  </si>
  <si>
    <t>1 - HESTIA SUPREME FOOD INC.</t>
  </si>
  <si>
    <t>2022090501</t>
    <phoneticPr fontId="20" type="noConversion"/>
  </si>
  <si>
    <t>2 - ERA ENTERPRICE LTD</t>
  </si>
  <si>
    <t>2022091303</t>
    <phoneticPr fontId="20" type="noConversion"/>
  </si>
  <si>
    <t>5 - 3059 W 16TH AVE.</t>
  </si>
  <si>
    <t>2022091302</t>
    <phoneticPr fontId="20" type="noConversion"/>
  </si>
  <si>
    <t>4 - 7720 SUNNYHOLME CR.</t>
  </si>
  <si>
    <t>2022091401</t>
    <phoneticPr fontId="20" type="noConversion"/>
  </si>
  <si>
    <t>6 - 990  E 11TH AVE.</t>
  </si>
  <si>
    <t>2022092101</t>
    <phoneticPr fontId="20" type="noConversion"/>
  </si>
  <si>
    <t>7 - 1126 ROBSON ST. ,VAN</t>
  </si>
  <si>
    <t>2022092102</t>
    <phoneticPr fontId="20" type="noConversion"/>
  </si>
  <si>
    <t>8 - 5890 PATRICK ST. BURNABY</t>
  </si>
  <si>
    <t>2022092401</t>
    <phoneticPr fontId="20" type="noConversion"/>
  </si>
  <si>
    <t>9 - 209 RONSOVAL CRESCENT</t>
  </si>
  <si>
    <t>2022111201</t>
    <phoneticPr fontId="20" type="noConversion"/>
  </si>
  <si>
    <t>11 - 9160 Steveston HWY</t>
  </si>
  <si>
    <t>2022100401</t>
    <phoneticPr fontId="20" type="noConversion"/>
  </si>
  <si>
    <t>10 - 1540 YEW ST. VAN</t>
  </si>
  <si>
    <t>2022120501</t>
    <phoneticPr fontId="20" type="noConversion"/>
  </si>
  <si>
    <t>2022121001</t>
    <phoneticPr fontId="20" type="noConversion"/>
  </si>
  <si>
    <t>13 - 201-609 stamp landing, Vancouver</t>
  </si>
  <si>
    <t>2022122001</t>
    <phoneticPr fontId="20" type="noConversion"/>
  </si>
  <si>
    <t>2022122101</t>
    <phoneticPr fontId="20" type="noConversion"/>
  </si>
  <si>
    <t>2022112201</t>
    <phoneticPr fontId="20" type="noConversion"/>
  </si>
  <si>
    <t>12 - 907 HARRIS AVE</t>
  </si>
  <si>
    <t>2023010501</t>
    <phoneticPr fontId="20" type="noConversion"/>
  </si>
  <si>
    <t>14 - 1168 ALBERNI ST.</t>
  </si>
  <si>
    <t>2023012601</t>
    <phoneticPr fontId="20" type="noConversion"/>
  </si>
  <si>
    <t xml:space="preserve">16 - 2169 DORSET AVE. </t>
  </si>
  <si>
    <t>1/26/2023</t>
    <phoneticPr fontId="20" type="noConversion"/>
  </si>
  <si>
    <t>2023012602</t>
    <phoneticPr fontId="20" type="noConversion"/>
  </si>
  <si>
    <t>17 - 7220 MAIN ST.</t>
  </si>
  <si>
    <t>2023011101</t>
  </si>
  <si>
    <t>15 - 3280 Jesmond Ave</t>
  </si>
  <si>
    <t>2023020301</t>
    <phoneticPr fontId="20" type="noConversion"/>
  </si>
  <si>
    <t>2/3/2023</t>
    <phoneticPr fontId="20" type="noConversion"/>
  </si>
  <si>
    <t>2023020601</t>
    <phoneticPr fontId="20" type="noConversion"/>
  </si>
  <si>
    <t>18 - 6136 48A AVE. DELTA</t>
  </si>
  <si>
    <t>2/6/2023</t>
    <phoneticPr fontId="20" type="noConversion"/>
  </si>
  <si>
    <t>2022121002</t>
  </si>
  <si>
    <t xml:space="preserve"> 6 - 990  E 11TH AVE.  </t>
  </si>
  <si>
    <t>12/10/2022</t>
  </si>
  <si>
    <t>2023021401</t>
    <phoneticPr fontId="20" type="noConversion"/>
  </si>
  <si>
    <t>19 - 11731 Alderwood CR. Delta</t>
    <phoneticPr fontId="20" type="noConversion"/>
  </si>
  <si>
    <t>02/14/2023</t>
    <phoneticPr fontId="20" type="noConversion"/>
  </si>
  <si>
    <t>2023021901</t>
    <phoneticPr fontId="20" type="noConversion"/>
  </si>
  <si>
    <t>20 - 610 GARROW DRIVE</t>
  </si>
  <si>
    <t>02/19/2023</t>
    <phoneticPr fontId="20" type="noConversion"/>
  </si>
  <si>
    <t>2023041401</t>
    <phoneticPr fontId="20" type="noConversion"/>
  </si>
  <si>
    <t>04/14/2023</t>
    <phoneticPr fontId="20" type="noConversion"/>
  </si>
  <si>
    <t>2023052401</t>
    <phoneticPr fontId="20" type="noConversion"/>
  </si>
  <si>
    <t>21 - ??</t>
  </si>
  <si>
    <t>05/24/2023</t>
    <phoneticPr fontId="20" type="noConversion"/>
  </si>
  <si>
    <t>2023091401</t>
    <phoneticPr fontId="20" type="noConversion"/>
  </si>
  <si>
    <t>23 - ???</t>
  </si>
  <si>
    <t>2023091901</t>
    <phoneticPr fontId="20" type="noConversion"/>
  </si>
  <si>
    <t>24 - 9120 Wilberforce St. Burnaby</t>
  </si>
  <si>
    <t>2023121901</t>
    <phoneticPr fontId="20" type="noConversion"/>
  </si>
  <si>
    <t xml:space="preserve">29 - 1068 KINGSWAY </t>
  </si>
  <si>
    <t>19/12/2023</t>
    <phoneticPr fontId="20" type="noConversion"/>
  </si>
  <si>
    <t>2023121902</t>
    <phoneticPr fontId="20" type="noConversion"/>
  </si>
  <si>
    <t>2023121903</t>
    <phoneticPr fontId="20" type="noConversion"/>
  </si>
  <si>
    <t>2023092401</t>
    <phoneticPr fontId="20" type="noConversion"/>
  </si>
  <si>
    <t>25 - 4581 Carson Pl burnaby</t>
  </si>
  <si>
    <t>2023100601</t>
    <phoneticPr fontId="20" type="noConversion"/>
  </si>
  <si>
    <t>26 - 4083 Fir St
Burnaby BC</t>
  </si>
  <si>
    <t>2023101201</t>
    <phoneticPr fontId="20" type="noConversion"/>
  </si>
  <si>
    <t>27 - 1578 CHIPPENDALE RD.</t>
  </si>
  <si>
    <t>2023082401</t>
    <phoneticPr fontId="20" type="noConversion"/>
  </si>
  <si>
    <t>22 - 6135 48A AVE., DELTA</t>
  </si>
  <si>
    <t>2024011101</t>
    <phoneticPr fontId="20" type="noConversion"/>
  </si>
  <si>
    <t>30 - DEVELOPER CHOOSE PLUMBING &amp; HEATING LTD.</t>
  </si>
  <si>
    <t>2024011102</t>
    <phoneticPr fontId="20" type="noConversion"/>
  </si>
  <si>
    <t>2023102901</t>
    <phoneticPr fontId="20" type="noConversion"/>
  </si>
  <si>
    <t>28 - 4581 Carson Pl burnaby  BC V5J 2Y6</t>
  </si>
  <si>
    <t>2023010502</t>
    <phoneticPr fontId="20" type="noConversion"/>
  </si>
  <si>
    <t>1/5/2023</t>
    <phoneticPr fontId="20" type="noConversion"/>
  </si>
  <si>
    <t>2022091301</t>
    <phoneticPr fontId="20" type="noConversion"/>
  </si>
  <si>
    <t>3 - Jing Tan Grill House</t>
  </si>
  <si>
    <t>Totals</t>
  </si>
  <si>
    <t>Invoice Details</t>
  </si>
  <si>
    <t>INSPECTION FEE</t>
    <phoneticPr fontId="20" type="noConversion"/>
  </si>
  <si>
    <t>2022082201</t>
  </si>
  <si>
    <t>FRESH HEATING WATER</t>
    <phoneticPr fontId="20" type="noConversion"/>
  </si>
  <si>
    <t>2022090501</t>
  </si>
  <si>
    <t>REPLACE CONTROL MODULE, CLEAN HEAT EXCHANGE AND IGNITOR</t>
    <phoneticPr fontId="20" type="noConversion"/>
  </si>
  <si>
    <t>REPAIR A RADIANT HEAT PIPE</t>
    <phoneticPr fontId="20" type="noConversion"/>
  </si>
  <si>
    <t>install A CUP WASHER</t>
    <phoneticPr fontId="20" type="noConversion"/>
  </si>
  <si>
    <t>2022091301</t>
  </si>
  <si>
    <t>REPLACE A PUMP</t>
    <phoneticPr fontId="20" type="noConversion"/>
  </si>
  <si>
    <t>2022091302</t>
  </si>
  <si>
    <t>REPLACE A P- TRAP FOR A BASIN</t>
    <phoneticPr fontId="20" type="noConversion"/>
  </si>
  <si>
    <t>2022091303</t>
  </si>
  <si>
    <t>REPLACE A HOT WATER TANK</t>
    <phoneticPr fontId="20" type="noConversion"/>
  </si>
  <si>
    <t>2022091401</t>
  </si>
  <si>
    <t>SUPPLY A HOT WATER TANK</t>
    <phoneticPr fontId="20" type="noConversion"/>
  </si>
  <si>
    <t>REPLACE A TOILET</t>
    <phoneticPr fontId="20" type="noConversion"/>
  </si>
  <si>
    <t>REPLACE A HOSE BITT</t>
    <phoneticPr fontId="20" type="noConversion"/>
  </si>
  <si>
    <t>DEPOSIT</t>
    <phoneticPr fontId="20" type="noConversion"/>
  </si>
  <si>
    <t>2022092101</t>
  </si>
  <si>
    <t>REPLACE A WATER MAIN LINE</t>
    <phoneticPr fontId="20" type="noConversion"/>
  </si>
  <si>
    <t>2022092102</t>
  </si>
  <si>
    <t>PLUMBING WORK</t>
    <phoneticPr fontId="20" type="noConversion"/>
  </si>
  <si>
    <t>2022092401</t>
  </si>
  <si>
    <t>REPLACE AND SUPPLY A LAVATORY POP-UP</t>
    <phoneticPr fontId="20" type="noConversion"/>
  </si>
  <si>
    <t>2022100401</t>
  </si>
  <si>
    <t>TIGHTEN AND SEAL A LOOSING KITCHEN FAUCET</t>
    <phoneticPr fontId="20" type="noConversion"/>
  </si>
  <si>
    <t>FIX A LEAKING DRAIN PIPE FOR THE LAVATORY</t>
    <phoneticPr fontId="20" type="noConversion"/>
  </si>
  <si>
    <t>REPLACE A LEAKING FITTING</t>
    <phoneticPr fontId="20" type="noConversion"/>
  </si>
  <si>
    <t>2022111201</t>
  </si>
  <si>
    <t>FIX A LEAKING SHUT-OFFS</t>
    <phoneticPr fontId="20" type="noConversion"/>
  </si>
  <si>
    <t>REPLAVE A FAUCET CARTRIDGE</t>
    <phoneticPr fontId="20" type="noConversion"/>
  </si>
  <si>
    <t>2022112201</t>
  </si>
  <si>
    <t>replace a shut-off</t>
    <phoneticPr fontId="20" type="noConversion"/>
  </si>
  <si>
    <t>2022120501</t>
  </si>
  <si>
    <t>replace a furnace:SN#2210251582</t>
    <phoneticPr fontId="20" type="noConversion"/>
  </si>
  <si>
    <t>2022121001</t>
  </si>
  <si>
    <t>UNDERGROUND</t>
    <phoneticPr fontId="20" type="noConversion"/>
  </si>
  <si>
    <t>2022122001</t>
  </si>
  <si>
    <t>ROUGH IN</t>
    <phoneticPr fontId="20" type="noConversion"/>
  </si>
  <si>
    <t>2022122101</t>
  </si>
  <si>
    <t>2023010501</t>
  </si>
  <si>
    <t>ADD 1 HAND SINK</t>
    <phoneticPr fontId="20" type="noConversion"/>
  </si>
  <si>
    <t>SUPPLY A GREASE INTERCEPTER</t>
    <phoneticPr fontId="20" type="noConversion"/>
  </si>
  <si>
    <t>2023010502</t>
  </si>
  <si>
    <t>Replace a main shutoff and fix two leaking pipe</t>
  </si>
  <si>
    <t xml:space="preserve">ADD 1 HEATING ZONE </t>
    <phoneticPr fontId="20" type="noConversion"/>
  </si>
  <si>
    <t>2023012601</t>
  </si>
  <si>
    <t>PLUMBNING FINISHING</t>
    <phoneticPr fontId="20" type="noConversion"/>
  </si>
  <si>
    <t>2023012602</t>
  </si>
  <si>
    <t xml:space="preserve">FINAL </t>
    <phoneticPr fontId="20" type="noConversion"/>
  </si>
  <si>
    <t>2023020301</t>
  </si>
  <si>
    <t>INSTALL TOILET</t>
    <phoneticPr fontId="20" type="noConversion"/>
  </si>
  <si>
    <t>INSTALL LAVATORTY</t>
    <phoneticPr fontId="20" type="noConversion"/>
  </si>
  <si>
    <t>REPAIR A LEAKING WASHER MACHINE</t>
    <phoneticPr fontId="20" type="noConversion"/>
  </si>
  <si>
    <t>REPLACE A Furnace</t>
    <phoneticPr fontId="20" type="noConversion"/>
  </si>
  <si>
    <t>2023021901</t>
  </si>
  <si>
    <t>revise a mop sink</t>
    <phoneticPr fontId="20" type="noConversion"/>
  </si>
  <si>
    <t>2023041401</t>
  </si>
  <si>
    <t>INSTALL A GAS LINE FOR A RANGE</t>
    <phoneticPr fontId="20" type="noConversion"/>
  </si>
  <si>
    <t>2023052401</t>
  </si>
  <si>
    <t>REPLACE A COMBI BOILER</t>
    <phoneticPr fontId="20" type="noConversion"/>
  </si>
  <si>
    <t>2023020601</t>
  </si>
  <si>
    <t>2023082401</t>
  </si>
  <si>
    <t>SUPPLY AND INSTALLATION OF  A HEAT PUMP</t>
    <phoneticPr fontId="20" type="noConversion"/>
  </si>
  <si>
    <t>2023091901</t>
  </si>
  <si>
    <t>2023092401</t>
  </si>
  <si>
    <t>2023091401</t>
  </si>
  <si>
    <t>2023100601</t>
  </si>
  <si>
    <t>2023101201</t>
  </si>
  <si>
    <t>PLUMBING REPORT</t>
    <phoneticPr fontId="20" type="noConversion"/>
  </si>
  <si>
    <t>2023021401</t>
  </si>
  <si>
    <t>SUPPLY A TOILET AND A SINK</t>
    <phoneticPr fontId="20" type="noConversion"/>
  </si>
  <si>
    <t>2023121903</t>
  </si>
  <si>
    <t>2024011102</t>
  </si>
  <si>
    <t>2024011101</t>
  </si>
  <si>
    <t>2023121902</t>
  </si>
  <si>
    <t>INSTALL WASHROOM FIXTURES</t>
    <phoneticPr fontId="20" type="noConversion"/>
  </si>
  <si>
    <t>2023121901</t>
  </si>
  <si>
    <t>PYRAMID PLUMBING AND HEATING LTD</t>
    <phoneticPr fontId="20" type="noConversion"/>
  </si>
  <si>
    <t>2024060101</t>
  </si>
  <si>
    <t>2024060101</t>
    <phoneticPr fontId="20" type="noConversion"/>
  </si>
  <si>
    <t>31 - PYRAMID PLUMBING AND HEATING LTD</t>
  </si>
  <si>
    <t>2024082801</t>
  </si>
  <si>
    <t>2024082801</t>
    <phoneticPr fontId="20" type="noConversion"/>
  </si>
  <si>
    <t>2124 London st</t>
    <phoneticPr fontId="20" type="noConversion"/>
  </si>
  <si>
    <t>2024093001</t>
  </si>
  <si>
    <t>2024093001</t>
    <phoneticPr fontId="20" type="noConversion"/>
  </si>
  <si>
    <t>32 - 2124 London st</t>
  </si>
  <si>
    <t>11320 Sealord Rd.</t>
    <phoneticPr fontId="20" type="noConversion"/>
  </si>
  <si>
    <t>2024101001</t>
  </si>
  <si>
    <t>2024101001</t>
    <phoneticPr fontId="20" type="noConversion"/>
  </si>
  <si>
    <t>33 - 11320 Sealord Rd.</t>
  </si>
  <si>
    <t>10/10/2024</t>
    <phoneticPr fontId="20" type="noConversion"/>
  </si>
  <si>
    <t>Supply and installation of a heat pump and furnace</t>
    <phoneticPr fontId="20" type="noConversion"/>
  </si>
  <si>
    <t>GJT ENTERPRISES LTD</t>
    <phoneticPr fontId="20" type="noConversion"/>
  </si>
  <si>
    <t>2024121301</t>
  </si>
  <si>
    <t>2024121301</t>
    <phoneticPr fontId="20" type="noConversion"/>
  </si>
  <si>
    <t>34 - GJT ENTERPRISES LTD</t>
  </si>
  <si>
    <t>2025011301</t>
  </si>
  <si>
    <t>2025011301</t>
    <phoneticPr fontId="20" type="noConversion"/>
  </si>
  <si>
    <t>6300 BIRCH ST. UNIT 73</t>
    <phoneticPr fontId="20" type="noConversion"/>
  </si>
  <si>
    <t>35 - 6300 BIRCH ST. UNIT 73</t>
  </si>
  <si>
    <t>INSTALL A TANKLESS WATER HEATER</t>
    <phoneticPr fontId="20" type="noConversion"/>
  </si>
  <si>
    <t>6300 BIRCH ST. UNIT 80</t>
    <phoneticPr fontId="20" type="noConversion"/>
  </si>
  <si>
    <t>2025011302</t>
  </si>
  <si>
    <t>2025011302</t>
    <phoneticPr fontId="20" type="noConversion"/>
  </si>
  <si>
    <t>36 - 6300 BIRCH ST. UNIT 80</t>
  </si>
  <si>
    <r>
      <t>Bill To</t>
    </r>
    <r>
      <rPr>
        <sz val="11"/>
        <color theme="4" tint="-0.499984740745262"/>
        <rFont val="宋体"/>
        <family val="2"/>
        <charset val="134"/>
      </rPr>
      <t>：</t>
    </r>
    <phoneticPr fontId="1" type="noConversion"/>
  </si>
  <si>
    <t>6111 sperling ave</t>
    <phoneticPr fontId="20" type="noConversion"/>
  </si>
  <si>
    <t>2025050601</t>
  </si>
  <si>
    <t>2025050601</t>
    <phoneticPr fontId="20" type="noConversion"/>
  </si>
  <si>
    <t>37 - 6111 sperling ave</t>
  </si>
  <si>
    <t>6111 sperling 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</si>
</sst>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1" formatCode="_(* #,##0_);_(* \(#,##0\);_(* &quot;-&quot;_);_(@_)"/>
    <numFmt numFmtId="43" formatCode="_(* #,##0.00_);_(* \(#,##0.00\);_(* &quot;-&quot;??_);_(@_)"/>
    <numFmt numFmtId="176" formatCode="&quot;$&quot;#,##0.00_);\(&quot;$&quot;#,##0.00\)"/>
    <numFmt numFmtId="177" formatCode="_(&quot;$&quot;* #,##0.00_);_(&quot;$&quot;* \(#,##0.00\);_(&quot;$&quot;* &quot;-&quot;??_);_(@_)"/>
    <numFmt numFmtId="178" formatCode="@\ \ "/>
    <numFmt numFmtId="179" formatCode="&quot;$&quot;#,##0.00"/>
    <numFmt numFmtId="180" formatCode="00000"/>
    <numFmt numFmtId="181" formatCode="_)@\ \ "/>
    <numFmt numFmtId="182" formatCode="_)#;_)#;_)#;_)@"/>
    <numFmt numFmtId="183" formatCode="0.00%_)"/>
    <numFmt numFmtId="184" formatCode="#_)"/>
    <numFmt numFmtId="185" formatCode="[&lt;=9999999]###\-####;\(###\)\ ###\-####"/>
    <numFmt numFmtId="186" formatCode="m/d/yyyy"/>
  </numFmts>
  <fonts count="23">
    <font>
      <sz val="11"/>
      <color theme="2" tint="-0.749961851863155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1"/>
      <scheme val="minor"/>
    </font>
    <font>
      <sz val="9"/>
      <name val="Calibri"/>
      <family val="2"/>
      <scheme val="minor"/>
    </font>
    <font>
      <sz val="14"/>
      <color theme="4" tint="-0.24994659260841701"/>
      <name val="Calibri"/>
      <family val="2"/>
    </font>
    <font>
      <sz val="12"/>
      <color theme="4" tint="-0.499984740745262"/>
      <name val="Calibri"/>
      <family val="2"/>
      <scheme val="minor"/>
    </font>
    <font>
      <b/>
      <sz val="25"/>
      <color theme="0"/>
      <name val="Arial"/>
      <family val="2"/>
      <scheme val="major"/>
    </font>
    <font>
      <sz val="11"/>
      <color theme="2" tint="-0.899960325937681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4"/>
      <color theme="4" tint="-0.24994659260841701"/>
      <name val="Arial"/>
      <family val="2"/>
      <scheme val="major"/>
    </font>
    <font>
      <sz val="12"/>
      <color theme="4" tint="-0.499984740745262"/>
      <name val="Arial"/>
      <family val="2"/>
      <scheme val="major"/>
    </font>
    <font>
      <sz val="10"/>
      <color theme="1" tint="4.9989318521683403E-2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sz val="11"/>
      <color theme="1" tint="0.14993743705557422"/>
      <name val="Calibri"/>
      <family val="2"/>
      <scheme val="minor"/>
    </font>
    <font>
      <sz val="11"/>
      <color theme="2" tint="-0.89989928891872917"/>
      <name val="Calibri"/>
      <family val="2"/>
      <scheme val="minor"/>
    </font>
    <font>
      <sz val="11"/>
      <color theme="4" tint="-0.24994659260841701"/>
      <name val="Arial"/>
      <family val="2"/>
      <scheme val="major"/>
    </font>
    <font>
      <sz val="11"/>
      <color theme="2" tint="-0.749992370372631"/>
      <name val="Calibri"/>
      <family val="2"/>
      <scheme val="minor"/>
    </font>
    <font>
      <sz val="11"/>
      <color theme="4" tint="-0.499984740745262"/>
      <name val="Arial"/>
      <family val="2"/>
      <scheme val="major"/>
    </font>
    <font>
      <sz val="9"/>
      <name val="宋体"/>
      <family val="3"/>
      <charset val="134"/>
      <scheme val="minor"/>
    </font>
    <font>
      <sz val="11"/>
      <color theme="3"/>
      <name val="Calibri"/>
      <family val="2"/>
      <scheme val="minor"/>
    </font>
    <font>
      <sz val="11"/>
      <color theme="4" tint="-0.499984740745262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2" tint="-0.499984740745262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ck">
        <color theme="2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/>
      <right/>
      <top/>
      <bottom style="thick">
        <color theme="4" tint="0.59996337778862885"/>
      </bottom>
      <diagonal/>
    </border>
  </borders>
  <cellStyleXfs count="13">
    <xf numFmtId="0" fontId="0" fillId="0" borderId="0" applyNumberFormat="0" applyFill="0" applyBorder="0">
      <alignment vertical="top" wrapText="1"/>
    </xf>
    <xf numFmtId="0" fontId="15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 wrapText="1"/>
    </xf>
    <xf numFmtId="0" fontId="7" fillId="5" borderId="8" applyNumberFormat="0" applyAlignment="0" applyProtection="0"/>
    <xf numFmtId="0" fontId="8" fillId="4" borderId="0" applyNumberFormat="0" applyBorder="0" applyAlignment="0" applyProtection="0"/>
    <xf numFmtId="0" fontId="11" fillId="0" borderId="0" applyFill="0" applyBorder="0" applyProtection="0">
      <alignment horizontal="left" vertical="center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9" fillId="0" borderId="7" applyNumberFormat="0" applyAlignment="0" applyProtection="0"/>
    <xf numFmtId="0" fontId="17" fillId="0" borderId="0" applyFill="0" applyBorder="0" applyProtection="0">
      <alignment horizontal="left" vertical="center"/>
    </xf>
  </cellStyleXfs>
  <cellXfs count="88">
    <xf numFmtId="0" fontId="0" fillId="0" borderId="0" xfId="0">
      <alignment vertical="top" wrapText="1"/>
    </xf>
    <xf numFmtId="179" fontId="0" fillId="0" borderId="0" xfId="0" applyNumberFormat="1">
      <alignment vertical="top" wrapText="1"/>
    </xf>
    <xf numFmtId="0" fontId="12" fillId="0" borderId="0" xfId="2" applyProtection="1">
      <alignment vertical="center"/>
    </xf>
    <xf numFmtId="0" fontId="2" fillId="0" borderId="0" xfId="0" applyFo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NumberFormat="1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2" xfId="0" applyFont="1" applyBorder="1" applyAlignment="1">
      <alignment horizontal="left" vertical="center"/>
    </xf>
    <xf numFmtId="0" fontId="7" fillId="5" borderId="8" xfId="6" applyAlignment="1" applyProtection="1">
      <alignment vertical="center"/>
    </xf>
    <xf numFmtId="0" fontId="7" fillId="5" borderId="8" xfId="6" applyAlignment="1" applyProtection="1">
      <alignment vertical="top" wrapText="1"/>
    </xf>
    <xf numFmtId="0" fontId="7" fillId="5" borderId="8" xfId="6" applyAlignment="1" applyProtection="1">
      <alignment horizontal="left" vertical="center" indent="2"/>
    </xf>
    <xf numFmtId="177" fontId="0" fillId="0" borderId="0" xfId="0" applyNumberFormat="1" applyFill="1" applyBorder="1" applyAlignment="1">
      <alignment horizontal="right" vertical="center"/>
    </xf>
    <xf numFmtId="43" fontId="0" fillId="0" borderId="0" xfId="0" applyNumberFormat="1" applyFill="1" applyBorder="1" applyAlignment="1">
      <alignment horizontal="right" vertical="center"/>
    </xf>
    <xf numFmtId="182" fontId="0" fillId="2" borderId="0" xfId="0" applyNumberFormat="1" applyFill="1" applyBorder="1" applyAlignment="1">
      <alignment horizontal="left" vertical="center"/>
    </xf>
    <xf numFmtId="184" fontId="0" fillId="2" borderId="0" xfId="0" applyNumberFormat="1" applyFill="1" applyBorder="1" applyAlignment="1">
      <alignment horizontal="right" vertical="center"/>
    </xf>
    <xf numFmtId="177" fontId="0" fillId="2" borderId="0" xfId="0" applyNumberFormat="1" applyFill="1" applyBorder="1" applyAlignment="1">
      <alignment horizontal="center" vertical="center"/>
    </xf>
    <xf numFmtId="178" fontId="9" fillId="3" borderId="7" xfId="11" applyNumberFormat="1" applyFill="1" applyAlignment="1" applyProtection="1">
      <alignment horizontal="right" vertical="center"/>
    </xf>
    <xf numFmtId="0" fontId="8" fillId="4" borderId="0" xfId="7" applyAlignment="1" applyProtection="1">
      <alignment vertical="top" wrapText="1"/>
    </xf>
    <xf numFmtId="177" fontId="9" fillId="3" borderId="7" xfId="11" applyNumberFormat="1" applyFill="1" applyAlignment="1" applyProtection="1">
      <alignment horizontal="right" vertical="center"/>
    </xf>
    <xf numFmtId="177" fontId="0" fillId="0" borderId="1" xfId="0" applyNumberFormat="1" applyFill="1" applyBorder="1">
      <alignment vertical="top" wrapText="1"/>
    </xf>
    <xf numFmtId="183" fontId="0" fillId="0" borderId="1" xfId="0" applyNumberFormat="1" applyFill="1" applyBorder="1">
      <alignment vertical="top" wrapText="1"/>
    </xf>
    <xf numFmtId="43" fontId="0" fillId="0" borderId="1" xfId="0" applyNumberFormat="1" applyFill="1" applyBorder="1">
      <alignment vertical="top" wrapText="1"/>
    </xf>
    <xf numFmtId="178" fontId="0" fillId="0" borderId="1" xfId="0" applyNumberFormat="1" applyFill="1" applyBorder="1" applyAlignment="1">
      <alignment horizontal="right" vertical="top" wrapText="1"/>
    </xf>
    <xf numFmtId="178" fontId="0" fillId="0" borderId="3" xfId="0" applyNumberFormat="1" applyFill="1" applyBorder="1" applyAlignment="1">
      <alignment horizontal="right" vertical="top" wrapText="1"/>
    </xf>
    <xf numFmtId="43" fontId="0" fillId="2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80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0" fontId="17" fillId="0" borderId="0" xfId="12" applyFill="1" applyBorder="1" applyProtection="1">
      <alignment horizontal="left" vertical="center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vertical="center" wrapText="1"/>
    </xf>
    <xf numFmtId="10" fontId="0" fillId="0" borderId="0" xfId="4" applyNumberFormat="1" applyFont="1" applyFill="1" applyBorder="1" applyAlignment="1" applyProtection="1">
      <alignment vertical="center"/>
    </xf>
    <xf numFmtId="179" fontId="0" fillId="0" borderId="0" xfId="0" applyNumberFormat="1" applyFill="1" applyBorder="1" applyAlignment="1">
      <alignment vertical="center" wrapText="1"/>
    </xf>
    <xf numFmtId="41" fontId="0" fillId="0" borderId="0" xfId="0" applyNumberFormat="1" applyFill="1" applyBorder="1" applyAlignment="1">
      <alignment vertical="center" wrapText="1"/>
    </xf>
    <xf numFmtId="0" fontId="11" fillId="0" borderId="0" xfId="8" applyFill="1" applyBorder="1" applyProtection="1">
      <alignment horizontal="left" vertical="center"/>
    </xf>
    <xf numFmtId="49" fontId="0" fillId="0" borderId="0" xfId="0" applyNumberFormat="1" applyFill="1" applyBorder="1" applyAlignment="1">
      <alignment vertical="center"/>
    </xf>
    <xf numFmtId="0" fontId="7" fillId="5" borderId="8" xfId="6" applyAlignment="1" applyProtection="1">
      <alignment vertical="top"/>
    </xf>
    <xf numFmtId="0" fontId="8" fillId="4" borderId="0" xfId="7" applyAlignment="1" applyProtection="1">
      <alignment vertical="top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18" fillId="0" borderId="0" xfId="0" applyNumberFormat="1" applyFont="1" applyAlignment="1" applyProtection="1">
      <alignment wrapText="1"/>
      <protection locked="0"/>
    </xf>
    <xf numFmtId="14" fontId="18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wrapText="1"/>
    </xf>
    <xf numFmtId="186" fontId="0" fillId="0" borderId="0" xfId="0" applyNumberFormat="1" applyFill="1" applyBorder="1" applyAlignment="1">
      <alignment horizontal="center" vertical="center"/>
    </xf>
    <xf numFmtId="181" fontId="0" fillId="2" borderId="0" xfId="0" applyNumberFormat="1" applyFill="1" applyBorder="1" applyAlignment="1">
      <alignment horizontal="left" vertical="center" wrapText="1"/>
    </xf>
    <xf numFmtId="182" fontId="0" fillId="0" borderId="0" xfId="0" applyNumberFormat="1" applyFill="1" applyBorder="1" applyAlignment="1">
      <alignment horizontal="left" vertical="top" wrapText="1"/>
    </xf>
    <xf numFmtId="0" fontId="0" fillId="0" borderId="0" xfId="0" applyNumberFormat="1">
      <alignment vertical="top" wrapText="1"/>
    </xf>
    <xf numFmtId="0" fontId="12" fillId="0" borderId="0" xfId="2" applyAlignment="1" applyProtection="1">
      <alignment vertical="top"/>
    </xf>
    <xf numFmtId="0" fontId="3" fillId="0" borderId="0" xfId="0" applyNumberFormat="1" applyFont="1" applyAlignment="1">
      <alignment vertical="top"/>
    </xf>
    <xf numFmtId="0" fontId="0" fillId="0" borderId="0" xfId="0" applyNumberFormat="1" applyFill="1" applyBorder="1" applyAlignment="1">
      <alignment vertical="top"/>
    </xf>
    <xf numFmtId="0" fontId="17" fillId="0" borderId="0" xfId="12" applyFill="1" applyBorder="1" applyAlignment="1" applyProtection="1">
      <alignment horizontal="left" vertical="top"/>
    </xf>
    <xf numFmtId="0" fontId="17" fillId="0" borderId="0" xfId="12" applyFill="1" applyBorder="1" applyAlignment="1">
      <alignment horizontal="left" vertical="top"/>
    </xf>
    <xf numFmtId="181" fontId="0" fillId="0" borderId="0" xfId="0" applyNumberFormat="1" applyFill="1" applyBorder="1">
      <alignment vertical="top" wrapText="1"/>
    </xf>
    <xf numFmtId="0" fontId="0" fillId="0" borderId="0" xfId="0" applyNumberFormat="1" applyFill="1" applyBorder="1">
      <alignment vertical="top" wrapText="1"/>
    </xf>
    <xf numFmtId="0" fontId="0" fillId="0" borderId="0" xfId="0" applyNumberFormat="1" applyFill="1" applyBorder="1" applyAlignment="1">
      <alignment horizontal="left" vertical="top"/>
    </xf>
    <xf numFmtId="185" fontId="0" fillId="0" borderId="0" xfId="0" applyNumberFormat="1" applyFill="1" applyBorder="1" applyAlignment="1">
      <alignment vertical="top"/>
    </xf>
    <xf numFmtId="49" fontId="0" fillId="0" borderId="0" xfId="0" applyNumberFormat="1" applyFill="1" applyBorder="1">
      <alignment vertical="top" wrapText="1"/>
    </xf>
    <xf numFmtId="0" fontId="21" fillId="0" borderId="0" xfId="0" applyNumberFormat="1" applyFont="1" applyBorder="1" applyAlignment="1">
      <alignment vertical="center" wrapText="1"/>
    </xf>
    <xf numFmtId="0" fontId="21" fillId="0" borderId="0" xfId="0" applyNumberFormat="1" applyFont="1" applyBorder="1">
      <alignment vertical="top" wrapText="1"/>
    </xf>
    <xf numFmtId="0" fontId="13" fillId="0" borderId="0" xfId="0" applyNumberFormat="1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76" fontId="0" fillId="0" borderId="0" xfId="0" applyNumberFormat="1" applyFill="1" applyBorder="1" applyAlignment="1">
      <alignment vertical="center" wrapText="1"/>
    </xf>
    <xf numFmtId="0" fontId="0" fillId="0" borderId="0" xfId="0" applyFill="1" applyBorder="1">
      <alignment vertical="top" wrapText="1"/>
    </xf>
    <xf numFmtId="0" fontId="13" fillId="0" borderId="0" xfId="0" applyFont="1" applyFill="1" applyBorder="1">
      <alignment vertical="top" wrapText="1"/>
    </xf>
    <xf numFmtId="181" fontId="0" fillId="0" borderId="0" xfId="0" applyNumberFormat="1" applyFill="1" applyBorder="1" applyAlignment="1">
      <alignment vertical="top"/>
    </xf>
    <xf numFmtId="0" fontId="13" fillId="0" borderId="0" xfId="0" applyNumberFormat="1" applyFont="1" applyFill="1" applyBorder="1">
      <alignment vertical="top" wrapText="1"/>
    </xf>
    <xf numFmtId="0" fontId="13" fillId="0" borderId="0" xfId="0" applyFont="1" applyFill="1" applyBorder="1" applyAlignment="1">
      <alignment horizontal="left" vertical="top"/>
    </xf>
    <xf numFmtId="49" fontId="2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16" fillId="6" borderId="0" xfId="10" applyFill="1" applyAlignment="1">
      <alignment horizontal="left" vertical="top" wrapText="1" indent="1"/>
    </xf>
    <xf numFmtId="0" fontId="16" fillId="6" borderId="5" xfId="10" applyFill="1" applyBorder="1" applyAlignment="1">
      <alignment horizontal="left" vertical="top" wrapText="1" indent="1"/>
    </xf>
    <xf numFmtId="0" fontId="19" fillId="0" borderId="0" xfId="0" applyFont="1" applyAlignment="1">
      <alignment horizontal="left"/>
    </xf>
    <xf numFmtId="0" fontId="8" fillId="4" borderId="4" xfId="7" applyBorder="1" applyAlignment="1">
      <alignment horizontal="left" wrapText="1" indent="2"/>
    </xf>
    <xf numFmtId="0" fontId="8" fillId="4" borderId="4" xfId="7" applyBorder="1" applyAlignment="1">
      <alignment horizontal="left" wrapText="1"/>
    </xf>
    <xf numFmtId="0" fontId="8" fillId="4" borderId="4" xfId="7" applyBorder="1" applyAlignment="1">
      <alignment wrapText="1"/>
    </xf>
    <xf numFmtId="0" fontId="8" fillId="4" borderId="0" xfId="7" applyAlignment="1">
      <alignment horizontal="left" vertical="top" wrapText="1" indent="2"/>
    </xf>
    <xf numFmtId="0" fontId="8" fillId="4" borderId="0" xfId="7" applyAlignment="1">
      <alignment horizontal="left" vertical="top" wrapText="1"/>
    </xf>
    <xf numFmtId="0" fontId="8" fillId="4" borderId="0" xfId="7" applyAlignment="1">
      <alignment vertical="top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</cellXfs>
  <cellStyles count="13">
    <cellStyle name="60% - 着色 1" xfId="7" builtinId="32" customBuiltin="1"/>
    <cellStyle name="百分比" xfId="4" builtinId="5"/>
    <cellStyle name="标题" xfId="6" builtinId="15" customBuiltin="1"/>
    <cellStyle name="标题 1" xfId="2" builtinId="16" customBuiltin="1"/>
    <cellStyle name="标题 2" xfId="3" builtinId="17" customBuiltin="1"/>
    <cellStyle name="标题 3" xfId="8" builtinId="18" customBuiltin="1"/>
    <cellStyle name="标题 4" xfId="12" builtinId="19" customBuiltin="1"/>
    <cellStyle name="常规" xfId="0" builtinId="0" customBuiltin="1"/>
    <cellStyle name="超链接" xfId="1" builtinId="8" customBuiltin="1"/>
    <cellStyle name="汇总" xfId="11" builtinId="25" customBuiltin="1"/>
    <cellStyle name="解释性文本" xfId="10" builtinId="53" customBuiltin="1"/>
    <cellStyle name="警告文本" xfId="9" builtinId="11" customBuiltin="1"/>
    <cellStyle name="已访问的超链接" xfId="5" builtinId="9" customBuiltin="1"/>
  </cellStyles>
  <dxfs count="8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4" tint="0.79998168889431442"/>
        </patternFill>
      </fill>
    </dxf>
    <dxf>
      <numFmt numFmtId="179" formatCode="&quot;$&quot;#,##0.00"/>
      <alignment horizontal="general" vertical="center" textRotation="0" indent="0" justifyLastLine="0" shrinkToFit="0" readingOrder="0"/>
    </dxf>
    <dxf>
      <numFmt numFmtId="179" formatCode="&quot;$&quot;#,##0.00"/>
      <alignment horizontal="general" vertical="center" textRotation="0" indent="0" justifyLastLine="0" shrinkToFit="0" readingOrder="0"/>
    </dxf>
    <dxf>
      <numFmt numFmtId="179" formatCode="&quot;$&quot;#,##0.00"/>
      <alignment horizontal="general" vertical="center" textRotation="0" indent="0" justifyLastLine="0" shrinkToFit="0" readingOrder="0"/>
    </dxf>
    <dxf>
      <numFmt numFmtId="33" formatCode="_(* #,##0_);_(* \(#,##0\);_(* &quot;-&quot;_);_(@_)"/>
      <alignment horizontal="general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general" vertical="center" textRotation="0" indent="0" justifyLastLine="0" shrinkToFit="0" readingOrder="0"/>
    </dxf>
    <dxf>
      <numFmt numFmtId="176" formatCode="&quot;$&quot;#,##0.00_);\(&quot;$&quot;#,##0.00\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indent="0" justifyLastLine="0" shrinkToFit="0" readingOrder="0"/>
    </dxf>
    <dxf>
      <numFmt numFmtId="176" formatCode="&quot;$&quot;#,##0.00_);\(&quot;$&quot;#,##0.00\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indent="0" justifyLastLine="0" shrinkToFit="0" readingOrder="0"/>
    </dxf>
    <dxf>
      <numFmt numFmtId="176" formatCode="&quot;$&quot;#,##0.00_);\(&quot;$&quot;#,##0.00\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indent="0" justifyLastLine="0" shrinkToFit="0" readingOrder="0"/>
    </dxf>
    <dxf>
      <numFmt numFmtId="176" formatCode="&quot;$&quot;#,##0.00_);\(&quot;$&quot;#,##0.00\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numFmt numFmtId="14" formatCode="0.00%"/>
      <alignment horizontal="general"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86" formatCode="m/d/yyyy"/>
      <alignment horizontal="center"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85" formatCode="[&lt;=9999999]###\-####;\(###\)\ ###\-####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vertical="top" textRotation="0" indent="0" justifyLastLine="0" shrinkToFit="0" readingOrder="0"/>
    </dxf>
    <dxf>
      <numFmt numFmtId="181" formatCode="_)@\ \ 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82" formatCode="_)#;_)#;_)#;_)@"/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181" formatCode="_)@\ \ "/>
      <alignment vertical="top"/>
    </dxf>
    <dxf>
      <alignment vertical="top"/>
    </dxf>
    <dxf>
      <alignment vertical="top"/>
    </dxf>
    <dxf>
      <alignment vertical="top"/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color theme="1" tint="4.9989318521683403E-2"/>
      </font>
    </dxf>
    <dxf>
      <font>
        <b/>
        <color theme="4" tint="-0.249977111117893"/>
      </font>
    </dxf>
    <dxf>
      <font>
        <b/>
        <i val="0"/>
        <color theme="4" tint="-0.499984740745262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 val="0"/>
        <i val="0"/>
        <color theme="4" tint="-0.24994659260841701"/>
      </font>
      <border>
        <left style="thin">
          <color theme="4"/>
        </left>
        <right style="thin">
          <color theme="4"/>
        </right>
        <top style="thin">
          <color theme="4"/>
        </top>
        <vertical/>
        <horizontal/>
      </border>
    </dxf>
    <dxf>
      <font>
        <b val="0"/>
        <i val="0"/>
        <color theme="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Sales Invoice Table" defaultPivotStyle="PivotStyleLight16">
    <tableStyle name="Sales Invoice Table" pivot="0" count="7" xr9:uid="{00000000-0011-0000-FFFF-FFFF00000000}">
      <tableStyleElement type="wholeTable" dxfId="83"/>
      <tableStyleElement type="headerRow" dxfId="82"/>
      <tableStyleElement type="totalRow" dxfId="81"/>
      <tableStyleElement type="firstColumn" dxfId="80"/>
      <tableStyleElement type="lastColumn" dxfId="79"/>
      <tableStyleElement type="firstRowStripe" dxfId="78"/>
      <tableStyleElement type="firstColumnStripe" dxfId="7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F5766"/>
      <color rgb="FF1A99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11</xdr:col>
      <xdr:colOff>1008461</xdr:colOff>
      <xdr:row>0</xdr:row>
      <xdr:rowOff>259715</xdr:rowOff>
    </xdr:to>
    <xdr:grpSp>
      <xdr:nvGrpSpPr>
        <xdr:cNvPr id="48" name="Header artwork group" descr="Header artwork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215900" y="95250"/>
          <a:ext cx="14279961" cy="164465"/>
          <a:chOff x="171449" y="152400"/>
          <a:chExt cx="13657124" cy="164465"/>
        </a:xfrm>
      </xdr:grpSpPr>
      <xdr:sp macro="" textlink="">
        <xdr:nvSpPr>
          <xdr:cNvPr id="39" name="Rectangle 38" title="Short Footer Graphic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171449" y="152400"/>
            <a:ext cx="9875520" cy="164465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91440">
              <a:spcBef>
                <a:spcPts val="0"/>
              </a:spcBef>
              <a:spcAft>
                <a:spcPts val="0"/>
              </a:spcAft>
            </a:pPr>
            <a:r>
              <a:rPr lang="en-US" sz="2500" b="1">
                <a:solidFill>
                  <a:srgbClr val="000000"/>
                </a:solidFill>
                <a:effectLst/>
                <a:ea typeface="Arial"/>
                <a:cs typeface="Times New Roman"/>
              </a:rPr>
              <a:t> </a:t>
            </a:r>
          </a:p>
        </xdr:txBody>
      </xdr: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GrpSpPr/>
        </xdr:nvGrpSpPr>
        <xdr:grpSpPr>
          <a:xfrm>
            <a:off x="10079532" y="152400"/>
            <a:ext cx="3749041" cy="164465"/>
            <a:chOff x="10584357" y="200025"/>
            <a:chExt cx="3749041" cy="164465"/>
          </a:xfrm>
        </xdr:grpSpPr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/>
          </xdr:nvSpPr>
          <xdr:spPr>
            <a:xfrm>
              <a:off x="11580747" y="200025"/>
              <a:ext cx="2736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SpPr/>
          </xdr:nvSpPr>
          <xdr:spPr>
            <a:xfrm>
              <a:off x="10584357" y="200025"/>
              <a:ext cx="995986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/>
          </xdr:nvSpPr>
          <xdr:spPr>
            <a:xfrm>
              <a:off x="11852127" y="200025"/>
              <a:ext cx="10037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/>
          </xdr:nvSpPr>
          <xdr:spPr>
            <a:xfrm>
              <a:off x="12855855" y="200025"/>
              <a:ext cx="576377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00000000-0008-0000-0100-00002C000000}"/>
                </a:ext>
              </a:extLst>
            </xdr:cNvPr>
            <xdr:cNvSpPr/>
          </xdr:nvSpPr>
          <xdr:spPr>
            <a:xfrm>
              <a:off x="13431724" y="200025"/>
              <a:ext cx="901674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11</xdr:col>
      <xdr:colOff>181</xdr:colOff>
      <xdr:row>0</xdr:row>
      <xdr:rowOff>259715</xdr:rowOff>
    </xdr:to>
    <xdr:grpSp>
      <xdr:nvGrpSpPr>
        <xdr:cNvPr id="11" name="Header artwork group" descr="Header artwork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215900" y="95250"/>
          <a:ext cx="14211481" cy="164465"/>
          <a:chOff x="142875" y="85725"/>
          <a:chExt cx="7705905" cy="164465"/>
        </a:xfrm>
      </xdr:grpSpPr>
      <xdr:sp macro="" textlink="">
        <xdr:nvSpPr>
          <xdr:cNvPr id="4" name="Rectangle 3" title="Short Footer Graphic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142875" y="85725"/>
            <a:ext cx="5120640" cy="164465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91440">
              <a:spcBef>
                <a:spcPts val="0"/>
              </a:spcBef>
              <a:spcAft>
                <a:spcPts val="0"/>
              </a:spcAft>
            </a:pPr>
            <a:r>
              <a:rPr lang="en-US" sz="2500" b="1">
                <a:solidFill>
                  <a:srgbClr val="000000"/>
                </a:solidFill>
                <a:effectLst/>
                <a:ea typeface="Arial"/>
                <a:cs typeface="Times New Roman"/>
              </a:rPr>
              <a:t> 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288459" y="85725"/>
            <a:ext cx="2560321" cy="164465"/>
            <a:chOff x="10584357" y="200025"/>
            <a:chExt cx="3749041" cy="164465"/>
          </a:xfrm>
        </xdr:grpSpPr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1580747" y="200025"/>
              <a:ext cx="2736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10584357" y="200025"/>
              <a:ext cx="995986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11852127" y="200025"/>
              <a:ext cx="10037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>
              <a:off x="12855855" y="200025"/>
              <a:ext cx="576377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/>
          </xdr:nvSpPr>
          <xdr:spPr>
            <a:xfrm>
              <a:off x="13431724" y="200025"/>
              <a:ext cx="901674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95251</xdr:rowOff>
    </xdr:from>
    <xdr:to>
      <xdr:col>8</xdr:col>
      <xdr:colOff>8763</xdr:colOff>
      <xdr:row>0</xdr:row>
      <xdr:rowOff>259843</xdr:rowOff>
    </xdr:to>
    <xdr:grpSp>
      <xdr:nvGrpSpPr>
        <xdr:cNvPr id="12" name="Header artwork group" descr="Header artwork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190500" y="95251"/>
          <a:ext cx="10244963" cy="164592"/>
          <a:chOff x="142875" y="104775"/>
          <a:chExt cx="6914767" cy="164465"/>
        </a:xfrm>
      </xdr:grpSpPr>
      <xdr:sp macro="" textlink="">
        <xdr:nvSpPr>
          <xdr:cNvPr id="4" name="Rectangle 3" title="Short Footer Graphic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142875" y="104775"/>
            <a:ext cx="4672306" cy="164465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91440">
              <a:spcBef>
                <a:spcPts val="0"/>
              </a:spcBef>
              <a:spcAft>
                <a:spcPts val="0"/>
              </a:spcAft>
            </a:pPr>
            <a:r>
              <a:rPr lang="en-US" sz="2500" b="1">
                <a:solidFill>
                  <a:srgbClr val="000000"/>
                </a:solidFill>
                <a:effectLst/>
                <a:ea typeface="Arial"/>
                <a:cs typeface="Times New Roman"/>
              </a:rPr>
              <a:t> 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GrpSpPr/>
        </xdr:nvGrpSpPr>
        <xdr:grpSpPr>
          <a:xfrm>
            <a:off x="4848240" y="104775"/>
            <a:ext cx="2199877" cy="164465"/>
            <a:chOff x="10584358" y="200025"/>
            <a:chExt cx="3749040" cy="164465"/>
          </a:xfrm>
        </xdr:grpSpPr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11580747" y="200025"/>
              <a:ext cx="2736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10584358" y="200025"/>
              <a:ext cx="995986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11852127" y="200025"/>
              <a:ext cx="10037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/>
          </xdr:nvSpPr>
          <xdr:spPr>
            <a:xfrm>
              <a:off x="12855855" y="200025"/>
              <a:ext cx="576377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13431724" y="200025"/>
              <a:ext cx="901674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ProjectInvoice" displayName="ProjectInvoice" ref="B8:G14" totalsRowShown="0" dataDxfId="76">
  <autoFilter ref="B8:G1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Item #" dataDxfId="75"/>
    <tableColumn id="2" xr3:uid="{00000000-0010-0000-0000-000002000000}" name="Description" dataDxfId="74"/>
    <tableColumn id="7" xr3:uid="{00000000-0010-0000-0000-000007000000}" name="Qty" dataDxfId="73"/>
    <tableColumn id="8" xr3:uid="{00000000-0010-0000-0000-000008000000}" name="Unit Price" dataDxfId="72"/>
    <tableColumn id="10" xr3:uid="{00000000-0010-0000-0000-00000A000000}" name="Discount" dataDxfId="71"/>
    <tableColumn id="11" xr3:uid="{00000000-0010-0000-0000-00000B000000}" name="Price" dataDxfId="70">
      <calculatedColumnFormula>IFERROR((D9*E9)-F9,"")</calculatedColumnFormula>
    </tableColumn>
  </tableColumns>
  <tableStyleInfo name="Sales Invoice Table" showFirstColumn="0" showLastColumn="1" showRowStripes="1" showColumnStripes="0"/>
  <extLst>
    <ext xmlns:x14="http://schemas.microsoft.com/office/spreadsheetml/2009/9/main" uri="{504A1905-F514-4f6f-8877-14C23A59335A}">
      <x14:table altTextSummary="Invoice list with item #, description, quantity, unit price, discount and pric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ustomerList" displayName="CustomerList" ref="B3:L41" totalsRowCount="1" headerRowDxfId="69" dataDxfId="68" totalsRowDxfId="67">
  <autoFilter ref="B3:L40" xr:uid="{00000000-0009-0000-0100-000001000000}"/>
  <tableColumns count="11">
    <tableColumn id="9" xr3:uid="{00000000-0010-0000-0100-000009000000}" name="Lookup" totalsRowLabel="Total" dataDxfId="66" totalsRowDxfId="65">
      <calculatedColumnFormula>C4&amp; " - "&amp;D4</calculatedColumnFormula>
    </tableColumn>
    <tableColumn id="1" xr3:uid="{00000000-0010-0000-0100-000001000000}" name="Company #" totalsRowFunction="custom" dataDxfId="64" totalsRowDxfId="63">
      <totalsRowFormula>"Total Customers: "&amp;SUBTOTAL(103,CustomerList[Company '#])</totalsRowFormula>
    </tableColumn>
    <tableColumn id="2" xr3:uid="{00000000-0010-0000-0100-000002000000}" name="Company Name" dataDxfId="62" totalsRowDxfId="61"/>
    <tableColumn id="3" xr3:uid="{00000000-0010-0000-0100-000003000000}" name="Contact Name" dataDxfId="60" totalsRowDxfId="59"/>
    <tableColumn id="4" xr3:uid="{00000000-0010-0000-0100-000004000000}" name="Address" dataDxfId="58" totalsRowDxfId="57"/>
    <tableColumn id="5" xr3:uid="{00000000-0010-0000-0100-000005000000}" name="City" dataDxfId="56" totalsRowDxfId="55"/>
    <tableColumn id="6" xr3:uid="{00000000-0010-0000-0100-000006000000}" name="State" dataDxfId="54" totalsRowDxfId="53"/>
    <tableColumn id="7" xr3:uid="{00000000-0010-0000-0100-000007000000}" name="ZIP Code" dataDxfId="52" totalsRowDxfId="51"/>
    <tableColumn id="8" xr3:uid="{00000000-0010-0000-0100-000008000000}" name="Phone" dataDxfId="50" totalsRowDxfId="49"/>
    <tableColumn id="10" xr3:uid="{00000000-0010-0000-0100-00000A000000}" name="Email" dataDxfId="48" totalsRowDxfId="47"/>
    <tableColumn id="11" xr3:uid="{00000000-0010-0000-0100-00000B000000}" name="Fax" dataDxfId="46" totalsRowDxfId="45"/>
  </tableColumns>
  <tableStyleInfo name="Sales Invoice Table" showFirstColumn="0" showLastColumn="0" showRowStripes="1" showColumnStripes="0"/>
  <extLst>
    <ext xmlns:x14="http://schemas.microsoft.com/office/spreadsheetml/2009/9/main" uri="{504A1905-F514-4f6f-8877-14C23A59335A}">
      <x14:table altTextSummary="Customer list with company #, company name, contact name, address, city, state, zip code, phone, email and fax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voicesMain" displayName="InvoicesMain" ref="B3:K53" totalsRowCount="1" totalsRowDxfId="44">
  <autoFilter ref="B3:K52" xr:uid="{00000000-0009-0000-0100-000003000000}"/>
  <tableColumns count="10">
    <tableColumn id="1" xr3:uid="{00000000-0010-0000-0200-000001000000}" name="Invoice #" totalsRowLabel="Totals" dataDxfId="43" totalsRowDxfId="42"/>
    <tableColumn id="2" xr3:uid="{00000000-0010-0000-0200-000002000000}" name="Company" totalsRowFunction="custom" dataDxfId="41" totalsRowDxfId="40">
      <totalsRowFormula>"Total Invoices: "&amp;SUBTOTAL(103,InvoicesMain[Invoice '#])</totalsRowFormula>
    </tableColumn>
    <tableColumn id="3" xr3:uid="{00000000-0010-0000-0200-000003000000}" name="Invoice Date" dataDxfId="39" totalsRowDxfId="38"/>
    <tableColumn id="4" xr3:uid="{00000000-0010-0000-0200-000004000000}" name="Project Description" dataDxfId="37" totalsRowDxfId="36"/>
    <tableColumn id="8" xr3:uid="{00000000-0010-0000-0200-000008000000}" name="Tax Rate" dataDxfId="35" totalsRowDxfId="34"/>
    <tableColumn id="9" xr3:uid="{00000000-0010-0000-0200-000009000000}" name="Other" totalsRowFunction="sum" dataDxfId="33" totalsRowDxfId="32"/>
    <tableColumn id="6" xr3:uid="{00000000-0010-0000-0200-000006000000}" name="Deposit" totalsRowFunction="sum" dataDxfId="31" totalsRowDxfId="30"/>
    <tableColumn id="7" xr3:uid="{00000000-0010-0000-0200-000007000000}" name="Detail Total" totalsRowFunction="sum" dataDxfId="29" totalsRowDxfId="28">
      <calculatedColumnFormula>SUMIF(InvoiceDetails[Invoice '#],"="&amp;InvoicesMain[[#This Row],[Invoice '#]],InvoiceDetails[Total])</calculatedColumnFormula>
    </tableColumn>
    <tableColumn id="10" xr3:uid="{00000000-0010-0000-0200-00000A000000}" name="Invoice Total" totalsRowFunction="sum" dataDxfId="27" totalsRowDxfId="26">
      <calculatedColumnFormula>(InvoicesMain[[#This Row],[Detail Total]]*(1+InvoicesMain[[#This Row],[Tax Rate]]))+InvoicesMain[[#This Row],[Other]]-InvoicesMain[[#This Row],[Deposit]]</calculatedColumnFormula>
    </tableColumn>
    <tableColumn id="5" xr3:uid="{00000000-0010-0000-0200-000005000000}" name="Notes" dataDxfId="25" totalsRowDxfId="24"/>
  </tableColumns>
  <tableStyleInfo name="Sales Invoice Table" showFirstColumn="0" showLastColumn="0" showRowStripes="1" showColumnStripes="0"/>
  <extLst>
    <ext xmlns:x14="http://schemas.microsoft.com/office/spreadsheetml/2009/9/main" uri="{504A1905-F514-4f6f-8877-14C23A59335A}">
      <x14:table altTextSummary="Invoice list with invoice #, company, invoice date, project description, tax rate, other, deposit, detail total, invoice total and not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voiceDetails" displayName="InvoiceDetails" ref="B3:H63" totalsRowShown="0" dataDxfId="23">
  <autoFilter ref="B3:H63" xr:uid="{00000000-0009-0000-0100-000002000000}"/>
  <sortState xmlns:xlrd2="http://schemas.microsoft.com/office/spreadsheetml/2017/richdata2" ref="B5:H63">
    <sortCondition ref="C4:C63"/>
  </sortState>
  <tableColumns count="7">
    <tableColumn id="2" xr3:uid="{00000000-0010-0000-0300-000002000000}" name="Description" dataDxfId="22"/>
    <tableColumn id="1" xr3:uid="{00000000-0010-0000-0300-000001000000}" name="Invoice #" dataDxfId="21"/>
    <tableColumn id="4" xr3:uid="{00000000-0010-0000-0300-000004000000}" name="Item #" dataDxfId="20"/>
    <tableColumn id="3" xr3:uid="{00000000-0010-0000-0300-000003000000}" name="Qty" dataDxfId="19"/>
    <tableColumn id="6" xr3:uid="{00000000-0010-0000-0300-000006000000}" name="Unit Price" dataDxfId="18"/>
    <tableColumn id="5" xr3:uid="{00000000-0010-0000-0300-000005000000}" name="Discount" dataDxfId="17"/>
    <tableColumn id="10" xr3:uid="{00000000-0010-0000-0300-00000A000000}" name="Total" dataDxfId="16">
      <calculatedColumnFormula>(InvoiceDetails[[#This Row],[Qty]]*InvoiceDetails[[#This Row],[Unit Price]])-InvoiceDetails[[#This Row],[Discount]]</calculatedColumnFormula>
    </tableColumn>
  </tableColumns>
  <tableStyleInfo name="Sales Invoice Table" showFirstColumn="0" showLastColumn="0" showRowStripes="1" showColumnStripes="0"/>
  <extLst>
    <ext xmlns:x14="http://schemas.microsoft.com/office/spreadsheetml/2009/9/main" uri="{504A1905-F514-4f6f-8877-14C23A59335A}">
      <x14:table altTextSummary="Invoice details with description, invoice #, item #, quantity, unit price, discount, and total"/>
    </ext>
  </extLst>
</table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 tint="-0.499984740745262"/>
    <pageSetUpPr autoPageBreaks="0" fitToPage="1"/>
  </sheetPr>
  <dimension ref="A1:H20"/>
  <sheetViews>
    <sheetView showGridLines="0" zoomScaleNormal="100" workbookViewId="0">
      <selection activeCell="B18" sqref="B18:E18"/>
    </sheetView>
  </sheetViews>
  <sheetFormatPr baseColWidth="10" defaultColWidth="9" defaultRowHeight="34" customHeight="1"/>
  <cols>
    <col min="1" max="1" width="2.83203125" style="42" customWidth="1"/>
    <col min="2" max="2" width="13.5" style="3" customWidth="1"/>
    <col min="3" max="3" width="30.5" style="3" customWidth="1"/>
    <col min="4" max="7" width="16.5" style="3" customWidth="1"/>
    <col min="8" max="8" width="2.83203125" style="3" customWidth="1"/>
    <col min="9" max="9" width="11.33203125" style="3" customWidth="1"/>
    <col min="10" max="16384" width="9" style="3"/>
  </cols>
  <sheetData>
    <row r="1" spans="1:8" ht="58" customHeight="1" thickBot="1">
      <c r="A1" s="39"/>
      <c r="B1" s="12" t="s">
        <v>0</v>
      </c>
      <c r="C1" s="12"/>
      <c r="D1" s="12"/>
      <c r="E1" s="12"/>
      <c r="F1" s="10"/>
      <c r="G1" s="11"/>
      <c r="H1" s="11"/>
    </row>
    <row r="2" spans="1:8" ht="24" customHeight="1" thickTop="1">
      <c r="A2" s="40"/>
      <c r="B2" s="80" t="s">
        <v>1</v>
      </c>
      <c r="C2" s="80"/>
      <c r="D2" s="81" t="s">
        <v>2</v>
      </c>
      <c r="E2" s="81"/>
      <c r="F2" s="82" t="s">
        <v>3</v>
      </c>
      <c r="G2" s="82"/>
      <c r="H2" s="19"/>
    </row>
    <row r="3" spans="1:8" ht="24" customHeight="1">
      <c r="A3" s="40"/>
      <c r="B3" s="83" t="s">
        <v>4</v>
      </c>
      <c r="C3" s="83"/>
      <c r="D3" s="84"/>
      <c r="E3" s="84"/>
      <c r="F3" s="85" t="s">
        <v>5</v>
      </c>
      <c r="G3" s="85"/>
      <c r="H3" s="19"/>
    </row>
    <row r="4" spans="1:8" s="7" customFormat="1" ht="24" customHeight="1">
      <c r="A4" s="41"/>
      <c r="B4" s="45" t="s">
        <v>267</v>
      </c>
      <c r="C4" s="62"/>
      <c r="D4" s="79" t="str">
        <f>"Phone: "&amp;IFERROR(VLOOKUP(VLOOKUP(rngInvoice,InvoicesMain[],2,FALSE),CustomerList[],9,FALSE),"")</f>
        <v xml:space="preserve">Phone: </v>
      </c>
      <c r="E4" s="79"/>
      <c r="F4" s="45" t="s">
        <v>6</v>
      </c>
      <c r="G4" s="43" t="s">
        <v>269</v>
      </c>
    </row>
    <row r="5" spans="1:8" s="7" customFormat="1" ht="30.75" customHeight="1">
      <c r="A5" s="41"/>
      <c r="B5" s="41" t="s">
        <v>272</v>
      </c>
      <c r="C5" s="61"/>
      <c r="D5" s="79" t="str">
        <f>"Fax:     "&amp;IFERROR(VLOOKUP(VLOOKUP(rngInvoice,InvoicesMain[],2,FALSE),CustomerList[],11,FALSE),"")</f>
        <v xml:space="preserve">Fax:     </v>
      </c>
      <c r="E5" s="79"/>
      <c r="F5" s="45" t="s">
        <v>8</v>
      </c>
      <c r="G5" s="44">
        <f>IFERROR(IF(VLOOKUP(rngInvoice,InvoicesMain[],3,FALSE)="","",VLOOKUP(rngInvoice,InvoicesMain[],3,FALSE)),"")</f>
        <v>45783</v>
      </c>
    </row>
    <row r="6" spans="1:8" s="7" customFormat="1" ht="20" customHeight="1">
      <c r="A6" s="41"/>
      <c r="B6" s="45" t="s">
        <v>22</v>
      </c>
      <c r="C6" s="62"/>
      <c r="D6" s="79" t="str">
        <f>"Email: "&amp;IFERROR(VLOOKUP(VLOOKUP(rngInvoice,InvoicesMain[],2,FALSE),CustomerList[],10,FALSE),"")</f>
        <v xml:space="preserve">Email: </v>
      </c>
      <c r="E6" s="79"/>
      <c r="F6" s="46"/>
      <c r="G6" s="8"/>
    </row>
    <row r="7" spans="1:8" ht="18.75" customHeight="1">
      <c r="C7" s="9"/>
      <c r="D7" s="9"/>
      <c r="E7" s="9"/>
      <c r="F7" s="9"/>
      <c r="G7" s="9"/>
    </row>
    <row r="8" spans="1:8" s="4" customFormat="1" ht="34" customHeight="1">
      <c r="B8" s="37" t="s">
        <v>9</v>
      </c>
      <c r="C8" s="37" t="s">
        <v>10</v>
      </c>
      <c r="D8" s="37" t="s">
        <v>11</v>
      </c>
      <c r="E8" s="37" t="s">
        <v>12</v>
      </c>
      <c r="F8" s="37" t="s">
        <v>13</v>
      </c>
      <c r="G8" s="37" t="s">
        <v>14</v>
      </c>
    </row>
    <row r="9" spans="1:8" s="4" customFormat="1" ht="34" customHeight="1">
      <c r="B9" s="15">
        <f t="array" ref="B9">IFERROR(INDEX(InvoiceDetails[],SMALL(IF(InvoiceDetails[Invoice '#]=rngInvoice,ROW(InvoiceDetails[])-ROW(InvoiceDetails[#Headers])), ROW(1:1)), MATCH($B$8, InvoiceDetails[#Headers], 0)),"")</f>
        <v>1</v>
      </c>
      <c r="C9" s="48" t="str">
        <f t="array" ref="C9">IFERROR(INDEX(InvoiceDetails[],SMALL(IF(InvoiceDetails[Invoice '#]=rngInvoice,ROW(InvoiceDetails[])-ROW(InvoiceDetails[#Headers])), ROW(1:1)), MATCH($C$8, InvoiceDetails[#Headers], 0)),"")</f>
        <v>INSPECTION FEE</v>
      </c>
      <c r="D9" s="16">
        <f t="array" ref="D9">IFERROR(INDEX(InvoiceDetails[],SMALL(IF(InvoiceDetails[Invoice '#]=rngInvoice,ROW(InvoiceDetails[])-ROW(InvoiceDetails[#Headers])), ROW(1:1)), MATCH($D$8, InvoiceDetails[#Headers], 0)),"")</f>
        <v>1</v>
      </c>
      <c r="E9" s="17">
        <f t="array" ref="E9">IFERROR(INDEX(InvoiceDetails[],SMALL(IF(InvoiceDetails[Invoice '#]=rngInvoice,ROW(InvoiceDetails[])-ROW(InvoiceDetails[#Headers])), ROW(1:1)), MATCH($E$8, InvoiceDetails[#Headers], 0)),"")</f>
        <v>1057.43</v>
      </c>
      <c r="F9" s="17">
        <f t="array" ref="F9">IFERROR(INDEX(InvoiceDetails[],SMALL(IF(InvoiceDetails[Invoice '#]=rngInvoice,ROW(InvoiceDetails[])-ROW(InvoiceDetails[#Headers])), ROW(1:1)), MATCH($F$8, InvoiceDetails[#Headers], 0)),"")</f>
        <v>0</v>
      </c>
      <c r="G9" s="13">
        <f t="shared" ref="G9:G14" si="0">IFERROR((D9*E9)-F9,"")</f>
        <v>1057.43</v>
      </c>
    </row>
    <row r="10" spans="1:8" s="4" customFormat="1" ht="34" customHeight="1">
      <c r="B10" s="15" t="str">
        <f t="array" ref="B10">IFERROR(INDEX(InvoiceDetails[],SMALL(IF(InvoiceDetails[Invoice '#]=rngInvoice,ROW(InvoiceDetails[])-ROW(InvoiceDetails[#Headers])), ROW(2:2)), MATCH($B$8, InvoiceDetails[#Headers], 0)),"")</f>
        <v/>
      </c>
      <c r="C10" s="48"/>
      <c r="D10" s="16" t="str">
        <f t="array" ref="D10">IFERROR(INDEX(InvoiceDetails[],SMALL(IF(InvoiceDetails[Invoice '#]=rngInvoice,ROW(InvoiceDetails[])-ROW(InvoiceDetails[#Headers])), ROW(2:2)), MATCH($D$8, InvoiceDetails[#Headers], 0)),"")</f>
        <v/>
      </c>
      <c r="E10" s="17" t="str">
        <f t="array" ref="E10">IFERROR(INDEX(InvoiceDetails[],SMALL(IF(InvoiceDetails[Invoice '#]=rngInvoice,ROW(InvoiceDetails[])-ROW(InvoiceDetails[#Headers])), ROW(2:2)), MATCH($E$8, InvoiceDetails[#Headers], 0)),"")</f>
        <v/>
      </c>
      <c r="F10" s="26" t="str">
        <f t="array" ref="F10">IFERROR(INDEX(InvoiceDetails[],SMALL(IF(InvoiceDetails[Invoice '#]=rngInvoice,ROW(InvoiceDetails[])-ROW(InvoiceDetails[#Headers])), ROW(2:2)), MATCH($F$8, InvoiceDetails[#Headers], 0)),"")</f>
        <v/>
      </c>
      <c r="G10" s="13" t="str">
        <f t="shared" si="0"/>
        <v/>
      </c>
    </row>
    <row r="11" spans="1:8" s="4" customFormat="1" ht="34" customHeight="1">
      <c r="B11" s="15" t="str">
        <f t="array" ref="B11">IFERROR(INDEX(InvoiceDetails[],SMALL(IF(InvoiceDetails[Invoice '#]=rngInvoice,ROW(InvoiceDetails[])-ROW(InvoiceDetails[#Headers])), ROW(3:3)), MATCH($B$8, InvoiceDetails[#Headers], 0)),"")</f>
        <v/>
      </c>
      <c r="C11" s="48" t="str">
        <f t="array" ref="C11">IFERROR(INDEX(InvoiceDetails[],SMALL(IF(InvoiceDetails[Invoice '#]=rngInvoice,ROW(InvoiceDetails[])-ROW(InvoiceDetails[#Headers])), ROW(3:3)), MATCH($C$8, InvoiceDetails[#Headers], 0)),"")</f>
        <v/>
      </c>
      <c r="D11" s="16" t="str">
        <f t="array" ref="D11">IFERROR(INDEX(InvoiceDetails[],SMALL(IF(InvoiceDetails[Invoice '#]=rngInvoice,ROW(InvoiceDetails[])-ROW(InvoiceDetails[#Headers])), ROW(3:3)), MATCH($D$8, InvoiceDetails[#Headers], 0)),"")</f>
        <v/>
      </c>
      <c r="E11" s="17" t="str">
        <f t="array" ref="E11">IFERROR(INDEX(InvoiceDetails[],SMALL(IF(InvoiceDetails[Invoice '#]=rngInvoice,ROW(InvoiceDetails[])-ROW(InvoiceDetails[#Headers])), ROW(3:3)), MATCH($E$8, InvoiceDetails[#Headers], 0)),"")</f>
        <v/>
      </c>
      <c r="F11" s="26" t="str">
        <f t="array" ref="F11">IFERROR(INDEX(InvoiceDetails[],SMALL(IF(InvoiceDetails[Invoice '#]=rngInvoice,ROW(InvoiceDetails[])-ROW(InvoiceDetails[#Headers])), ROW(3:3)), MATCH($F$8, InvoiceDetails[#Headers], 0)),"")</f>
        <v/>
      </c>
      <c r="G11" s="13" t="str">
        <f t="shared" si="0"/>
        <v/>
      </c>
    </row>
    <row r="12" spans="1:8" s="4" customFormat="1" ht="34" customHeight="1">
      <c r="B12" s="15" t="str">
        <f t="array" ref="B12">IFERROR(INDEX(InvoiceDetails[],SMALL(IF(InvoiceDetails[Invoice '#]=rngInvoice,ROW(InvoiceDetails[])-ROW(InvoiceDetails[#Headers])), ROW(4:4)), MATCH($B$8, InvoiceDetails[#Headers], 0)),"")</f>
        <v/>
      </c>
      <c r="C12" s="48" t="str">
        <f t="array" ref="C12">IFERROR(INDEX(InvoiceDetails[],SMALL(IF(InvoiceDetails[Invoice '#]=rngInvoice,ROW(InvoiceDetails[])-ROW(InvoiceDetails[#Headers])), ROW(4:4)), MATCH($C$8, InvoiceDetails[#Headers], 0)),"")</f>
        <v/>
      </c>
      <c r="D12" s="16"/>
      <c r="E12" s="26" t="str">
        <f t="array" ref="E12">IFERROR(INDEX(InvoiceDetails[],SMALL(IF(InvoiceDetails[Invoice '#]=rngInvoice,ROW(InvoiceDetails[])-ROW(InvoiceDetails[#Headers])), ROW(4:4)), MATCH($E$8, InvoiceDetails[#Headers], 0)),"")</f>
        <v/>
      </c>
      <c r="F12" s="26" t="str">
        <f t="array" ref="F12">IFERROR(INDEX(InvoiceDetails[],SMALL(IF(InvoiceDetails[Invoice '#]=rngInvoice,ROW(InvoiceDetails[])-ROW(InvoiceDetails[#Headers])), ROW(4:4)), MATCH($F$8, InvoiceDetails[#Headers], 0)),"")</f>
        <v/>
      </c>
      <c r="G12" s="14" t="str">
        <f t="shared" si="0"/>
        <v/>
      </c>
    </row>
    <row r="13" spans="1:8" s="4" customFormat="1" ht="34" customHeight="1">
      <c r="B13" s="15" t="str">
        <f t="array" ref="B13">IFERROR(INDEX(InvoiceDetails[],SMALL(IF(InvoiceDetails[Invoice '#]=rngInvoice,ROW(InvoiceDetails[])-ROW(InvoiceDetails[#Headers])), ROW(#REF!)), MATCH($B$8, InvoiceDetails[#Headers], 0)),"")</f>
        <v/>
      </c>
      <c r="C13" s="48" t="str">
        <f t="array" ref="C13">IFERROR(INDEX(InvoiceDetails[],SMALL(IF(InvoiceDetails[Invoice '#]=rngInvoice,ROW(InvoiceDetails[])-ROW(InvoiceDetails[#Headers])), ROW(#REF!)), MATCH($C$8, InvoiceDetails[#Headers], 0)),"")</f>
        <v/>
      </c>
      <c r="D13" s="16" t="str">
        <f t="array" ref="D13">IFERROR(INDEX(InvoiceDetails[],SMALL(IF(InvoiceDetails[Invoice '#]=rngInvoice,ROW(InvoiceDetails[])-ROW(InvoiceDetails[#Headers])), ROW(#REF!)), MATCH($D$8, InvoiceDetails[#Headers], 0)),"")</f>
        <v/>
      </c>
      <c r="E13" s="26" t="str">
        <f t="array" ref="E13">IFERROR(INDEX(InvoiceDetails[],SMALL(IF(InvoiceDetails[Invoice '#]=rngInvoice,ROW(InvoiceDetails[])-ROW(InvoiceDetails[#Headers])), ROW(#REF!)), MATCH($E$8, InvoiceDetails[#Headers], 0)),"")</f>
        <v/>
      </c>
      <c r="F13" s="26" t="str">
        <f t="array" ref="F13">IFERROR(INDEX(InvoiceDetails[],SMALL(IF(InvoiceDetails[Invoice '#]=rngInvoice,ROW(InvoiceDetails[])-ROW(InvoiceDetails[#Headers])), ROW(#REF!)), MATCH($F$8, InvoiceDetails[#Headers], 0)),"")</f>
        <v/>
      </c>
      <c r="G13" s="14" t="str">
        <f t="shared" si="0"/>
        <v/>
      </c>
    </row>
    <row r="14" spans="1:8" s="4" customFormat="1" ht="34" customHeight="1">
      <c r="B14" s="15" t="str">
        <f t="array" ref="B14">IFERROR(INDEX(InvoiceDetails[],SMALL(IF(InvoiceDetails[Invoice '#]=rngInvoice,ROW(InvoiceDetails[])-ROW(InvoiceDetails[#Headers])), ROW(12:12)), MATCH($B$8, InvoiceDetails[#Headers], 0)),"")</f>
        <v/>
      </c>
      <c r="C14" s="48" t="str">
        <f t="array" ref="C14">IFERROR(INDEX(InvoiceDetails[],SMALL(IF(InvoiceDetails[Invoice '#]=rngInvoice,ROW(InvoiceDetails[])-ROW(InvoiceDetails[#Headers])), ROW(12:12)), MATCH($C$8, InvoiceDetails[#Headers], 0)),"")</f>
        <v/>
      </c>
      <c r="D14" s="16" t="str">
        <f t="array" ref="D14">IFERROR(INDEX(InvoiceDetails[],SMALL(IF(InvoiceDetails[Invoice '#]=rngInvoice,ROW(InvoiceDetails[])-ROW(InvoiceDetails[#Headers])), ROW(12:12)), MATCH($D$8, InvoiceDetails[#Headers], 0)),"")</f>
        <v/>
      </c>
      <c r="E14" s="26" t="str">
        <f t="array" ref="E14">IFERROR(INDEX(InvoiceDetails[],SMALL(IF(InvoiceDetails[Invoice '#]=rngInvoice,ROW(InvoiceDetails[])-ROW(InvoiceDetails[#Headers])), ROW(12:12)), MATCH($E$8, InvoiceDetails[#Headers], 0)),"")</f>
        <v/>
      </c>
      <c r="F14" s="26" t="str">
        <f t="array" ref="F14">IFERROR(INDEX(InvoiceDetails[],SMALL(IF(InvoiceDetails[Invoice '#]=rngInvoice,ROW(InvoiceDetails[])-ROW(InvoiceDetails[#Headers])), ROW(12:12)), MATCH($F$8, InvoiceDetails[#Headers], 0)),"")</f>
        <v/>
      </c>
      <c r="G14" s="14" t="str">
        <f t="shared" si="0"/>
        <v/>
      </c>
    </row>
    <row r="15" spans="1:8" s="4" customFormat="1" ht="124.5" customHeight="1">
      <c r="B15" s="86"/>
      <c r="C15" s="86"/>
      <c r="D15" s="86"/>
      <c r="E15" s="87"/>
      <c r="F15" s="24" t="s">
        <v>15</v>
      </c>
      <c r="G15" s="21">
        <f>SUM(ProjectInvoice[Price])</f>
        <v>1057.43</v>
      </c>
    </row>
    <row r="16" spans="1:8" s="4" customFormat="1" ht="34" customHeight="1">
      <c r="B16" s="74"/>
      <c r="C16" s="74"/>
      <c r="D16" s="74"/>
      <c r="E16" s="75"/>
      <c r="F16" s="24" t="s">
        <v>16</v>
      </c>
      <c r="G16" s="22">
        <v>0.05</v>
      </c>
    </row>
    <row r="17" spans="2:7" s="4" customFormat="1" ht="34" customHeight="1">
      <c r="B17" s="74"/>
      <c r="C17" s="74"/>
      <c r="D17" s="74"/>
      <c r="E17" s="75"/>
      <c r="F17" s="24" t="s">
        <v>17</v>
      </c>
      <c r="G17" s="23">
        <f>G15*G16</f>
        <v>52.871500000000005</v>
      </c>
    </row>
    <row r="18" spans="2:7" s="4" customFormat="1" ht="34" customHeight="1">
      <c r="B18" s="74"/>
      <c r="C18" s="74"/>
      <c r="D18" s="74"/>
      <c r="E18" s="75"/>
      <c r="F18" s="24" t="s">
        <v>18</v>
      </c>
      <c r="G18" s="23">
        <f>VLOOKUP(rngInvoice,InvoicesMain[],6)</f>
        <v>0</v>
      </c>
    </row>
    <row r="19" spans="2:7" s="4" customFormat="1" ht="30.75" customHeight="1" thickBot="1">
      <c r="B19" s="74"/>
      <c r="C19" s="74"/>
      <c r="D19" s="74"/>
      <c r="E19" s="76"/>
      <c r="F19" s="25" t="s">
        <v>19</v>
      </c>
      <c r="G19" s="23">
        <f>VLOOKUP(rngInvoice,InvoicesMain[],7)</f>
        <v>0</v>
      </c>
    </row>
    <row r="20" spans="2:7" ht="34" customHeight="1" thickTop="1">
      <c r="B20" s="77"/>
      <c r="C20" s="77"/>
      <c r="D20" s="77"/>
      <c r="E20" s="78"/>
      <c r="F20" s="18" t="s">
        <v>20</v>
      </c>
      <c r="G20" s="20">
        <f>(G15+G17+G18)-G19</f>
        <v>1110.3015</v>
      </c>
    </row>
  </sheetData>
  <sheetProtection formatCells="0" formatColumns="0" formatRows="0" selectLockedCells="1" sort="0"/>
  <mergeCells count="15">
    <mergeCell ref="B20:E20"/>
    <mergeCell ref="B19:E19"/>
    <mergeCell ref="D4:E4"/>
    <mergeCell ref="D5:E5"/>
    <mergeCell ref="D6:E6"/>
    <mergeCell ref="B15:E15"/>
    <mergeCell ref="B16:E16"/>
    <mergeCell ref="B17:E17"/>
    <mergeCell ref="B18:E18"/>
    <mergeCell ref="D2:E2"/>
    <mergeCell ref="D3:E3"/>
    <mergeCell ref="F2:G2"/>
    <mergeCell ref="F3:G3"/>
    <mergeCell ref="B2:C2"/>
    <mergeCell ref="B3:C3"/>
  </mergeCells>
  <phoneticPr fontId="1" type="noConversion"/>
  <conditionalFormatting sqref="B9:F14 F15:F19">
    <cfRule type="expression" dxfId="15" priority="19">
      <formula>MOD(ROW(),2)=0</formula>
    </cfRule>
  </conditionalFormatting>
  <conditionalFormatting sqref="C4">
    <cfRule type="duplicateValues" dxfId="14" priority="6"/>
  </conditionalFormatting>
  <conditionalFormatting sqref="C5">
    <cfRule type="duplicateValues" dxfId="13" priority="10"/>
  </conditionalFormatting>
  <conditionalFormatting sqref="C6">
    <cfRule type="duplicateValues" dxfId="12" priority="5"/>
  </conditionalFormatting>
  <conditionalFormatting sqref="G9:G14">
    <cfRule type="expression" dxfId="11" priority="16">
      <formula>MOD(ROW(),2)=0</formula>
    </cfRule>
    <cfRule type="expression" dxfId="10" priority="17">
      <formula>MOD(ROW(),2)=1</formula>
    </cfRule>
  </conditionalFormatting>
  <conditionalFormatting sqref="G15:G17">
    <cfRule type="expression" dxfId="9" priority="3">
      <formula>MOD(ROW(),2)=1</formula>
    </cfRule>
    <cfRule type="expression" dxfId="8" priority="4">
      <formula>MOD(ROW(),2)=0</formula>
    </cfRule>
  </conditionalFormatting>
  <conditionalFormatting sqref="G16">
    <cfRule type="expression" dxfId="7" priority="1">
      <formula>MOD(ROW(),2)=1</formula>
    </cfRule>
    <cfRule type="expression" dxfId="6" priority="2">
      <formula>MOD(ROW(),2)=0</formula>
    </cfRule>
  </conditionalFormatting>
  <conditionalFormatting sqref="G17:G19">
    <cfRule type="expression" dxfId="5" priority="13">
      <formula>MOD(ROW(),2)=1</formula>
    </cfRule>
    <cfRule type="expression" dxfId="4" priority="14">
      <formula>MOD(ROW(),2)=0</formula>
    </cfRule>
  </conditionalFormatting>
  <dataValidations count="1">
    <dataValidation type="list" allowBlank="1" showInputMessage="1" showErrorMessage="1" errorTitle="Invalid Data" error="Please select and Invoice number from this list. If your invoice isn't shown, check the worksheet named Invoices - Main." sqref="G4" xr:uid="{00000000-0002-0000-0000-000000000000}">
      <formula1>Invoice_No</formula1>
    </dataValidation>
  </dataValidations>
  <printOptions horizontalCentered="1"/>
  <pageMargins left="0.7" right="0.7" top="1" bottom="1" header="0.3" footer="0.3"/>
  <pageSetup paperSize="9" scale="71" orientation="portrait" horizontalDpi="300" verticalDpi="300" r:id="rId1"/>
  <headerFooter differentFirst="1" alignWithMargins="0">
    <oddFooter>Page &amp;P of &amp;N</oddFooter>
  </headerFooter>
  <ignoredErrors>
    <ignoredError sqref="B9:F9 B13:F14 B11:D11 F10:F11 B10 D10" emptyCellReference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4" tint="-0.249977111117893"/>
    <pageSetUpPr autoPageBreaks="0" fitToPage="1"/>
  </sheetPr>
  <dimension ref="A1:L41"/>
  <sheetViews>
    <sheetView showGridLines="0" topLeftCell="A25" zoomScaleNormal="100" workbookViewId="0">
      <selection activeCell="D38" sqref="D38"/>
    </sheetView>
  </sheetViews>
  <sheetFormatPr baseColWidth="10" defaultColWidth="9" defaultRowHeight="34" customHeight="1"/>
  <cols>
    <col min="1" max="1" width="2.83203125" style="28" customWidth="1"/>
    <col min="2" max="2" width="16.5" hidden="1" customWidth="1"/>
    <col min="3" max="3" width="18.6640625" customWidth="1"/>
    <col min="4" max="4" width="24.6640625" style="50" customWidth="1"/>
    <col min="5" max="5" width="22.33203125" style="50" customWidth="1"/>
    <col min="6" max="6" width="26.5" style="50" customWidth="1"/>
    <col min="7" max="7" width="17.33203125" style="50" customWidth="1"/>
    <col min="8" max="8" width="11.83203125" style="30" customWidth="1"/>
    <col min="9" max="9" width="15.6640625" style="27" customWidth="1"/>
    <col min="10" max="10" width="14.6640625" style="28" customWidth="1"/>
    <col min="11" max="11" width="22.5" style="28" customWidth="1"/>
    <col min="12" max="12" width="15.33203125" style="29" customWidth="1"/>
    <col min="13" max="13" width="2.83203125" customWidth="1"/>
  </cols>
  <sheetData>
    <row r="1" spans="2:12" ht="31" customHeight="1"/>
    <row r="2" spans="2:12" ht="29" customHeight="1">
      <c r="C2" s="51" t="s">
        <v>23</v>
      </c>
    </row>
    <row r="3" spans="2:12" s="52" customFormat="1" ht="24" customHeight="1">
      <c r="B3" s="53" t="s">
        <v>24</v>
      </c>
      <c r="C3" s="54" t="s">
        <v>25</v>
      </c>
      <c r="D3" s="54" t="s">
        <v>26</v>
      </c>
      <c r="E3" s="54" t="s">
        <v>27</v>
      </c>
      <c r="F3" s="54" t="s">
        <v>28</v>
      </c>
      <c r="G3" s="54" t="s">
        <v>29</v>
      </c>
      <c r="H3" s="54" t="s">
        <v>30</v>
      </c>
      <c r="I3" s="54" t="s">
        <v>31</v>
      </c>
      <c r="J3" s="54" t="s">
        <v>32</v>
      </c>
      <c r="K3" s="55" t="s">
        <v>33</v>
      </c>
      <c r="L3" s="54" t="s">
        <v>34</v>
      </c>
    </row>
    <row r="4" spans="2:12" ht="34" customHeight="1">
      <c r="B4" s="56" t="str">
        <f t="shared" ref="B4:B40" si="0">C4&amp; " - "&amp;D4</f>
        <v>1 - HESTIA SUPREME FOOD INC.</v>
      </c>
      <c r="C4" s="49">
        <v>1</v>
      </c>
      <c r="D4" s="57" t="s">
        <v>35</v>
      </c>
      <c r="E4" s="57"/>
      <c r="F4" s="57" t="s">
        <v>36</v>
      </c>
      <c r="G4" s="57"/>
      <c r="H4" s="53"/>
      <c r="I4" s="58"/>
      <c r="J4" s="59"/>
      <c r="K4" s="60"/>
      <c r="L4" s="59"/>
    </row>
    <row r="5" spans="2:12" ht="34" customHeight="1">
      <c r="B5" s="56" t="str">
        <f t="shared" ref="B5:B22" si="1">C5&amp; " - "&amp;D5</f>
        <v>3 - Jing Tan Grill House</v>
      </c>
      <c r="C5" s="49">
        <v>3</v>
      </c>
      <c r="D5" s="57" t="s">
        <v>37</v>
      </c>
      <c r="E5" s="57"/>
      <c r="F5" s="57" t="s">
        <v>38</v>
      </c>
      <c r="G5" s="57"/>
      <c r="H5" s="53"/>
      <c r="I5" s="58"/>
      <c r="J5" s="59"/>
      <c r="K5" s="60"/>
      <c r="L5" s="59"/>
    </row>
    <row r="6" spans="2:12" ht="34" customHeight="1">
      <c r="B6" s="56" t="str">
        <f t="shared" si="1"/>
        <v>4 - 7720 SUNNYHOLME CR.</v>
      </c>
      <c r="C6" s="49">
        <v>4</v>
      </c>
      <c r="D6" s="57" t="s">
        <v>39</v>
      </c>
      <c r="E6" s="57"/>
      <c r="F6" s="57"/>
      <c r="G6" s="57"/>
      <c r="H6" s="53"/>
      <c r="I6" s="58"/>
      <c r="J6" s="59"/>
      <c r="K6" s="60"/>
      <c r="L6" s="59"/>
    </row>
    <row r="7" spans="2:12" ht="34" customHeight="1">
      <c r="B7" s="56" t="str">
        <f t="shared" si="1"/>
        <v>5 - 3059 W 16TH AVE.</v>
      </c>
      <c r="C7" s="49">
        <v>5</v>
      </c>
      <c r="D7" s="57" t="s">
        <v>40</v>
      </c>
      <c r="E7" s="57"/>
      <c r="F7" s="57"/>
      <c r="G7" s="57"/>
      <c r="H7" s="53"/>
      <c r="I7" s="58"/>
      <c r="J7" s="59"/>
      <c r="K7" s="60"/>
      <c r="L7" s="59"/>
    </row>
    <row r="8" spans="2:12" ht="34" customHeight="1">
      <c r="B8" s="56" t="str">
        <f t="shared" si="1"/>
        <v>6 - 990  E 11TH AVE.</v>
      </c>
      <c r="C8" s="49">
        <v>6</v>
      </c>
      <c r="D8" s="57" t="s">
        <v>41</v>
      </c>
      <c r="E8" s="57"/>
      <c r="F8" s="57"/>
      <c r="G8" s="57"/>
      <c r="H8" s="53"/>
      <c r="I8" s="58"/>
      <c r="J8" s="59"/>
      <c r="K8" s="60"/>
      <c r="L8" s="59"/>
    </row>
    <row r="9" spans="2:12" ht="34" customHeight="1">
      <c r="B9" s="56" t="str">
        <f t="shared" si="1"/>
        <v>7 - 1126 ROBSON ST. ,VAN</v>
      </c>
      <c r="C9" s="49">
        <v>7</v>
      </c>
      <c r="D9" s="57" t="s">
        <v>42</v>
      </c>
      <c r="E9" s="57"/>
      <c r="F9" s="57"/>
      <c r="G9" s="57"/>
      <c r="H9" s="53"/>
      <c r="I9" s="58"/>
      <c r="J9" s="59"/>
      <c r="K9" s="60"/>
      <c r="L9" s="59"/>
    </row>
    <row r="10" spans="2:12" ht="34" customHeight="1">
      <c r="B10" s="56" t="str">
        <f t="shared" ref="B10:B19" si="2">C10&amp; " - "&amp;D10</f>
        <v>9 - 209 RONSOVAL CRESCENT</v>
      </c>
      <c r="C10" s="49">
        <v>9</v>
      </c>
      <c r="D10" s="57" t="s">
        <v>43</v>
      </c>
      <c r="E10" s="57"/>
      <c r="F10" s="57"/>
      <c r="G10" s="57"/>
      <c r="H10" s="53"/>
      <c r="I10" s="58"/>
      <c r="J10" s="59"/>
      <c r="K10" s="60"/>
      <c r="L10" s="59"/>
    </row>
    <row r="11" spans="2:12" ht="34" customHeight="1">
      <c r="B11" s="56" t="str">
        <f t="shared" si="2"/>
        <v>11 - 9160 Steveston HWY</v>
      </c>
      <c r="C11" s="49">
        <v>11</v>
      </c>
      <c r="D11" s="57" t="s">
        <v>44</v>
      </c>
      <c r="E11" s="57"/>
      <c r="F11" s="57"/>
      <c r="G11" s="57"/>
      <c r="H11" s="53"/>
      <c r="I11" s="58"/>
      <c r="J11" s="59"/>
      <c r="K11" s="60"/>
      <c r="L11" s="59"/>
    </row>
    <row r="12" spans="2:12" ht="34" customHeight="1">
      <c r="B12" s="56" t="str">
        <f t="shared" si="2"/>
        <v>12 - 907 HARRIS AVE</v>
      </c>
      <c r="C12" s="49">
        <v>12</v>
      </c>
      <c r="D12" s="57" t="s">
        <v>45</v>
      </c>
      <c r="E12" s="57"/>
      <c r="F12" s="57"/>
      <c r="G12" s="57"/>
      <c r="H12" s="53"/>
      <c r="I12" s="58"/>
      <c r="J12" s="59"/>
      <c r="K12" s="60"/>
      <c r="L12" s="59"/>
    </row>
    <row r="13" spans="2:12" ht="34" customHeight="1">
      <c r="B13" s="56" t="str">
        <f t="shared" si="2"/>
        <v>10 - 1540 YEW ST. VAN</v>
      </c>
      <c r="C13" s="49">
        <v>10</v>
      </c>
      <c r="D13" s="57" t="s">
        <v>46</v>
      </c>
      <c r="E13" s="57"/>
      <c r="F13" s="57"/>
      <c r="G13" s="57"/>
      <c r="H13" s="53"/>
      <c r="I13" s="58"/>
      <c r="J13" s="59"/>
      <c r="K13" s="60"/>
      <c r="L13" s="59"/>
    </row>
    <row r="14" spans="2:12" ht="34" customHeight="1">
      <c r="B14" s="56" t="str">
        <f t="shared" si="2"/>
        <v>13 - 201-609 stamp landing, Vancouver</v>
      </c>
      <c r="C14" s="49">
        <v>13</v>
      </c>
      <c r="D14" s="57" t="s">
        <v>47</v>
      </c>
      <c r="E14" s="57"/>
      <c r="F14" s="57"/>
      <c r="G14" s="57"/>
      <c r="H14" s="53"/>
      <c r="I14" s="58"/>
      <c r="J14" s="59"/>
      <c r="K14" s="60"/>
      <c r="L14" s="59"/>
    </row>
    <row r="15" spans="2:12" ht="34" customHeight="1">
      <c r="B15" s="56" t="str">
        <f>C15&amp; " - "&amp;D15</f>
        <v xml:space="preserve">16 - 2169 DORSET AVE. </v>
      </c>
      <c r="C15" s="49">
        <v>16</v>
      </c>
      <c r="D15" s="57" t="s">
        <v>48</v>
      </c>
      <c r="E15" s="57"/>
      <c r="F15" s="57"/>
      <c r="G15" s="57"/>
      <c r="H15" s="53"/>
      <c r="I15" s="58"/>
      <c r="J15" s="59"/>
      <c r="K15" s="60"/>
      <c r="L15" s="59"/>
    </row>
    <row r="16" spans="2:12" ht="34" customHeight="1">
      <c r="B16" s="56" t="str">
        <f>C16&amp; " - "&amp;D16</f>
        <v>15 - 3280 Jesmond Ave</v>
      </c>
      <c r="C16" s="49">
        <v>15</v>
      </c>
      <c r="D16" s="57" t="s">
        <v>49</v>
      </c>
      <c r="E16" s="57"/>
      <c r="F16" s="57"/>
      <c r="G16" s="57"/>
      <c r="H16" s="53"/>
      <c r="I16" s="58"/>
      <c r="J16" s="59"/>
      <c r="K16" s="60"/>
      <c r="L16" s="59"/>
    </row>
    <row r="17" spans="2:12" ht="34" customHeight="1">
      <c r="B17" s="56" t="str">
        <f>C17&amp; " - "&amp;D17</f>
        <v>18 - 6136 48A AVE. DELTA</v>
      </c>
      <c r="C17" s="49">
        <v>18</v>
      </c>
      <c r="D17" s="57" t="s">
        <v>50</v>
      </c>
      <c r="E17" s="57"/>
      <c r="F17" s="57"/>
      <c r="G17" s="57"/>
      <c r="H17" s="53"/>
      <c r="I17" s="58"/>
      <c r="J17" s="59"/>
      <c r="K17" s="60"/>
      <c r="L17" s="59"/>
    </row>
    <row r="18" spans="2:12" ht="34" customHeight="1">
      <c r="B18" s="56" t="str">
        <f>C18&amp; " - "&amp;D18</f>
        <v>17 - 7220 MAIN ST.</v>
      </c>
      <c r="C18" s="49">
        <v>17</v>
      </c>
      <c r="D18" s="57" t="s">
        <v>51</v>
      </c>
      <c r="E18" s="57"/>
      <c r="F18" s="57"/>
      <c r="G18" s="57"/>
      <c r="H18" s="53"/>
      <c r="I18" s="58"/>
      <c r="J18" s="59"/>
      <c r="K18" s="60"/>
      <c r="L18" s="59"/>
    </row>
    <row r="19" spans="2:12" ht="34" customHeight="1">
      <c r="B19" s="56" t="str">
        <f t="shared" si="2"/>
        <v>14 - 1168 ALBERNI ST.</v>
      </c>
      <c r="C19" s="49">
        <v>14</v>
      </c>
      <c r="D19" s="57" t="s">
        <v>52</v>
      </c>
      <c r="E19" s="57"/>
      <c r="F19" s="57"/>
      <c r="G19" s="57"/>
      <c r="H19" s="53"/>
      <c r="I19" s="58"/>
      <c r="J19" s="59"/>
      <c r="K19" s="60"/>
      <c r="L19" s="59"/>
    </row>
    <row r="20" spans="2:12" ht="34" customHeight="1">
      <c r="B20" s="56" t="str">
        <f>C20&amp; " - "&amp;D20</f>
        <v>19 - 11731 Alderwood CR. Delta</v>
      </c>
      <c r="C20" s="49">
        <v>19</v>
      </c>
      <c r="D20" s="57" t="s">
        <v>53</v>
      </c>
      <c r="E20" s="57"/>
      <c r="F20" s="57"/>
      <c r="G20" s="57"/>
      <c r="H20" s="53"/>
      <c r="I20" s="58"/>
      <c r="J20" s="59"/>
      <c r="K20" s="60"/>
      <c r="L20" s="59"/>
    </row>
    <row r="21" spans="2:12" ht="34" customHeight="1">
      <c r="B21" s="56" t="str">
        <f>C21&amp; " - "&amp;D21</f>
        <v>20 - 610 GARROW DRIVE</v>
      </c>
      <c r="C21" s="49">
        <v>20</v>
      </c>
      <c r="D21" s="57" t="s">
        <v>54</v>
      </c>
      <c r="E21" s="57"/>
      <c r="F21" s="57"/>
      <c r="G21" s="57"/>
      <c r="H21" s="53"/>
      <c r="I21" s="58"/>
      <c r="J21" s="59"/>
      <c r="K21" s="60"/>
      <c r="L21" s="59"/>
    </row>
    <row r="22" spans="2:12" ht="34" customHeight="1">
      <c r="B22" s="56" t="str">
        <f t="shared" si="1"/>
        <v>8 - 5890 PATRICK ST. BURNABY</v>
      </c>
      <c r="C22" s="49">
        <v>8</v>
      </c>
      <c r="D22" s="57" t="s">
        <v>55</v>
      </c>
      <c r="E22" s="57"/>
      <c r="F22" s="57"/>
      <c r="G22" s="57"/>
      <c r="H22" s="53"/>
      <c r="I22" s="58"/>
      <c r="J22" s="59"/>
      <c r="K22" s="60"/>
      <c r="L22" s="59"/>
    </row>
    <row r="23" spans="2:12" ht="34" customHeight="1">
      <c r="B23" s="56" t="str">
        <f t="shared" ref="B23:B32" si="3">C23&amp; " - "&amp;D23</f>
        <v>23 - ???</v>
      </c>
      <c r="C23" s="49">
        <v>23</v>
      </c>
      <c r="D23" s="57" t="s">
        <v>56</v>
      </c>
      <c r="E23" s="57"/>
      <c r="F23" s="57"/>
      <c r="G23" s="57"/>
      <c r="H23" s="53"/>
      <c r="I23" s="58"/>
      <c r="J23" s="59"/>
      <c r="K23" s="60"/>
      <c r="L23" s="59"/>
    </row>
    <row r="24" spans="2:12" ht="34" customHeight="1">
      <c r="B24" s="56" t="str">
        <f t="shared" si="3"/>
        <v>22 - 6135 48A AVE., DELTA</v>
      </c>
      <c r="C24" s="49">
        <v>22</v>
      </c>
      <c r="D24" s="57" t="s">
        <v>57</v>
      </c>
      <c r="E24" s="57"/>
      <c r="F24" s="57"/>
      <c r="G24" s="57"/>
      <c r="H24" s="53"/>
      <c r="I24" s="58"/>
      <c r="J24" s="59"/>
      <c r="K24" s="60"/>
      <c r="L24" s="59"/>
    </row>
    <row r="25" spans="2:12" ht="34" customHeight="1">
      <c r="B25" s="56" t="str">
        <f t="shared" si="3"/>
        <v>25 - 4581 Carson Pl burnaby</v>
      </c>
      <c r="C25" s="49">
        <v>25</v>
      </c>
      <c r="D25" s="57" t="s">
        <v>58</v>
      </c>
      <c r="E25" s="57"/>
      <c r="F25" s="57"/>
      <c r="G25" s="57"/>
      <c r="H25" s="53"/>
      <c r="I25" s="58"/>
      <c r="J25" s="59"/>
      <c r="K25" s="60"/>
      <c r="L25" s="59"/>
    </row>
    <row r="26" spans="2:12" ht="33" customHeight="1">
      <c r="B26" s="56" t="str">
        <f t="shared" si="3"/>
        <v>24 - 9120 Wilberforce St. Burnaby</v>
      </c>
      <c r="C26" s="49">
        <v>24</v>
      </c>
      <c r="D26" s="57" t="s">
        <v>59</v>
      </c>
      <c r="E26" s="57"/>
      <c r="F26" s="57"/>
      <c r="G26" s="57"/>
      <c r="H26" s="53"/>
      <c r="I26" s="58"/>
      <c r="J26" s="59"/>
      <c r="K26" s="60"/>
      <c r="L26" s="59"/>
    </row>
    <row r="27" spans="2:12" ht="33" customHeight="1">
      <c r="B27" s="56" t="str">
        <f t="shared" si="3"/>
        <v>26 - 4083 Fir St
Burnaby BC</v>
      </c>
      <c r="C27" s="49">
        <v>26</v>
      </c>
      <c r="D27" s="57" t="s">
        <v>60</v>
      </c>
      <c r="E27" s="57"/>
      <c r="F27" s="57"/>
      <c r="G27" s="57"/>
      <c r="H27" s="53"/>
      <c r="I27" s="58"/>
      <c r="J27" s="59"/>
      <c r="K27" s="60"/>
      <c r="L27" s="59"/>
    </row>
    <row r="28" spans="2:12" ht="33" customHeight="1">
      <c r="B28" s="56" t="str">
        <f>C28&amp; " - "&amp;D28</f>
        <v>28 - 4581 Carson Pl burnaby  BC V5J 2Y6</v>
      </c>
      <c r="C28" s="49">
        <v>28</v>
      </c>
      <c r="D28" s="57" t="s">
        <v>61</v>
      </c>
      <c r="E28" s="57"/>
      <c r="F28" s="57"/>
      <c r="G28" s="57"/>
      <c r="H28" s="53"/>
      <c r="I28" s="58"/>
      <c r="J28" s="59"/>
      <c r="K28" s="60"/>
      <c r="L28" s="59"/>
    </row>
    <row r="29" spans="2:12" ht="33" customHeight="1">
      <c r="B29" s="56" t="str">
        <f>C29&amp; " - "&amp;D29</f>
        <v xml:space="preserve">29 - 1068 KINGSWAY </v>
      </c>
      <c r="C29" s="49">
        <v>29</v>
      </c>
      <c r="D29" s="57" t="s">
        <v>62</v>
      </c>
      <c r="E29" s="57"/>
      <c r="F29" s="57"/>
      <c r="G29" s="57"/>
      <c r="H29" s="53"/>
      <c r="I29" s="58"/>
      <c r="J29" s="59"/>
      <c r="K29" s="60"/>
      <c r="L29" s="59"/>
    </row>
    <row r="30" spans="2:12" ht="33" customHeight="1">
      <c r="B30" s="56" t="str">
        <f>C30&amp; " - "&amp;D30</f>
        <v>27 - 1578 CHIPPENDALE RD.</v>
      </c>
      <c r="C30" s="49">
        <v>27</v>
      </c>
      <c r="D30" s="57" t="s">
        <v>63</v>
      </c>
      <c r="E30" s="57"/>
      <c r="F30" s="57"/>
      <c r="G30" s="57"/>
      <c r="H30" s="53"/>
      <c r="I30" s="58"/>
      <c r="J30" s="59"/>
      <c r="K30" s="60"/>
      <c r="L30" s="59"/>
    </row>
    <row r="31" spans="2:12" ht="33" customHeight="1">
      <c r="B31" s="56" t="str">
        <f>C31&amp; " - "&amp;D31</f>
        <v>30 - DEVELOPER CHOOSE PLUMBING &amp; HEATING LTD.</v>
      </c>
      <c r="C31" s="49">
        <v>30</v>
      </c>
      <c r="D31" s="57" t="s">
        <v>64</v>
      </c>
      <c r="E31" s="57"/>
      <c r="F31" s="57"/>
      <c r="G31" s="57"/>
      <c r="H31" s="53"/>
      <c r="I31" s="58"/>
      <c r="J31" s="59"/>
      <c r="K31" s="60"/>
      <c r="L31" s="59"/>
    </row>
    <row r="32" spans="2:12" ht="34" customHeight="1">
      <c r="B32" s="56" t="str">
        <f t="shared" si="3"/>
        <v>21 - ??</v>
      </c>
      <c r="C32" s="49">
        <v>21</v>
      </c>
      <c r="D32" s="57" t="s">
        <v>65</v>
      </c>
      <c r="E32" s="57"/>
      <c r="F32" s="57"/>
      <c r="G32" s="57"/>
      <c r="H32" s="53"/>
      <c r="I32" s="58"/>
      <c r="J32" s="59"/>
      <c r="K32" s="60"/>
      <c r="L32" s="59"/>
    </row>
    <row r="33" spans="2:12" ht="34" customHeight="1">
      <c r="B33" s="56" t="str">
        <f t="shared" ref="B33:B39" si="4">C33&amp; " - "&amp;D33</f>
        <v>32 - 2124 London st</v>
      </c>
      <c r="C33" s="49">
        <v>32</v>
      </c>
      <c r="D33" s="57" t="s">
        <v>244</v>
      </c>
      <c r="E33" s="57"/>
      <c r="F33" s="57"/>
      <c r="G33" s="57"/>
      <c r="H33" s="53"/>
      <c r="I33" s="58"/>
      <c r="J33" s="59"/>
      <c r="K33" s="60"/>
      <c r="L33" s="59"/>
    </row>
    <row r="34" spans="2:12" ht="34" customHeight="1">
      <c r="B34" s="56" t="str">
        <f t="shared" si="4"/>
        <v>34 - GJT ENTERPRISES LTD</v>
      </c>
      <c r="C34" s="49">
        <v>34</v>
      </c>
      <c r="D34" s="57" t="s">
        <v>254</v>
      </c>
      <c r="E34" s="57"/>
      <c r="F34" s="57"/>
      <c r="G34" s="57"/>
      <c r="H34" s="53"/>
      <c r="I34" s="58"/>
      <c r="J34" s="59"/>
      <c r="K34" s="60"/>
      <c r="L34" s="59"/>
    </row>
    <row r="35" spans="2:12" ht="34" customHeight="1">
      <c r="B35" s="56" t="str">
        <f t="shared" si="4"/>
        <v>35 - 6300 BIRCH ST. UNIT 73</v>
      </c>
      <c r="C35" s="49">
        <v>35</v>
      </c>
      <c r="D35" s="57" t="s">
        <v>260</v>
      </c>
      <c r="E35" s="57"/>
      <c r="F35" s="57"/>
      <c r="G35" s="57"/>
      <c r="H35" s="53"/>
      <c r="I35" s="58"/>
      <c r="J35" s="59"/>
      <c r="K35" s="60"/>
      <c r="L35" s="59"/>
    </row>
    <row r="36" spans="2:12" ht="34" customHeight="1">
      <c r="B36" s="56" t="str">
        <f t="shared" si="4"/>
        <v>36 - 6300 BIRCH ST. UNIT 80</v>
      </c>
      <c r="C36" s="49">
        <v>36</v>
      </c>
      <c r="D36" s="57" t="s">
        <v>263</v>
      </c>
      <c r="E36" s="57"/>
      <c r="F36" s="57"/>
      <c r="G36" s="57"/>
      <c r="H36" s="53"/>
      <c r="I36" s="58"/>
      <c r="J36" s="59"/>
      <c r="K36" s="60"/>
      <c r="L36" s="59"/>
    </row>
    <row r="37" spans="2:12" ht="34" customHeight="1">
      <c r="B37" s="56" t="str">
        <f t="shared" si="4"/>
        <v>31 - PYRAMID PLUMBING AND HEATING LTD</v>
      </c>
      <c r="C37" s="49">
        <v>31</v>
      </c>
      <c r="D37" s="57" t="s">
        <v>238</v>
      </c>
      <c r="E37" s="57"/>
      <c r="F37" s="57"/>
      <c r="G37" s="57"/>
      <c r="H37" s="53"/>
      <c r="I37" s="58"/>
      <c r="J37" s="59"/>
      <c r="K37" s="60"/>
      <c r="L37" s="59"/>
    </row>
    <row r="38" spans="2:12" ht="34" customHeight="1">
      <c r="B38" s="56" t="str">
        <f>C38&amp; " - "&amp;D38</f>
        <v>37 - 6111 sperling ave</v>
      </c>
      <c r="C38" s="49">
        <v>37</v>
      </c>
      <c r="D38" s="57" t="s">
        <v>268</v>
      </c>
      <c r="E38" s="57"/>
      <c r="F38" s="57"/>
      <c r="G38" s="57"/>
      <c r="H38" s="53"/>
      <c r="I38" s="58"/>
      <c r="J38" s="59"/>
      <c r="K38" s="60"/>
      <c r="L38" s="59"/>
    </row>
    <row r="39" spans="2:12" ht="34" customHeight="1">
      <c r="B39" s="56" t="str">
        <f t="shared" si="4"/>
        <v>33 - 11320 Sealord Rd.</v>
      </c>
      <c r="C39" s="49">
        <v>33</v>
      </c>
      <c r="D39" s="57" t="s">
        <v>248</v>
      </c>
      <c r="E39" s="57"/>
      <c r="F39" s="57"/>
      <c r="G39" s="57"/>
      <c r="H39" s="53"/>
      <c r="I39" s="58"/>
      <c r="J39" s="59"/>
      <c r="K39" s="60"/>
      <c r="L39" s="59"/>
    </row>
    <row r="40" spans="2:12" ht="34" customHeight="1">
      <c r="B40" s="56" t="str">
        <f t="shared" si="0"/>
        <v>2 - ERA ENTERPRICE LTD</v>
      </c>
      <c r="C40" s="49">
        <v>2</v>
      </c>
      <c r="D40" s="57" t="s">
        <v>66</v>
      </c>
      <c r="E40" s="57"/>
      <c r="F40" s="57"/>
      <c r="G40" s="57"/>
      <c r="H40" s="53"/>
      <c r="I40" s="58"/>
      <c r="J40" s="59"/>
      <c r="K40" s="60"/>
      <c r="L40" s="59"/>
    </row>
    <row r="41" spans="2:12" ht="34" customHeight="1">
      <c r="B41" s="70" t="s">
        <v>67</v>
      </c>
      <c r="C41" s="71" t="str">
        <f>"Total Customers: "&amp;SUBTOTAL(103,CustomerList[Company '#])</f>
        <v>Total Customers: 37</v>
      </c>
      <c r="D41" s="72"/>
      <c r="E41" s="72"/>
      <c r="F41" s="72"/>
      <c r="G41" s="72"/>
      <c r="H41" s="63"/>
      <c r="I41" s="64"/>
      <c r="J41" s="73"/>
      <c r="K41" s="64"/>
      <c r="L41" s="73"/>
    </row>
  </sheetData>
  <sheetProtection formatCells="0" formatColumns="0" formatRows="0" insertColumns="0" insertRows="0" insertHyperlinks="0" deleteColumns="0" deleteRows="0" selectLockedCells="1" sort="0" autoFilter="0" pivotTables="0"/>
  <phoneticPr fontId="20" type="noConversion"/>
  <conditionalFormatting sqref="C4:C40">
    <cfRule type="duplicateValues" dxfId="3" priority="56"/>
  </conditionalFormatting>
  <conditionalFormatting sqref="D4:D40">
    <cfRule type="duplicateValues" dxfId="2" priority="58"/>
  </conditionalFormatting>
  <printOptions horizontalCentered="1"/>
  <pageMargins left="0.25" right="0.25" top="0.75" bottom="0.75" header="0.3" footer="0.3"/>
  <pageSetup scale="68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4"/>
    <pageSetUpPr autoPageBreaks="0" fitToPage="1"/>
  </sheetPr>
  <dimension ref="A1:K53"/>
  <sheetViews>
    <sheetView showGridLines="0" topLeftCell="A33" zoomScaleNormal="100" workbookViewId="0">
      <selection activeCell="G51" sqref="G51"/>
    </sheetView>
  </sheetViews>
  <sheetFormatPr baseColWidth="10" defaultColWidth="9" defaultRowHeight="34" customHeight="1"/>
  <cols>
    <col min="1" max="1" width="2.83203125" customWidth="1"/>
    <col min="2" max="2" width="15.5" customWidth="1"/>
    <col min="3" max="3" width="20.6640625" customWidth="1"/>
    <col min="4" max="4" width="18.83203125" customWidth="1"/>
    <col min="5" max="5" width="25.83203125" customWidth="1"/>
    <col min="6" max="6" width="14.5" style="1" customWidth="1"/>
    <col min="7" max="7" width="11.5" style="1" customWidth="1"/>
    <col min="8" max="8" width="13.5" style="1" customWidth="1"/>
    <col min="9" max="9" width="17.83203125" style="1" customWidth="1"/>
    <col min="10" max="10" width="18.5" style="1" customWidth="1"/>
    <col min="11" max="11" width="29.83203125" customWidth="1"/>
    <col min="12" max="12" width="2.83203125" customWidth="1"/>
  </cols>
  <sheetData>
    <row r="1" spans="1:11" ht="31" customHeight="1">
      <c r="A1" s="28"/>
    </row>
    <row r="2" spans="1:11" ht="29" customHeight="1">
      <c r="B2" s="2" t="s">
        <v>68</v>
      </c>
    </row>
    <row r="3" spans="1:11" ht="24" customHeight="1">
      <c r="B3" s="31" t="s">
        <v>69</v>
      </c>
      <c r="C3" s="31" t="s">
        <v>70</v>
      </c>
      <c r="D3" s="31" t="s">
        <v>71</v>
      </c>
      <c r="E3" s="31" t="s">
        <v>72</v>
      </c>
      <c r="F3" s="31" t="s">
        <v>16</v>
      </c>
      <c r="G3" s="31" t="s">
        <v>18</v>
      </c>
      <c r="H3" s="31" t="s">
        <v>73</v>
      </c>
      <c r="I3" s="31" t="s">
        <v>74</v>
      </c>
      <c r="J3" s="31" t="s">
        <v>75</v>
      </c>
      <c r="K3" s="31" t="s">
        <v>76</v>
      </c>
    </row>
    <row r="4" spans="1:11" ht="34" customHeight="1">
      <c r="B4" s="38" t="s">
        <v>77</v>
      </c>
      <c r="C4" s="32" t="s">
        <v>78</v>
      </c>
      <c r="D4" s="6">
        <v>44795</v>
      </c>
      <c r="E4" s="5"/>
      <c r="F4" s="34">
        <v>0.05</v>
      </c>
      <c r="G4" s="35"/>
      <c r="H4" s="35"/>
      <c r="I4" s="35">
        <f>SUMIF(InvoiceDetails[Invoice '#],"="&amp;InvoicesMain[[#This Row],[Invoice '#]],InvoiceDetails[Total])</f>
        <v>150</v>
      </c>
      <c r="J4" s="35">
        <f>(InvoicesMain[[#This Row],[Detail Total]]*(1+InvoicesMain[[#This Row],[Tax Rate]]))+InvoicesMain[[#This Row],[Other]]-InvoicesMain[[#This Row],[Deposit]]</f>
        <v>157.5</v>
      </c>
      <c r="K4" s="33"/>
    </row>
    <row r="5" spans="1:11" ht="34" customHeight="1">
      <c r="B5" s="38" t="s">
        <v>79</v>
      </c>
      <c r="C5" s="32" t="s">
        <v>80</v>
      </c>
      <c r="D5" s="6">
        <v>44809</v>
      </c>
      <c r="E5" s="5"/>
      <c r="F5" s="34">
        <v>0.05</v>
      </c>
      <c r="G5" s="35"/>
      <c r="H5" s="35"/>
      <c r="I5" s="35">
        <f>SUMIF(InvoiceDetails[Invoice '#],"="&amp;InvoicesMain[[#This Row],[Invoice '#]],InvoiceDetails[Total])</f>
        <v>2350</v>
      </c>
      <c r="J5" s="35">
        <f>(InvoicesMain[[#This Row],[Detail Total]]*(1+InvoicesMain[[#This Row],[Tax Rate]]))+InvoicesMain[[#This Row],[Other]]-InvoicesMain[[#This Row],[Deposit]]</f>
        <v>2467.5</v>
      </c>
      <c r="K5" s="33"/>
    </row>
    <row r="6" spans="1:11" ht="34" customHeight="1">
      <c r="B6" s="38" t="s">
        <v>81</v>
      </c>
      <c r="C6" s="32" t="s">
        <v>82</v>
      </c>
      <c r="D6" s="47">
        <v>44817</v>
      </c>
      <c r="E6" s="5"/>
      <c r="F6" s="34">
        <v>0.05</v>
      </c>
      <c r="G6" s="35"/>
      <c r="H6" s="35"/>
      <c r="I6" s="35">
        <f>SUMIF(InvoiceDetails[Invoice '#],"="&amp;InvoicesMain[[#This Row],[Invoice '#]],InvoiceDetails[Total])</f>
        <v>200</v>
      </c>
      <c r="J6" s="35">
        <f>(InvoicesMain[[#This Row],[Detail Total]]*(1+InvoicesMain[[#This Row],[Tax Rate]]))+InvoicesMain[[#This Row],[Other]]-InvoicesMain[[#This Row],[Deposit]]</f>
        <v>210</v>
      </c>
      <c r="K6" s="33"/>
    </row>
    <row r="7" spans="1:11" ht="34" customHeight="1">
      <c r="B7" s="38" t="s">
        <v>83</v>
      </c>
      <c r="C7" s="32" t="s">
        <v>84</v>
      </c>
      <c r="D7" s="47">
        <v>44817</v>
      </c>
      <c r="E7" s="5"/>
      <c r="F7" s="34">
        <v>0.05</v>
      </c>
      <c r="G7" s="35"/>
      <c r="H7" s="35"/>
      <c r="I7" s="35">
        <f>SUMIF(InvoiceDetails[Invoice '#],"="&amp;InvoicesMain[[#This Row],[Invoice '#]],InvoiceDetails[Total])</f>
        <v>250</v>
      </c>
      <c r="J7" s="35">
        <f>(InvoicesMain[[#This Row],[Detail Total]]*(1+InvoicesMain[[#This Row],[Tax Rate]]))+InvoicesMain[[#This Row],[Other]]-InvoicesMain[[#This Row],[Deposit]]</f>
        <v>262.5</v>
      </c>
      <c r="K7" s="33"/>
    </row>
    <row r="8" spans="1:11" ht="34" customHeight="1">
      <c r="B8" s="38" t="s">
        <v>85</v>
      </c>
      <c r="C8" s="32" t="s">
        <v>86</v>
      </c>
      <c r="D8" s="47">
        <v>44818</v>
      </c>
      <c r="E8" s="5"/>
      <c r="F8" s="34">
        <v>0.05</v>
      </c>
      <c r="G8" s="35"/>
      <c r="H8" s="35"/>
      <c r="I8" s="35">
        <f>SUMIF(InvoiceDetails[Invoice '#],"="&amp;InvoicesMain[[#This Row],[Invoice '#]],InvoiceDetails[Total])</f>
        <v>1744.88</v>
      </c>
      <c r="J8" s="35">
        <f>(InvoicesMain[[#This Row],[Detail Total]]*(1+InvoicesMain[[#This Row],[Tax Rate]]))+InvoicesMain[[#This Row],[Other]]-InvoicesMain[[#This Row],[Deposit]]</f>
        <v>1832.1240000000003</v>
      </c>
      <c r="K8" s="33"/>
    </row>
    <row r="9" spans="1:11" ht="34" customHeight="1">
      <c r="B9" s="38" t="s">
        <v>87</v>
      </c>
      <c r="C9" s="32" t="s">
        <v>88</v>
      </c>
      <c r="D9" s="47">
        <v>44825</v>
      </c>
      <c r="E9" s="5"/>
      <c r="F9" s="34">
        <v>0.05</v>
      </c>
      <c r="G9" s="35"/>
      <c r="H9" s="35"/>
      <c r="I9" s="35">
        <f>SUMIF(InvoiceDetails[Invoice '#],"="&amp;InvoicesMain[[#This Row],[Invoice '#]],InvoiceDetails[Total])</f>
        <v>7050</v>
      </c>
      <c r="J9" s="35">
        <f>(InvoicesMain[[#This Row],[Detail Total]]*(1+InvoicesMain[[#This Row],[Tax Rate]]))+InvoicesMain[[#This Row],[Other]]-InvoicesMain[[#This Row],[Deposit]]</f>
        <v>7402.5</v>
      </c>
      <c r="K9" s="33"/>
    </row>
    <row r="10" spans="1:11" ht="34" customHeight="1">
      <c r="B10" s="38" t="s">
        <v>89</v>
      </c>
      <c r="C10" s="32" t="s">
        <v>90</v>
      </c>
      <c r="D10" s="47">
        <v>44825</v>
      </c>
      <c r="E10" s="5"/>
      <c r="F10" s="34">
        <v>0.05</v>
      </c>
      <c r="G10" s="35"/>
      <c r="H10" s="35"/>
      <c r="I10" s="35">
        <f>SUMIF(InvoiceDetails[Invoice '#],"="&amp;InvoicesMain[[#This Row],[Invoice '#]],InvoiceDetails[Total])</f>
        <v>2857.14</v>
      </c>
      <c r="J10" s="35">
        <f>(InvoicesMain[[#This Row],[Detail Total]]*(1+InvoicesMain[[#This Row],[Tax Rate]]))+InvoicesMain[[#This Row],[Other]]-InvoicesMain[[#This Row],[Deposit]]</f>
        <v>2999.9969999999998</v>
      </c>
      <c r="K10" s="33"/>
    </row>
    <row r="11" spans="1:11" ht="34" customHeight="1">
      <c r="B11" s="38" t="s">
        <v>91</v>
      </c>
      <c r="C11" s="32" t="s">
        <v>92</v>
      </c>
      <c r="D11" s="47">
        <v>44825</v>
      </c>
      <c r="E11" s="5"/>
      <c r="F11" s="34">
        <v>0.05</v>
      </c>
      <c r="G11" s="35"/>
      <c r="H11" s="35"/>
      <c r="I11" s="35">
        <f>SUMIF(InvoiceDetails[Invoice '#],"="&amp;InvoicesMain[[#This Row],[Invoice '#]],InvoiceDetails[Total])</f>
        <v>3000</v>
      </c>
      <c r="J11" s="35">
        <f>(InvoicesMain[[#This Row],[Detail Total]]*(1+InvoicesMain[[#This Row],[Tax Rate]]))+InvoicesMain[[#This Row],[Other]]-InvoicesMain[[#This Row],[Deposit]]</f>
        <v>3150</v>
      </c>
      <c r="K11" s="33"/>
    </row>
    <row r="12" spans="1:11" ht="34" customHeight="1">
      <c r="B12" s="38" t="s">
        <v>93</v>
      </c>
      <c r="C12" s="32" t="s">
        <v>94</v>
      </c>
      <c r="D12" s="47">
        <v>44877</v>
      </c>
      <c r="E12" s="5"/>
      <c r="F12" s="34">
        <v>0.05</v>
      </c>
      <c r="G12" s="35"/>
      <c r="H12" s="35"/>
      <c r="I12" s="35">
        <f>SUMIF(InvoiceDetails[Invoice '#],"="&amp;InvoicesMain[[#This Row],[Invoice '#]],InvoiceDetails[Total])</f>
        <v>400</v>
      </c>
      <c r="J12" s="35">
        <f>(InvoicesMain[[#This Row],[Detail Total]]*(1+InvoicesMain[[#This Row],[Tax Rate]]))+InvoicesMain[[#This Row],[Other]]-InvoicesMain[[#This Row],[Deposit]]</f>
        <v>420</v>
      </c>
      <c r="K12" s="33"/>
    </row>
    <row r="13" spans="1:11" ht="34" customHeight="1">
      <c r="B13" s="38" t="s">
        <v>95</v>
      </c>
      <c r="C13" s="32" t="s">
        <v>96</v>
      </c>
      <c r="D13" s="47">
        <v>44838</v>
      </c>
      <c r="E13" s="5"/>
      <c r="F13" s="34">
        <v>0.05</v>
      </c>
      <c r="G13" s="35"/>
      <c r="H13" s="35"/>
      <c r="I13" s="35">
        <f>SUMIF(InvoiceDetails[Invoice '#],"="&amp;InvoicesMain[[#This Row],[Invoice '#]],InvoiceDetails[Total])</f>
        <v>350</v>
      </c>
      <c r="J13" s="35">
        <f>(InvoicesMain[[#This Row],[Detail Total]]*(1+InvoicesMain[[#This Row],[Tax Rate]]))+InvoicesMain[[#This Row],[Other]]-InvoicesMain[[#This Row],[Deposit]]</f>
        <v>367.5</v>
      </c>
      <c r="K13" s="33"/>
    </row>
    <row r="14" spans="1:11" ht="34" customHeight="1">
      <c r="B14" s="38" t="s">
        <v>97</v>
      </c>
      <c r="C14" s="32" t="s">
        <v>86</v>
      </c>
      <c r="D14" s="47">
        <v>44900</v>
      </c>
      <c r="E14" s="5"/>
      <c r="F14" s="34">
        <v>0.05</v>
      </c>
      <c r="G14" s="35"/>
      <c r="H14" s="35"/>
      <c r="I14" s="35">
        <f>SUMIF(InvoiceDetails[Invoice '#],"="&amp;InvoicesMain[[#This Row],[Invoice '#]],InvoiceDetails[Total])</f>
        <v>250</v>
      </c>
      <c r="J14" s="35">
        <f>(InvoicesMain[[#This Row],[Detail Total]]*(1+InvoicesMain[[#This Row],[Tax Rate]]))+InvoicesMain[[#This Row],[Other]]-InvoicesMain[[#This Row],[Deposit]]</f>
        <v>262.5</v>
      </c>
      <c r="K14" s="33"/>
    </row>
    <row r="15" spans="1:11" ht="34" customHeight="1">
      <c r="B15" s="38" t="s">
        <v>98</v>
      </c>
      <c r="C15" s="32" t="s">
        <v>99</v>
      </c>
      <c r="D15" s="47">
        <v>44905</v>
      </c>
      <c r="E15" s="5"/>
      <c r="F15" s="34">
        <v>0.05</v>
      </c>
      <c r="G15" s="35"/>
      <c r="H15" s="35"/>
      <c r="I15" s="35">
        <f>SUMIF(InvoiceDetails[Invoice '#],"="&amp;InvoicesMain[[#This Row],[Invoice '#]],InvoiceDetails[Total])</f>
        <v>5500</v>
      </c>
      <c r="J15" s="35">
        <f>(InvoicesMain[[#This Row],[Detail Total]]*(1+InvoicesMain[[#This Row],[Tax Rate]]))+InvoicesMain[[#This Row],[Other]]-InvoicesMain[[#This Row],[Deposit]]</f>
        <v>5775</v>
      </c>
      <c r="K15" s="33"/>
    </row>
    <row r="16" spans="1:11" ht="34" customHeight="1">
      <c r="B16" s="38" t="s">
        <v>100</v>
      </c>
      <c r="C16" s="32" t="s">
        <v>88</v>
      </c>
      <c r="D16" s="47">
        <v>44915</v>
      </c>
      <c r="E16" s="5"/>
      <c r="F16" s="34">
        <v>0.05</v>
      </c>
      <c r="G16" s="35"/>
      <c r="H16" s="35"/>
      <c r="I16" s="35">
        <f>SUMIF(InvoiceDetails[Invoice '#],"="&amp;InvoicesMain[[#This Row],[Invoice '#]],InvoiceDetails[Total])</f>
        <v>6200</v>
      </c>
      <c r="J16" s="35">
        <f>(InvoicesMain[[#This Row],[Detail Total]]*(1+InvoicesMain[[#This Row],[Tax Rate]]))+InvoicesMain[[#This Row],[Other]]-InvoicesMain[[#This Row],[Deposit]]</f>
        <v>6510</v>
      </c>
      <c r="K16" s="33"/>
    </row>
    <row r="17" spans="2:11" ht="34" customHeight="1">
      <c r="B17" s="38" t="s">
        <v>101</v>
      </c>
      <c r="C17" s="32" t="s">
        <v>88</v>
      </c>
      <c r="D17" s="47">
        <v>44916</v>
      </c>
      <c r="E17" s="5"/>
      <c r="F17" s="34">
        <v>0.05</v>
      </c>
      <c r="G17" s="35"/>
      <c r="H17" s="35"/>
      <c r="I17" s="35">
        <f>SUMIF(InvoiceDetails[Invoice '#],"="&amp;InvoicesMain[[#This Row],[Invoice '#]],InvoiceDetails[Total])</f>
        <v>7950</v>
      </c>
      <c r="J17" s="35">
        <f>(InvoicesMain[[#This Row],[Detail Total]]*(1+InvoicesMain[[#This Row],[Tax Rate]]))+InvoicesMain[[#This Row],[Other]]-InvoicesMain[[#This Row],[Deposit]]</f>
        <v>8347.5</v>
      </c>
      <c r="K17" s="33"/>
    </row>
    <row r="18" spans="2:11" ht="34" customHeight="1">
      <c r="B18" s="38" t="s">
        <v>102</v>
      </c>
      <c r="C18" s="32" t="s">
        <v>103</v>
      </c>
      <c r="D18" s="47">
        <v>44887</v>
      </c>
      <c r="E18" s="5"/>
      <c r="F18" s="34">
        <v>0.05</v>
      </c>
      <c r="G18" s="35"/>
      <c r="H18" s="35"/>
      <c r="I18" s="35">
        <f>SUMIF(InvoiceDetails[Invoice '#],"="&amp;InvoicesMain[[#This Row],[Invoice '#]],InvoiceDetails[Total])</f>
        <v>300</v>
      </c>
      <c r="J18" s="35">
        <f>(InvoicesMain[[#This Row],[Detail Total]]*(1+InvoicesMain[[#This Row],[Tax Rate]]))+InvoicesMain[[#This Row],[Other]]-InvoicesMain[[#This Row],[Deposit]]</f>
        <v>315</v>
      </c>
      <c r="K18" s="33"/>
    </row>
    <row r="19" spans="2:11" ht="34" customHeight="1">
      <c r="B19" s="38" t="s">
        <v>104</v>
      </c>
      <c r="C19" s="32" t="s">
        <v>105</v>
      </c>
      <c r="D19" s="47">
        <v>44931</v>
      </c>
      <c r="E19" s="5"/>
      <c r="F19" s="34">
        <v>0.05</v>
      </c>
      <c r="G19" s="35"/>
      <c r="H19" s="35"/>
      <c r="I19" s="35">
        <f>SUMIF(InvoiceDetails[Invoice '#],"="&amp;InvoicesMain[[#This Row],[Invoice '#]],InvoiceDetails[Total])</f>
        <v>17500</v>
      </c>
      <c r="J19" s="35">
        <f>(InvoicesMain[[#This Row],[Detail Total]]*(1+InvoicesMain[[#This Row],[Tax Rate]]))+InvoicesMain[[#This Row],[Other]]-InvoicesMain[[#This Row],[Deposit]]</f>
        <v>18375</v>
      </c>
      <c r="K19" s="33"/>
    </row>
    <row r="20" spans="2:11" ht="34" customHeight="1">
      <c r="B20" s="38" t="s">
        <v>106</v>
      </c>
      <c r="C20" s="32" t="s">
        <v>107</v>
      </c>
      <c r="D20" s="47" t="s">
        <v>108</v>
      </c>
      <c r="E20" s="5"/>
      <c r="F20" s="34">
        <v>0.05</v>
      </c>
      <c r="G20" s="35"/>
      <c r="H20" s="35"/>
      <c r="I20" s="35">
        <f>SUMIF(InvoiceDetails[Invoice '#],"="&amp;InvoicesMain[[#This Row],[Invoice '#]],InvoiceDetails[Total])</f>
        <v>2000</v>
      </c>
      <c r="J20" s="35">
        <f>(InvoicesMain[[#This Row],[Detail Total]]*(1+InvoicesMain[[#This Row],[Tax Rate]]))+InvoicesMain[[#This Row],[Other]]-InvoicesMain[[#This Row],[Deposit]]</f>
        <v>2100</v>
      </c>
      <c r="K20" s="33"/>
    </row>
    <row r="21" spans="2:11" ht="34" customHeight="1">
      <c r="B21" s="38" t="s">
        <v>109</v>
      </c>
      <c r="C21" s="32" t="s">
        <v>110</v>
      </c>
      <c r="D21" s="47" t="s">
        <v>108</v>
      </c>
      <c r="E21" s="5"/>
      <c r="F21" s="34">
        <v>0.05</v>
      </c>
      <c r="G21" s="35"/>
      <c r="H21" s="35"/>
      <c r="I21" s="35">
        <f>SUMIF(InvoiceDetails[Invoice '#],"="&amp;InvoicesMain[[#This Row],[Invoice '#]],InvoiceDetails[Total])</f>
        <v>7250</v>
      </c>
      <c r="J21" s="35">
        <f>(InvoicesMain[[#This Row],[Detail Total]]*(1+InvoicesMain[[#This Row],[Tax Rate]]))+InvoicesMain[[#This Row],[Other]]-InvoicesMain[[#This Row],[Deposit]]</f>
        <v>7612.5</v>
      </c>
      <c r="K21" s="33"/>
    </row>
    <row r="22" spans="2:11" ht="34" customHeight="1">
      <c r="B22" s="38" t="s">
        <v>111</v>
      </c>
      <c r="C22" s="32" t="s">
        <v>112</v>
      </c>
      <c r="D22" s="47">
        <v>44937</v>
      </c>
      <c r="E22" s="5"/>
      <c r="F22" s="34">
        <v>0.05</v>
      </c>
      <c r="G22" s="35"/>
      <c r="H22" s="35"/>
      <c r="I22" s="35">
        <f>SUMIF(InvoiceDetails[Invoice '#],"="&amp;InvoicesMain[[#This Row],[Invoice '#]],InvoiceDetails[Total])</f>
        <v>710</v>
      </c>
      <c r="J22" s="35">
        <f>(InvoicesMain[[#This Row],[Detail Total]]*(1+InvoicesMain[[#This Row],[Tax Rate]]))+InvoicesMain[[#This Row],[Other]]-InvoicesMain[[#This Row],[Deposit]]</f>
        <v>745.5</v>
      </c>
      <c r="K22" s="33"/>
    </row>
    <row r="23" spans="2:11" ht="34" customHeight="1">
      <c r="B23" s="38" t="s">
        <v>113</v>
      </c>
      <c r="C23" s="32" t="s">
        <v>88</v>
      </c>
      <c r="D23" s="47" t="s">
        <v>114</v>
      </c>
      <c r="E23" s="5"/>
      <c r="F23" s="34">
        <v>0.05</v>
      </c>
      <c r="G23" s="35"/>
      <c r="H23" s="35"/>
      <c r="I23" s="35">
        <f>SUMIF(InvoiceDetails[Invoice '#],"="&amp;InvoicesMain[[#This Row],[Invoice '#]],InvoiceDetails[Total])</f>
        <v>6475</v>
      </c>
      <c r="J23" s="35">
        <f>(InvoicesMain[[#This Row],[Detail Total]]*(1+InvoicesMain[[#This Row],[Tax Rate]]))+InvoicesMain[[#This Row],[Other]]-InvoicesMain[[#This Row],[Deposit]]</f>
        <v>6798.75</v>
      </c>
      <c r="K23" s="33"/>
    </row>
    <row r="24" spans="2:11" ht="34" customHeight="1">
      <c r="B24" s="38" t="s">
        <v>115</v>
      </c>
      <c r="C24" s="32" t="s">
        <v>116</v>
      </c>
      <c r="D24" s="47" t="s">
        <v>117</v>
      </c>
      <c r="E24" s="5"/>
      <c r="F24" s="34">
        <v>0.05</v>
      </c>
      <c r="G24" s="35"/>
      <c r="H24" s="35"/>
      <c r="I24" s="35">
        <f>SUMIF(InvoiceDetails[Invoice '#],"="&amp;InvoicesMain[[#This Row],[Invoice '#]],InvoiceDetails[Total])</f>
        <v>10500</v>
      </c>
      <c r="J24" s="35">
        <f>(InvoicesMain[[#This Row],[Detail Total]]*(1+InvoicesMain[[#This Row],[Tax Rate]]))+InvoicesMain[[#This Row],[Other]]-InvoicesMain[[#This Row],[Deposit]]</f>
        <v>11025</v>
      </c>
      <c r="K24" s="33"/>
    </row>
    <row r="25" spans="2:11" ht="34" customHeight="1">
      <c r="B25" s="38" t="s">
        <v>118</v>
      </c>
      <c r="C25" s="32" t="s">
        <v>119</v>
      </c>
      <c r="D25" s="47" t="s">
        <v>120</v>
      </c>
      <c r="E25" s="5"/>
      <c r="F25" s="34">
        <v>0.05</v>
      </c>
      <c r="G25" s="35"/>
      <c r="H25" s="35"/>
      <c r="I25" s="35">
        <f>SUMIF(InvoiceDetails[Invoice '#],"="&amp;InvoicesMain[[#This Row],[Invoice '#]],InvoiceDetails[Total])</f>
        <v>150</v>
      </c>
      <c r="J25" s="35">
        <f>(InvoicesMain[[#This Row],[Detail Total]]*(1+InvoicesMain[[#This Row],[Tax Rate]]))+InvoicesMain[[#This Row],[Other]]-InvoicesMain[[#This Row],[Deposit]]</f>
        <v>157.5</v>
      </c>
      <c r="K25" s="33"/>
    </row>
    <row r="26" spans="2:11" ht="34" customHeight="1">
      <c r="B26" s="38" t="s">
        <v>121</v>
      </c>
      <c r="C26" s="32" t="s">
        <v>122</v>
      </c>
      <c r="D26" s="47" t="s">
        <v>123</v>
      </c>
      <c r="E26" s="5"/>
      <c r="F26" s="34">
        <v>0.05</v>
      </c>
      <c r="G26" s="35"/>
      <c r="H26" s="35"/>
      <c r="I26" s="35">
        <f>SUMIF(InvoiceDetails[Invoice '#],"="&amp;InvoicesMain[[#This Row],[Invoice '#]],InvoiceDetails[Total])</f>
        <v>300</v>
      </c>
      <c r="J26" s="35">
        <f>(InvoicesMain[[#This Row],[Detail Total]]*(1+InvoicesMain[[#This Row],[Tax Rate]]))+InvoicesMain[[#This Row],[Other]]-InvoicesMain[[#This Row],[Deposit]]</f>
        <v>315</v>
      </c>
      <c r="K26" s="33"/>
    </row>
    <row r="27" spans="2:11" ht="34" customHeight="1">
      <c r="B27" s="38" t="s">
        <v>124</v>
      </c>
      <c r="C27" s="32" t="s">
        <v>125</v>
      </c>
      <c r="D27" s="47" t="s">
        <v>126</v>
      </c>
      <c r="E27" s="5"/>
      <c r="F27" s="34">
        <v>0.05</v>
      </c>
      <c r="G27" s="35"/>
      <c r="H27" s="35"/>
      <c r="I27" s="35">
        <f>SUMIF(InvoiceDetails[Invoice '#],"="&amp;InvoicesMain[[#This Row],[Invoice '#]],InvoiceDetails[Total])</f>
        <v>5000</v>
      </c>
      <c r="J27" s="35">
        <f>(InvoicesMain[[#This Row],[Detail Total]]*(1+InvoicesMain[[#This Row],[Tax Rate]]))+InvoicesMain[[#This Row],[Other]]-InvoicesMain[[#This Row],[Deposit]]</f>
        <v>5250</v>
      </c>
      <c r="K27" s="33"/>
    </row>
    <row r="28" spans="2:11" ht="34" customHeight="1">
      <c r="B28" s="38" t="s">
        <v>127</v>
      </c>
      <c r="C28" s="32" t="s">
        <v>88</v>
      </c>
      <c r="D28" s="47" t="s">
        <v>128</v>
      </c>
      <c r="E28" s="5"/>
      <c r="F28" s="34">
        <v>0.05</v>
      </c>
      <c r="G28" s="35"/>
      <c r="H28" s="35"/>
      <c r="I28" s="35">
        <f>SUMIF(InvoiceDetails[Invoice '#],"="&amp;InvoicesMain[[#This Row],[Invoice '#]],InvoiceDetails[Total])</f>
        <v>600</v>
      </c>
      <c r="J28" s="35">
        <f>(InvoicesMain[[#This Row],[Detail Total]]*(1+InvoicesMain[[#This Row],[Tax Rate]]))+InvoicesMain[[#This Row],[Other]]-InvoicesMain[[#This Row],[Deposit]]</f>
        <v>630</v>
      </c>
      <c r="K28" s="33"/>
    </row>
    <row r="29" spans="2:11" ht="34" customHeight="1">
      <c r="B29" s="38" t="s">
        <v>129</v>
      </c>
      <c r="C29" s="32" t="s">
        <v>130</v>
      </c>
      <c r="D29" s="47" t="s">
        <v>131</v>
      </c>
      <c r="E29" s="5"/>
      <c r="F29" s="34">
        <v>0.05</v>
      </c>
      <c r="G29" s="35"/>
      <c r="H29" s="35"/>
      <c r="I29" s="35">
        <f>SUMIF(InvoiceDetails[Invoice '#],"="&amp;InvoicesMain[[#This Row],[Invoice '#]],InvoiceDetails[Total])</f>
        <v>1000</v>
      </c>
      <c r="J29" s="35">
        <f>(InvoicesMain[[#This Row],[Detail Total]]*(1+InvoicesMain[[#This Row],[Tax Rate]]))+InvoicesMain[[#This Row],[Other]]-InvoicesMain[[#This Row],[Deposit]]</f>
        <v>1050</v>
      </c>
      <c r="K29" s="33"/>
    </row>
    <row r="30" spans="2:11" ht="34" customHeight="1">
      <c r="B30" s="38" t="s">
        <v>132</v>
      </c>
      <c r="C30" s="32" t="s">
        <v>133</v>
      </c>
      <c r="D30" s="47">
        <v>45183</v>
      </c>
      <c r="E30" s="5"/>
      <c r="F30" s="34">
        <v>0.05</v>
      </c>
      <c r="G30" s="35"/>
      <c r="H30" s="35"/>
      <c r="I30" s="35">
        <f>SUMIF(InvoiceDetails[Invoice '#],"="&amp;InvoicesMain[[#This Row],[Invoice '#]],InvoiceDetails[Total])</f>
        <v>960</v>
      </c>
      <c r="J30" s="35">
        <f>(InvoicesMain[[#This Row],[Detail Total]]*(1+InvoicesMain[[#This Row],[Tax Rate]]))+InvoicesMain[[#This Row],[Other]]-InvoicesMain[[#This Row],[Deposit]]</f>
        <v>1008</v>
      </c>
      <c r="K30" s="33"/>
    </row>
    <row r="31" spans="2:11" ht="34" customHeight="1">
      <c r="B31" s="38" t="s">
        <v>134</v>
      </c>
      <c r="C31" s="32" t="s">
        <v>135</v>
      </c>
      <c r="D31" s="47">
        <v>45188</v>
      </c>
      <c r="E31" s="5"/>
      <c r="F31" s="34">
        <v>0.05</v>
      </c>
      <c r="G31" s="35"/>
      <c r="H31" s="35"/>
      <c r="I31" s="35">
        <f>SUMIF(InvoiceDetails[Invoice '#],"="&amp;InvoicesMain[[#This Row],[Invoice '#]],InvoiceDetails[Total])</f>
        <v>13000</v>
      </c>
      <c r="J31" s="35">
        <f>(InvoicesMain[[#This Row],[Detail Total]]*(1+InvoicesMain[[#This Row],[Tax Rate]]))+InvoicesMain[[#This Row],[Other]]-InvoicesMain[[#This Row],[Deposit]]</f>
        <v>13650</v>
      </c>
      <c r="K31" s="33"/>
    </row>
    <row r="32" spans="2:11" ht="34" customHeight="1">
      <c r="B32" s="38" t="s">
        <v>136</v>
      </c>
      <c r="C32" s="32" t="s">
        <v>137</v>
      </c>
      <c r="D32" s="47" t="s">
        <v>138</v>
      </c>
      <c r="E32" s="5"/>
      <c r="F32" s="34">
        <v>0.05</v>
      </c>
      <c r="G32" s="35"/>
      <c r="H32" s="35"/>
      <c r="I32" s="35">
        <f>SUMIF(InvoiceDetails[Invoice '#],"="&amp;InvoicesMain[[#This Row],[Invoice '#]],InvoiceDetails[Total])</f>
        <v>980</v>
      </c>
      <c r="J32" s="35">
        <f>(InvoicesMain[[#This Row],[Detail Total]]*(1+InvoicesMain[[#This Row],[Tax Rate]]))+InvoicesMain[[#This Row],[Other]]-InvoicesMain[[#This Row],[Deposit]]</f>
        <v>1029</v>
      </c>
      <c r="K32" s="33"/>
    </row>
    <row r="33" spans="2:11" ht="34" customHeight="1">
      <c r="B33" s="38" t="s">
        <v>139</v>
      </c>
      <c r="C33" s="32" t="s">
        <v>137</v>
      </c>
      <c r="D33" s="47" t="s">
        <v>138</v>
      </c>
      <c r="E33" s="5"/>
      <c r="F33" s="34">
        <v>0.05</v>
      </c>
      <c r="G33" s="35"/>
      <c r="H33" s="35"/>
      <c r="I33" s="35">
        <f>SUMIF(InvoiceDetails[Invoice '#],"="&amp;InvoicesMain[[#This Row],[Invoice '#]],InvoiceDetails[Total])</f>
        <v>11400</v>
      </c>
      <c r="J33" s="35">
        <f>(InvoicesMain[[#This Row],[Detail Total]]*(1+InvoicesMain[[#This Row],[Tax Rate]]))+InvoicesMain[[#This Row],[Other]]-InvoicesMain[[#This Row],[Deposit]]</f>
        <v>11970</v>
      </c>
      <c r="K33" s="33"/>
    </row>
    <row r="34" spans="2:11" ht="34" customHeight="1">
      <c r="B34" s="38" t="s">
        <v>140</v>
      </c>
      <c r="C34" s="32" t="s">
        <v>137</v>
      </c>
      <c r="D34" s="47" t="s">
        <v>138</v>
      </c>
      <c r="E34" s="5"/>
      <c r="F34" s="34">
        <v>0</v>
      </c>
      <c r="G34" s="35"/>
      <c r="H34" s="35"/>
      <c r="I34" s="35">
        <f>SUMIF(InvoiceDetails[Invoice '#],"="&amp;InvoicesMain[[#This Row],[Invoice '#]],InvoiceDetails[Total])</f>
        <v>690.22</v>
      </c>
      <c r="J34" s="35">
        <f>(InvoicesMain[[#This Row],[Detail Total]]*(1+InvoicesMain[[#This Row],[Tax Rate]]))+InvoicesMain[[#This Row],[Other]]-InvoicesMain[[#This Row],[Deposit]]</f>
        <v>690.22</v>
      </c>
      <c r="K34" s="33"/>
    </row>
    <row r="35" spans="2:11" ht="34" customHeight="1">
      <c r="B35" s="38" t="s">
        <v>141</v>
      </c>
      <c r="C35" s="32" t="s">
        <v>142</v>
      </c>
      <c r="D35" s="47">
        <v>45193</v>
      </c>
      <c r="E35" s="5"/>
      <c r="F35" s="34">
        <v>0.05</v>
      </c>
      <c r="G35" s="35"/>
      <c r="H35" s="35"/>
      <c r="I35" s="35">
        <f>SUMIF(InvoiceDetails[Invoice '#],"="&amp;InvoicesMain[[#This Row],[Invoice '#]],InvoiceDetails[Total])</f>
        <v>13000</v>
      </c>
      <c r="J35" s="35">
        <f>(InvoicesMain[[#This Row],[Detail Total]]*(1+InvoicesMain[[#This Row],[Tax Rate]]))+InvoicesMain[[#This Row],[Other]]-InvoicesMain[[#This Row],[Deposit]]</f>
        <v>13650</v>
      </c>
      <c r="K35" s="33"/>
    </row>
    <row r="36" spans="2:11" ht="34" customHeight="1">
      <c r="B36" s="38" t="s">
        <v>143</v>
      </c>
      <c r="C36" s="32" t="s">
        <v>144</v>
      </c>
      <c r="D36" s="47">
        <v>45205</v>
      </c>
      <c r="E36" s="5"/>
      <c r="F36" s="34">
        <v>0.05</v>
      </c>
      <c r="G36" s="35"/>
      <c r="H36" s="35"/>
      <c r="I36" s="35">
        <f>SUMIF(InvoiceDetails[Invoice '#],"="&amp;InvoicesMain[[#This Row],[Invoice '#]],InvoiceDetails[Total])</f>
        <v>23500</v>
      </c>
      <c r="J36" s="35">
        <f>(InvoicesMain[[#This Row],[Detail Total]]*(1+InvoicesMain[[#This Row],[Tax Rate]]))+InvoicesMain[[#This Row],[Other]]-InvoicesMain[[#This Row],[Deposit]]</f>
        <v>24675</v>
      </c>
      <c r="K36" s="33"/>
    </row>
    <row r="37" spans="2:11" ht="34" customHeight="1">
      <c r="B37" s="38" t="s">
        <v>145</v>
      </c>
      <c r="C37" s="32" t="s">
        <v>146</v>
      </c>
      <c r="D37" s="47">
        <v>45211</v>
      </c>
      <c r="E37" s="5"/>
      <c r="F37" s="34">
        <v>0.05</v>
      </c>
      <c r="G37" s="35"/>
      <c r="H37" s="35"/>
      <c r="I37" s="35">
        <f>SUMIF(InvoiceDetails[Invoice '#],"="&amp;InvoicesMain[[#This Row],[Invoice '#]],InvoiceDetails[Total])</f>
        <v>930</v>
      </c>
      <c r="J37" s="35">
        <f>(InvoicesMain[[#This Row],[Detail Total]]*(1+InvoicesMain[[#This Row],[Tax Rate]]))+InvoicesMain[[#This Row],[Other]]-InvoicesMain[[#This Row],[Deposit]]</f>
        <v>976.5</v>
      </c>
      <c r="K37" s="33"/>
    </row>
    <row r="38" spans="2:11" ht="34" customHeight="1">
      <c r="B38" s="38" t="s">
        <v>147</v>
      </c>
      <c r="C38" s="32" t="s">
        <v>148</v>
      </c>
      <c r="D38" s="47">
        <v>45162</v>
      </c>
      <c r="E38" s="5"/>
      <c r="F38" s="34">
        <v>0.05</v>
      </c>
      <c r="G38" s="35"/>
      <c r="H38" s="35"/>
      <c r="I38" s="35">
        <f>SUMIF(InvoiceDetails[Invoice '#],"="&amp;InvoicesMain[[#This Row],[Invoice '#]],InvoiceDetails[Total])</f>
        <v>12000</v>
      </c>
      <c r="J38" s="35">
        <f>(InvoicesMain[[#This Row],[Detail Total]]*(1+InvoicesMain[[#This Row],[Tax Rate]]))+InvoicesMain[[#This Row],[Other]]-InvoicesMain[[#This Row],[Deposit]]</f>
        <v>12600</v>
      </c>
      <c r="K38" s="33"/>
    </row>
    <row r="39" spans="2:11" ht="34" customHeight="1">
      <c r="B39" s="38" t="s">
        <v>149</v>
      </c>
      <c r="C39" s="32" t="s">
        <v>150</v>
      </c>
      <c r="D39" s="47">
        <v>45302</v>
      </c>
      <c r="E39" s="5"/>
      <c r="F39" s="34">
        <v>0.05</v>
      </c>
      <c r="G39" s="35"/>
      <c r="H39" s="35"/>
      <c r="I39" s="35">
        <f>SUMIF(InvoiceDetails[Invoice '#],"="&amp;InvoicesMain[[#This Row],[Invoice '#]],InvoiceDetails[Total])</f>
        <v>500</v>
      </c>
      <c r="J39" s="35">
        <f>(InvoicesMain[[#This Row],[Detail Total]]*(1+InvoicesMain[[#This Row],[Tax Rate]]))+InvoicesMain[[#This Row],[Other]]-InvoicesMain[[#This Row],[Deposit]]</f>
        <v>525</v>
      </c>
      <c r="K39" s="33"/>
    </row>
    <row r="40" spans="2:11" ht="34" customHeight="1">
      <c r="B40" s="38" t="s">
        <v>151</v>
      </c>
      <c r="C40" s="32" t="s">
        <v>150</v>
      </c>
      <c r="D40" s="47">
        <v>45302</v>
      </c>
      <c r="E40" s="5"/>
      <c r="F40" s="34">
        <v>0.05</v>
      </c>
      <c r="G40" s="35"/>
      <c r="H40" s="35"/>
      <c r="I40" s="35">
        <f>SUMIF(InvoiceDetails[Invoice '#],"="&amp;InvoicesMain[[#This Row],[Invoice '#]],InvoiceDetails[Total])</f>
        <v>1500</v>
      </c>
      <c r="J40" s="35">
        <f>(InvoicesMain[[#This Row],[Detail Total]]*(1+InvoicesMain[[#This Row],[Tax Rate]]))+InvoicesMain[[#This Row],[Other]]-InvoicesMain[[#This Row],[Deposit]]</f>
        <v>1575</v>
      </c>
      <c r="K40" s="33"/>
    </row>
    <row r="41" spans="2:11" ht="34" customHeight="1">
      <c r="B41" s="38" t="s">
        <v>152</v>
      </c>
      <c r="C41" s="32" t="s">
        <v>153</v>
      </c>
      <c r="D41" s="47">
        <v>45228</v>
      </c>
      <c r="E41" s="5"/>
      <c r="F41" s="34">
        <v>0.05</v>
      </c>
      <c r="G41" s="35"/>
      <c r="H41" s="35"/>
      <c r="I41" s="35">
        <f>SUMIF(InvoiceDetails[Invoice '#],"="&amp;InvoicesMain[[#This Row],[Invoice '#]],InvoiceDetails[Total])</f>
        <v>8000</v>
      </c>
      <c r="J41" s="35">
        <f>(InvoicesMain[[#This Row],[Detail Total]]*(1+InvoicesMain[[#This Row],[Tax Rate]]))+InvoicesMain[[#This Row],[Other]]-InvoicesMain[[#This Row],[Deposit]]</f>
        <v>8400</v>
      </c>
      <c r="K41" s="33"/>
    </row>
    <row r="42" spans="2:11" ht="34" customHeight="1">
      <c r="B42" s="38" t="s">
        <v>240</v>
      </c>
      <c r="C42" s="32" t="s">
        <v>241</v>
      </c>
      <c r="D42" s="47">
        <v>45809</v>
      </c>
      <c r="E42" s="5"/>
      <c r="F42" s="34">
        <v>0.05</v>
      </c>
      <c r="G42" s="35"/>
      <c r="H42" s="35"/>
      <c r="I42" s="35">
        <f>SUMIF(InvoiceDetails[Invoice '#],"="&amp;InvoicesMain[[#This Row],[Invoice '#]],InvoiceDetails[Total])</f>
        <v>1995.3</v>
      </c>
      <c r="J42" s="35">
        <f>(InvoicesMain[[#This Row],[Detail Total]]*(1+InvoicesMain[[#This Row],[Tax Rate]]))+InvoicesMain[[#This Row],[Other]]-InvoicesMain[[#This Row],[Deposit]]</f>
        <v>2095.0650000000001</v>
      </c>
      <c r="K42" s="33"/>
    </row>
    <row r="43" spans="2:11" ht="34" customHeight="1">
      <c r="B43" s="38" t="s">
        <v>21</v>
      </c>
      <c r="C43" s="32" t="s">
        <v>150</v>
      </c>
      <c r="D43" s="47">
        <v>45400</v>
      </c>
      <c r="E43" s="5"/>
      <c r="F43" s="34">
        <v>0.05</v>
      </c>
      <c r="G43" s="35"/>
      <c r="H43" s="35"/>
      <c r="I43" s="35">
        <f>SUMIF(InvoiceDetails[Invoice '#],"="&amp;InvoicesMain[[#This Row],[Invoice '#]],InvoiceDetails[Total])</f>
        <v>1000</v>
      </c>
      <c r="J43" s="35">
        <f>(InvoicesMain[[#This Row],[Detail Total]]*(1+InvoicesMain[[#This Row],[Tax Rate]]))+InvoicesMain[[#This Row],[Other]]-InvoicesMain[[#This Row],[Deposit]]</f>
        <v>1050</v>
      </c>
      <c r="K43" s="33"/>
    </row>
    <row r="44" spans="2:11" ht="34" customHeight="1">
      <c r="B44" s="38" t="s">
        <v>154</v>
      </c>
      <c r="C44" s="32" t="s">
        <v>105</v>
      </c>
      <c r="D44" s="47" t="s">
        <v>155</v>
      </c>
      <c r="E44" s="5"/>
      <c r="F44" s="34">
        <v>0.05</v>
      </c>
      <c r="G44" s="35"/>
      <c r="H44" s="35"/>
      <c r="I44" s="35">
        <f>SUMIF(InvoiceDetails[Invoice '#],"="&amp;InvoicesMain[[#This Row],[Invoice '#]],InvoiceDetails[Total])</f>
        <v>1002.4</v>
      </c>
      <c r="J44" s="35">
        <f>(InvoicesMain[[#This Row],[Detail Total]]*(1+InvoicesMain[[#This Row],[Tax Rate]]))+InvoicesMain[[#This Row],[Other]]-InvoicesMain[[#This Row],[Deposit]]</f>
        <v>1052.52</v>
      </c>
      <c r="K44" s="33"/>
    </row>
    <row r="45" spans="2:11" ht="34" customHeight="1">
      <c r="B45" s="38" t="s">
        <v>246</v>
      </c>
      <c r="C45" s="32" t="s">
        <v>247</v>
      </c>
      <c r="D45" s="47">
        <v>45565</v>
      </c>
      <c r="E45" s="5"/>
      <c r="F45" s="34">
        <v>0.05</v>
      </c>
      <c r="G45" s="35"/>
      <c r="H45" s="35"/>
      <c r="I45" s="35">
        <f>SUMIF(InvoiceDetails[Invoice '#],"="&amp;InvoicesMain[[#This Row],[Invoice '#]],InvoiceDetails[Total])</f>
        <v>800</v>
      </c>
      <c r="J45" s="35">
        <f>(InvoicesMain[[#This Row],[Detail Total]]*(1+InvoicesMain[[#This Row],[Tax Rate]]))+InvoicesMain[[#This Row],[Other]]-InvoicesMain[[#This Row],[Deposit]]</f>
        <v>840</v>
      </c>
      <c r="K45" s="33"/>
    </row>
    <row r="46" spans="2:11" ht="34" customHeight="1">
      <c r="B46" s="38" t="s">
        <v>250</v>
      </c>
      <c r="C46" s="32" t="s">
        <v>251</v>
      </c>
      <c r="D46" s="47" t="s">
        <v>252</v>
      </c>
      <c r="E46" s="5"/>
      <c r="F46" s="34">
        <v>0.05</v>
      </c>
      <c r="G46" s="35"/>
      <c r="H46" s="35"/>
      <c r="I46" s="35">
        <f>SUMIF(InvoiceDetails[Invoice '#],"="&amp;InvoicesMain[[#This Row],[Invoice '#]],InvoiceDetails[Total])</f>
        <v>15000</v>
      </c>
      <c r="J46" s="35">
        <f>(InvoicesMain[[#This Row],[Detail Total]]*(1+InvoicesMain[[#This Row],[Tax Rate]]))+InvoicesMain[[#This Row],[Other]]-InvoicesMain[[#This Row],[Deposit]]</f>
        <v>15750</v>
      </c>
      <c r="K46" s="33"/>
    </row>
    <row r="47" spans="2:11" ht="34" customHeight="1">
      <c r="B47" s="38" t="s">
        <v>256</v>
      </c>
      <c r="C47" s="32" t="s">
        <v>257</v>
      </c>
      <c r="D47" s="47">
        <v>45639</v>
      </c>
      <c r="E47" s="5"/>
      <c r="F47" s="34">
        <v>0.05</v>
      </c>
      <c r="G47" s="35"/>
      <c r="H47" s="35"/>
      <c r="I47" s="35">
        <f>SUMIF(InvoiceDetails[Invoice '#],"="&amp;InvoicesMain[[#This Row],[Invoice '#]],InvoiceDetails[Total])</f>
        <v>1656</v>
      </c>
      <c r="J47" s="35">
        <f>(InvoicesMain[[#This Row],[Detail Total]]*(1+InvoicesMain[[#This Row],[Tax Rate]]))+InvoicesMain[[#This Row],[Other]]-InvoicesMain[[#This Row],[Deposit]]</f>
        <v>1738.8000000000002</v>
      </c>
      <c r="K47" s="33"/>
    </row>
    <row r="48" spans="2:11" ht="34" customHeight="1">
      <c r="B48" s="38" t="s">
        <v>259</v>
      </c>
      <c r="C48" s="32" t="s">
        <v>261</v>
      </c>
      <c r="D48" s="47">
        <v>45670</v>
      </c>
      <c r="E48" s="5"/>
      <c r="F48" s="34">
        <v>0.05</v>
      </c>
      <c r="G48" s="35"/>
      <c r="H48" s="35"/>
      <c r="I48" s="35">
        <f>SUMIF(InvoiceDetails[Invoice '#],"="&amp;InvoicesMain[[#This Row],[Invoice '#]],InvoiceDetails[Total])</f>
        <v>5800</v>
      </c>
      <c r="J48" s="35">
        <f>(InvoicesMain[[#This Row],[Detail Total]]*(1+InvoicesMain[[#This Row],[Tax Rate]]))+InvoicesMain[[#This Row],[Other]]-InvoicesMain[[#This Row],[Deposit]]</f>
        <v>6090</v>
      </c>
      <c r="K48" s="33"/>
    </row>
    <row r="49" spans="2:11" ht="34" customHeight="1">
      <c r="B49" s="38" t="s">
        <v>265</v>
      </c>
      <c r="C49" s="32" t="s">
        <v>266</v>
      </c>
      <c r="D49" s="47">
        <v>45670</v>
      </c>
      <c r="E49" s="5"/>
      <c r="F49" s="34">
        <v>0.05</v>
      </c>
      <c r="G49" s="35"/>
      <c r="H49" s="35"/>
      <c r="I49" s="35">
        <f>SUMIF(InvoiceDetails[Invoice '#],"="&amp;InvoicesMain[[#This Row],[Invoice '#]],InvoiceDetails[Total])</f>
        <v>5800</v>
      </c>
      <c r="J49" s="35">
        <f>(InvoicesMain[[#This Row],[Detail Total]]*(1+InvoicesMain[[#This Row],[Tax Rate]]))+InvoicesMain[[#This Row],[Other]]-InvoicesMain[[#This Row],[Deposit]]</f>
        <v>6090</v>
      </c>
      <c r="K49" s="33"/>
    </row>
    <row r="50" spans="2:11" ht="34" customHeight="1">
      <c r="B50" s="38" t="s">
        <v>270</v>
      </c>
      <c r="C50" s="32" t="s">
        <v>271</v>
      </c>
      <c r="D50" s="47">
        <v>45783</v>
      </c>
      <c r="E50" s="5"/>
      <c r="F50" s="34">
        <v>0.05</v>
      </c>
      <c r="G50" s="35"/>
      <c r="H50" s="35"/>
      <c r="I50" s="35">
        <f>SUMIF(InvoiceDetails[Invoice '#],"="&amp;InvoicesMain[[#This Row],[Invoice '#]],InvoiceDetails[Total])</f>
        <v>1057.43</v>
      </c>
      <c r="J50" s="35">
        <f>(InvoicesMain[[#This Row],[Detail Total]]*(1+InvoicesMain[[#This Row],[Tax Rate]]))+InvoicesMain[[#This Row],[Other]]-InvoicesMain[[#This Row],[Deposit]]</f>
        <v>1110.3015</v>
      </c>
      <c r="K50" s="33"/>
    </row>
    <row r="51" spans="2:11" ht="34" customHeight="1">
      <c r="B51" s="38" t="s">
        <v>243</v>
      </c>
      <c r="C51" s="32" t="s">
        <v>241</v>
      </c>
      <c r="D51" s="47">
        <v>45532</v>
      </c>
      <c r="E51" s="5"/>
      <c r="F51" s="34">
        <v>0.05</v>
      </c>
      <c r="G51" s="35"/>
      <c r="H51" s="35"/>
      <c r="I51" s="35">
        <f>SUMIF(InvoiceDetails[Invoice '#],"="&amp;InvoicesMain[[#This Row],[Invoice '#]],InvoiceDetails[Total])</f>
        <v>2591.1999999999998</v>
      </c>
      <c r="J51" s="35">
        <f>(InvoicesMain[[#This Row],[Detail Total]]*(1+InvoicesMain[[#This Row],[Tax Rate]]))+InvoicesMain[[#This Row],[Other]]-InvoicesMain[[#This Row],[Deposit]]</f>
        <v>2720.7599999999998</v>
      </c>
      <c r="K51" s="33"/>
    </row>
    <row r="52" spans="2:11" ht="34" customHeight="1">
      <c r="B52" s="38" t="s">
        <v>156</v>
      </c>
      <c r="C52" s="32" t="s">
        <v>157</v>
      </c>
      <c r="D52" s="47">
        <v>44817</v>
      </c>
      <c r="E52" s="5"/>
      <c r="F52" s="34">
        <v>0.05</v>
      </c>
      <c r="G52" s="35"/>
      <c r="H52" s="35"/>
      <c r="I52" s="35">
        <f>SUMIF(InvoiceDetails[Invoice '#],"="&amp;InvoicesMain[[#This Row],[Invoice '#]],InvoiceDetails[Total])</f>
        <v>200</v>
      </c>
      <c r="J52" s="35">
        <f>(InvoicesMain[[#This Row],[Detail Total]]*(1+InvoicesMain[[#This Row],[Tax Rate]]))+InvoicesMain[[#This Row],[Other]]-InvoicesMain[[#This Row],[Deposit]]</f>
        <v>210</v>
      </c>
      <c r="K52" s="33"/>
    </row>
    <row r="53" spans="2:11" ht="34" customHeight="1">
      <c r="B53" s="65" t="s">
        <v>158</v>
      </c>
      <c r="C53" s="65" t="str">
        <f>"Total Invoices: "&amp;SUBTOTAL(103,InvoicesMain[Invoice '#])</f>
        <v>Total Invoices: 49</v>
      </c>
      <c r="D53" s="66"/>
      <c r="E53" s="67"/>
      <c r="F53" s="33"/>
      <c r="G53" s="68">
        <f>SUBTOTAL(109,InvoicesMain[Other])</f>
        <v>0</v>
      </c>
      <c r="H53" s="68">
        <f>SUBTOTAL(109,InvoicesMain[Deposit])</f>
        <v>0</v>
      </c>
      <c r="I53" s="68">
        <f>SUBTOTAL(109,InvoicesMain[Detail Total])</f>
        <v>213399.56999999998</v>
      </c>
      <c r="J53" s="68">
        <f>SUBTOTAL(109,InvoicesMain[Invoice Total])</f>
        <v>224035.03750000001</v>
      </c>
      <c r="K53" s="69"/>
    </row>
  </sheetData>
  <sheetProtection formatCells="0" formatColumns="0" formatRows="0" insertRows="0" insertHyperlinks="0" deleteRows="0" selectLockedCells="1" sort="0" autoFilter="0" pivotTables="0"/>
  <phoneticPr fontId="20" type="noConversion"/>
  <conditionalFormatting sqref="B4:B52">
    <cfRule type="duplicateValues" dxfId="1" priority="60"/>
  </conditionalFormatting>
  <dataValidations count="1">
    <dataValidation type="list" allowBlank="1" showInputMessage="1" showErrorMessage="1" sqref="C4:C52" xr:uid="{00000000-0002-0000-0200-000000000000}">
      <formula1>CustomerLookup</formula1>
    </dataValidation>
  </dataValidations>
  <printOptions horizontalCentered="1"/>
  <pageMargins left="0.25" right="0.25" top="0.75" bottom="0.75" header="0.3" footer="0.3"/>
  <pageSetup scale="68" fitToHeight="0" orientation="landscape" r:id="rId1"/>
  <headerFooter differentFirst="1">
    <oddFooter>Page &amp;P of &amp;N</oddFooter>
  </headerFooter>
  <ignoredErrors>
    <ignoredError sqref="J5" emptyCellReference="1"/>
  </ignoredError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4" tint="0.39997558519241921"/>
    <pageSetUpPr autoPageBreaks="0" fitToPage="1"/>
  </sheetPr>
  <dimension ref="B1:H63"/>
  <sheetViews>
    <sheetView showGridLines="0" tabSelected="1" zoomScaleNormal="100" workbookViewId="0">
      <pane ySplit="3" topLeftCell="A50" activePane="bottomLeft" state="frozen"/>
      <selection activeCell="G4" sqref="G4"/>
      <selection pane="bottomLeft" activeCell="F62" sqref="F62"/>
    </sheetView>
  </sheetViews>
  <sheetFormatPr baseColWidth="10" defaultColWidth="9" defaultRowHeight="34" customHeight="1"/>
  <cols>
    <col min="1" max="1" width="2.5" customWidth="1"/>
    <col min="2" max="2" width="43.1640625" customWidth="1"/>
    <col min="3" max="3" width="15.6640625" customWidth="1"/>
    <col min="4" max="4" width="15.5" customWidth="1"/>
    <col min="5" max="5" width="16" customWidth="1"/>
    <col min="6" max="6" width="15.5" customWidth="1"/>
    <col min="7" max="7" width="15.6640625" customWidth="1"/>
    <col min="8" max="8" width="12.83203125" customWidth="1"/>
    <col min="9" max="9" width="2.83203125" customWidth="1"/>
  </cols>
  <sheetData>
    <row r="1" spans="2:8" ht="31" customHeight="1"/>
    <row r="2" spans="2:8" ht="29" customHeight="1">
      <c r="B2" s="2" t="s">
        <v>159</v>
      </c>
    </row>
    <row r="3" spans="2:8" ht="24" customHeight="1">
      <c r="B3" s="31" t="s">
        <v>10</v>
      </c>
      <c r="C3" s="31" t="s">
        <v>69</v>
      </c>
      <c r="D3" s="31" t="s">
        <v>9</v>
      </c>
      <c r="E3" s="31" t="s">
        <v>11</v>
      </c>
      <c r="F3" s="31" t="s">
        <v>12</v>
      </c>
      <c r="G3" s="31" t="s">
        <v>13</v>
      </c>
      <c r="H3" s="31" t="s">
        <v>67</v>
      </c>
    </row>
    <row r="4" spans="2:8" ht="34" customHeight="1">
      <c r="B4" s="5" t="s">
        <v>160</v>
      </c>
      <c r="C4" s="5" t="s">
        <v>161</v>
      </c>
      <c r="D4" s="5">
        <v>1</v>
      </c>
      <c r="E4" s="36">
        <v>1</v>
      </c>
      <c r="F4" s="35">
        <v>150</v>
      </c>
      <c r="G4" s="35"/>
      <c r="H4" s="35">
        <f>(InvoiceDetails[[#This Row],[Qty]]*InvoiceDetails[[#This Row],[Unit Price]])-InvoiceDetails[[#This Row],[Discount]]</f>
        <v>150</v>
      </c>
    </row>
    <row r="5" spans="2:8" ht="34" customHeight="1">
      <c r="B5" s="5" t="s">
        <v>162</v>
      </c>
      <c r="C5" s="5" t="s">
        <v>163</v>
      </c>
      <c r="D5" s="5">
        <v>1</v>
      </c>
      <c r="E5" s="36">
        <v>1</v>
      </c>
      <c r="F5" s="35">
        <v>350</v>
      </c>
      <c r="G5" s="35"/>
      <c r="H5" s="35">
        <f>(InvoiceDetails[[#This Row],[Qty]]*InvoiceDetails[[#This Row],[Unit Price]])-InvoiceDetails[[#This Row],[Discount]]</f>
        <v>350</v>
      </c>
    </row>
    <row r="6" spans="2:8" ht="34" customHeight="1">
      <c r="B6" s="5" t="s">
        <v>164</v>
      </c>
      <c r="C6" s="5" t="s">
        <v>163</v>
      </c>
      <c r="D6" s="5">
        <v>1</v>
      </c>
      <c r="E6" s="36">
        <v>1</v>
      </c>
      <c r="F6" s="35">
        <v>1600</v>
      </c>
      <c r="G6" s="35"/>
      <c r="H6" s="35">
        <f>(InvoiceDetails[[#This Row],[Qty]]*InvoiceDetails[[#This Row],[Unit Price]])-InvoiceDetails[[#This Row],[Discount]]</f>
        <v>1600</v>
      </c>
    </row>
    <row r="7" spans="2:8" ht="34" customHeight="1">
      <c r="B7" s="5" t="s">
        <v>165</v>
      </c>
      <c r="C7" s="5" t="s">
        <v>163</v>
      </c>
      <c r="D7" s="5">
        <v>1</v>
      </c>
      <c r="E7" s="36">
        <v>1</v>
      </c>
      <c r="F7" s="35">
        <v>400</v>
      </c>
      <c r="G7" s="35"/>
      <c r="H7" s="35">
        <f>(InvoiceDetails[[#This Row],[Qty]]*InvoiceDetails[[#This Row],[Unit Price]])-InvoiceDetails[[#This Row],[Discount]]</f>
        <v>400</v>
      </c>
    </row>
    <row r="8" spans="2:8" ht="34" customHeight="1">
      <c r="B8" s="5" t="s">
        <v>166</v>
      </c>
      <c r="C8" s="5" t="s">
        <v>167</v>
      </c>
      <c r="D8" s="5">
        <v>1</v>
      </c>
      <c r="E8" s="36">
        <v>1</v>
      </c>
      <c r="F8" s="35">
        <v>200</v>
      </c>
      <c r="G8" s="35"/>
      <c r="H8" s="35">
        <f>(InvoiceDetails[[#This Row],[Qty]]*InvoiceDetails[[#This Row],[Unit Price]])-InvoiceDetails[[#This Row],[Discount]]</f>
        <v>200</v>
      </c>
    </row>
    <row r="9" spans="2:8" ht="34" customHeight="1">
      <c r="B9" s="5" t="s">
        <v>168</v>
      </c>
      <c r="C9" s="5" t="s">
        <v>169</v>
      </c>
      <c r="D9" s="5">
        <v>1</v>
      </c>
      <c r="E9" s="36">
        <v>1</v>
      </c>
      <c r="F9" s="35">
        <v>250</v>
      </c>
      <c r="G9" s="35"/>
      <c r="H9" s="35">
        <f>(InvoiceDetails[[#This Row],[Qty]]*InvoiceDetails[[#This Row],[Unit Price]])-InvoiceDetails[[#This Row],[Discount]]</f>
        <v>250</v>
      </c>
    </row>
    <row r="10" spans="2:8" ht="34" customHeight="1">
      <c r="B10" s="5" t="s">
        <v>170</v>
      </c>
      <c r="C10" s="5" t="s">
        <v>171</v>
      </c>
      <c r="D10" s="5">
        <v>1</v>
      </c>
      <c r="E10" s="36">
        <v>1</v>
      </c>
      <c r="F10" s="35">
        <v>200</v>
      </c>
      <c r="G10" s="35"/>
      <c r="H10" s="35">
        <f>(InvoiceDetails[[#This Row],[Qty]]*InvoiceDetails[[#This Row],[Unit Price]])-InvoiceDetails[[#This Row],[Discount]]</f>
        <v>200</v>
      </c>
    </row>
    <row r="11" spans="2:8" ht="34" customHeight="1">
      <c r="B11" s="5" t="s">
        <v>172</v>
      </c>
      <c r="C11" s="5" t="s">
        <v>173</v>
      </c>
      <c r="D11" s="5">
        <v>1</v>
      </c>
      <c r="E11" s="36">
        <v>1</v>
      </c>
      <c r="F11" s="35">
        <v>600</v>
      </c>
      <c r="G11" s="35"/>
      <c r="H11" s="35">
        <f>(InvoiceDetails[[#This Row],[Qty]]*InvoiceDetails[[#This Row],[Unit Price]])-InvoiceDetails[[#This Row],[Discount]]</f>
        <v>600</v>
      </c>
    </row>
    <row r="12" spans="2:8" ht="34" customHeight="1">
      <c r="B12" s="5" t="s">
        <v>174</v>
      </c>
      <c r="C12" s="5" t="s">
        <v>173</v>
      </c>
      <c r="D12" s="5">
        <v>1</v>
      </c>
      <c r="E12" s="36">
        <v>1</v>
      </c>
      <c r="F12" s="35">
        <v>894.88</v>
      </c>
      <c r="G12" s="35"/>
      <c r="H12" s="35">
        <f>(InvoiceDetails[[#This Row],[Qty]]*InvoiceDetails[[#This Row],[Unit Price]])-InvoiceDetails[[#This Row],[Discount]]</f>
        <v>894.88</v>
      </c>
    </row>
    <row r="13" spans="2:8" ht="34" customHeight="1">
      <c r="B13" s="5" t="s">
        <v>175</v>
      </c>
      <c r="C13" s="5" t="s">
        <v>173</v>
      </c>
      <c r="D13" s="5">
        <v>1</v>
      </c>
      <c r="E13" s="36">
        <v>1</v>
      </c>
      <c r="F13" s="35">
        <v>200</v>
      </c>
      <c r="G13" s="35"/>
      <c r="H13" s="35">
        <f>(InvoiceDetails[[#This Row],[Qty]]*InvoiceDetails[[#This Row],[Unit Price]])-InvoiceDetails[[#This Row],[Discount]]</f>
        <v>200</v>
      </c>
    </row>
    <row r="14" spans="2:8" ht="34" customHeight="1">
      <c r="B14" s="5" t="s">
        <v>176</v>
      </c>
      <c r="C14" s="5" t="s">
        <v>173</v>
      </c>
      <c r="D14" s="5">
        <v>1</v>
      </c>
      <c r="E14" s="36">
        <v>1</v>
      </c>
      <c r="F14" s="35">
        <v>50</v>
      </c>
      <c r="G14" s="35"/>
      <c r="H14" s="35">
        <f>(InvoiceDetails[[#This Row],[Qty]]*InvoiceDetails[[#This Row],[Unit Price]])-InvoiceDetails[[#This Row],[Discount]]</f>
        <v>50</v>
      </c>
    </row>
    <row r="15" spans="2:8" ht="34" customHeight="1">
      <c r="B15" s="5" t="s">
        <v>177</v>
      </c>
      <c r="C15" s="5" t="s">
        <v>178</v>
      </c>
      <c r="D15" s="5">
        <v>1</v>
      </c>
      <c r="E15" s="36">
        <v>1</v>
      </c>
      <c r="F15" s="35">
        <v>7050</v>
      </c>
      <c r="G15" s="35"/>
      <c r="H15" s="35">
        <f>(InvoiceDetails[[#This Row],[Qty]]*InvoiceDetails[[#This Row],[Unit Price]])-InvoiceDetails[[#This Row],[Discount]]</f>
        <v>7050</v>
      </c>
    </row>
    <row r="16" spans="2:8" ht="34" customHeight="1">
      <c r="B16" s="5" t="s">
        <v>179</v>
      </c>
      <c r="C16" s="5" t="s">
        <v>180</v>
      </c>
      <c r="D16" s="5">
        <v>1</v>
      </c>
      <c r="E16" s="36">
        <v>1</v>
      </c>
      <c r="F16" s="35">
        <v>2857.14</v>
      </c>
      <c r="G16" s="35"/>
      <c r="H16" s="35">
        <f>(InvoiceDetails[[#This Row],[Qty]]*InvoiceDetails[[#This Row],[Unit Price]])-InvoiceDetails[[#This Row],[Discount]]</f>
        <v>2857.14</v>
      </c>
    </row>
    <row r="17" spans="2:8" ht="34" customHeight="1">
      <c r="B17" s="5" t="s">
        <v>181</v>
      </c>
      <c r="C17" s="5" t="s">
        <v>182</v>
      </c>
      <c r="D17" s="5">
        <v>1</v>
      </c>
      <c r="E17" s="36">
        <v>1</v>
      </c>
      <c r="F17" s="35">
        <v>3000</v>
      </c>
      <c r="G17" s="35"/>
      <c r="H17" s="35">
        <f>(InvoiceDetails[[#This Row],[Qty]]*InvoiceDetails[[#This Row],[Unit Price]])-InvoiceDetails[[#This Row],[Discount]]</f>
        <v>3000</v>
      </c>
    </row>
    <row r="18" spans="2:8" ht="34" customHeight="1">
      <c r="B18" s="5" t="s">
        <v>183</v>
      </c>
      <c r="C18" s="5" t="s">
        <v>184</v>
      </c>
      <c r="D18" s="5">
        <v>1</v>
      </c>
      <c r="E18" s="36">
        <v>1</v>
      </c>
      <c r="F18" s="35">
        <v>200</v>
      </c>
      <c r="G18" s="35"/>
      <c r="H18" s="35">
        <f>(InvoiceDetails[[#This Row],[Qty]]*InvoiceDetails[[#This Row],[Unit Price]])-InvoiceDetails[[#This Row],[Discount]]</f>
        <v>200</v>
      </c>
    </row>
    <row r="19" spans="2:8" ht="34" customHeight="1">
      <c r="B19" s="5" t="s">
        <v>185</v>
      </c>
      <c r="C19" s="5" t="s">
        <v>184</v>
      </c>
      <c r="D19" s="5">
        <v>1</v>
      </c>
      <c r="E19" s="36">
        <v>1</v>
      </c>
      <c r="F19" s="35">
        <v>100</v>
      </c>
      <c r="G19" s="35"/>
      <c r="H19" s="35">
        <f>(InvoiceDetails[[#This Row],[Qty]]*InvoiceDetails[[#This Row],[Unit Price]])-InvoiceDetails[[#This Row],[Discount]]</f>
        <v>100</v>
      </c>
    </row>
    <row r="20" spans="2:8" ht="34" customHeight="1">
      <c r="B20" s="5" t="s">
        <v>186</v>
      </c>
      <c r="C20" s="5" t="s">
        <v>184</v>
      </c>
      <c r="D20" s="5">
        <v>1</v>
      </c>
      <c r="E20" s="36">
        <v>1</v>
      </c>
      <c r="F20" s="35">
        <v>50</v>
      </c>
      <c r="G20" s="35"/>
      <c r="H20" s="35">
        <f>(InvoiceDetails[[#This Row],[Qty]]*InvoiceDetails[[#This Row],[Unit Price]])-InvoiceDetails[[#This Row],[Discount]]</f>
        <v>50</v>
      </c>
    </row>
    <row r="21" spans="2:8" ht="34" customHeight="1">
      <c r="B21" s="5" t="s">
        <v>187</v>
      </c>
      <c r="C21" s="5" t="s">
        <v>188</v>
      </c>
      <c r="D21" s="5">
        <v>1</v>
      </c>
      <c r="E21" s="36">
        <v>1</v>
      </c>
      <c r="F21" s="35">
        <v>200</v>
      </c>
      <c r="G21" s="35"/>
      <c r="H21" s="35">
        <f>(InvoiceDetails[[#This Row],[Qty]]*InvoiceDetails[[#This Row],[Unit Price]])-InvoiceDetails[[#This Row],[Discount]]</f>
        <v>200</v>
      </c>
    </row>
    <row r="22" spans="2:8" ht="34" customHeight="1">
      <c r="B22" s="5" t="s">
        <v>189</v>
      </c>
      <c r="C22" s="5" t="s">
        <v>188</v>
      </c>
      <c r="D22" s="5">
        <v>1</v>
      </c>
      <c r="E22" s="36">
        <v>1</v>
      </c>
      <c r="F22" s="35">
        <v>200</v>
      </c>
      <c r="G22" s="35"/>
      <c r="H22" s="35">
        <f>(InvoiceDetails[[#This Row],[Qty]]*InvoiceDetails[[#This Row],[Unit Price]])-InvoiceDetails[[#This Row],[Discount]]</f>
        <v>200</v>
      </c>
    </row>
    <row r="23" spans="2:8" ht="34" customHeight="1">
      <c r="B23" s="5" t="s">
        <v>190</v>
      </c>
      <c r="C23" s="5" t="s">
        <v>191</v>
      </c>
      <c r="D23" s="5">
        <v>1</v>
      </c>
      <c r="E23" s="36">
        <v>1</v>
      </c>
      <c r="F23" s="35">
        <v>300</v>
      </c>
      <c r="G23" s="35"/>
      <c r="H23" s="35">
        <f>(InvoiceDetails[[#This Row],[Qty]]*InvoiceDetails[[#This Row],[Unit Price]])-InvoiceDetails[[#This Row],[Discount]]</f>
        <v>300</v>
      </c>
    </row>
    <row r="24" spans="2:8" ht="34" customHeight="1">
      <c r="B24" s="5" t="s">
        <v>192</v>
      </c>
      <c r="C24" s="5" t="s">
        <v>193</v>
      </c>
      <c r="D24" s="5">
        <v>1</v>
      </c>
      <c r="E24" s="36">
        <v>1</v>
      </c>
      <c r="F24" s="35">
        <v>250</v>
      </c>
      <c r="G24" s="35"/>
      <c r="H24" s="35">
        <f>(InvoiceDetails[[#This Row],[Qty]]*InvoiceDetails[[#This Row],[Unit Price]])-InvoiceDetails[[#This Row],[Discount]]</f>
        <v>250</v>
      </c>
    </row>
    <row r="25" spans="2:8" ht="34" customHeight="1">
      <c r="B25" s="5" t="s">
        <v>194</v>
      </c>
      <c r="C25" s="5" t="s">
        <v>195</v>
      </c>
      <c r="D25" s="5">
        <v>1</v>
      </c>
      <c r="E25" s="36">
        <v>1</v>
      </c>
      <c r="F25" s="35">
        <v>5500</v>
      </c>
      <c r="G25" s="35"/>
      <c r="H25" s="35">
        <f>(InvoiceDetails[[#This Row],[Qty]]*InvoiceDetails[[#This Row],[Unit Price]])-InvoiceDetails[[#This Row],[Discount]]</f>
        <v>5500</v>
      </c>
    </row>
    <row r="26" spans="2:8" ht="34" customHeight="1">
      <c r="B26" s="5" t="s">
        <v>196</v>
      </c>
      <c r="C26" s="5" t="s">
        <v>197</v>
      </c>
      <c r="D26" s="5">
        <v>1</v>
      </c>
      <c r="E26" s="36">
        <v>1</v>
      </c>
      <c r="F26" s="35">
        <v>6200</v>
      </c>
      <c r="G26" s="35"/>
      <c r="H26" s="35">
        <f>(InvoiceDetails[[#This Row],[Qty]]*InvoiceDetails[[#This Row],[Unit Price]])-InvoiceDetails[[#This Row],[Discount]]</f>
        <v>6200</v>
      </c>
    </row>
    <row r="27" spans="2:8" ht="34" customHeight="1">
      <c r="B27" s="5" t="s">
        <v>198</v>
      </c>
      <c r="C27" s="5" t="s">
        <v>199</v>
      </c>
      <c r="D27" s="5">
        <v>1</v>
      </c>
      <c r="E27" s="36">
        <v>1</v>
      </c>
      <c r="F27" s="35">
        <v>7950</v>
      </c>
      <c r="G27" s="35"/>
      <c r="H27" s="35">
        <f>(InvoiceDetails[[#This Row],[Qty]]*InvoiceDetails[[#This Row],[Unit Price]])-InvoiceDetails[[#This Row],[Discount]]</f>
        <v>7950</v>
      </c>
    </row>
    <row r="28" spans="2:8" ht="34" customHeight="1">
      <c r="B28" s="5" t="s">
        <v>181</v>
      </c>
      <c r="C28" s="5" t="s">
        <v>200</v>
      </c>
      <c r="D28" s="5">
        <v>1</v>
      </c>
      <c r="E28" s="36">
        <v>1</v>
      </c>
      <c r="F28" s="35">
        <v>16000</v>
      </c>
      <c r="G28" s="35"/>
      <c r="H28" s="35">
        <f>(InvoiceDetails[[#This Row],[Qty]]*InvoiceDetails[[#This Row],[Unit Price]])-InvoiceDetails[[#This Row],[Discount]]</f>
        <v>16000</v>
      </c>
    </row>
    <row r="29" spans="2:8" ht="34" customHeight="1">
      <c r="B29" s="5" t="s">
        <v>201</v>
      </c>
      <c r="C29" s="5" t="s">
        <v>200</v>
      </c>
      <c r="D29" s="5">
        <v>1</v>
      </c>
      <c r="E29" s="36">
        <v>1</v>
      </c>
      <c r="F29" s="35">
        <v>1500</v>
      </c>
      <c r="G29" s="35"/>
      <c r="H29" s="35">
        <f>(InvoiceDetails[[#This Row],[Qty]]*InvoiceDetails[[#This Row],[Unit Price]])-InvoiceDetails[[#This Row],[Discount]]</f>
        <v>1500</v>
      </c>
    </row>
    <row r="30" spans="2:8" ht="34" customHeight="1">
      <c r="B30" s="5" t="s">
        <v>202</v>
      </c>
      <c r="C30" s="5" t="s">
        <v>203</v>
      </c>
      <c r="D30" s="5">
        <v>1</v>
      </c>
      <c r="E30" s="36">
        <v>1</v>
      </c>
      <c r="F30" s="35">
        <v>1002.4</v>
      </c>
      <c r="G30" s="35"/>
      <c r="H30" s="35">
        <f>(InvoiceDetails[[#This Row],[Qty]]*InvoiceDetails[[#This Row],[Unit Price]])-InvoiceDetails[[#This Row],[Discount]]</f>
        <v>1002.4</v>
      </c>
    </row>
    <row r="31" spans="2:8" ht="34" customHeight="1">
      <c r="B31" s="5" t="s">
        <v>204</v>
      </c>
      <c r="C31" s="5" t="s">
        <v>111</v>
      </c>
      <c r="D31" s="5">
        <v>1</v>
      </c>
      <c r="E31" s="36">
        <v>1</v>
      </c>
      <c r="F31" s="35">
        <v>710</v>
      </c>
      <c r="G31" s="35"/>
      <c r="H31" s="35">
        <f>(InvoiceDetails[[#This Row],[Qty]]*InvoiceDetails[[#This Row],[Unit Price]])-InvoiceDetails[[#This Row],[Discount]]</f>
        <v>710</v>
      </c>
    </row>
    <row r="32" spans="2:8" ht="34" customHeight="1">
      <c r="B32" s="5" t="s">
        <v>205</v>
      </c>
      <c r="C32" s="5" t="s">
        <v>206</v>
      </c>
      <c r="D32" s="5">
        <v>1</v>
      </c>
      <c r="E32" s="36">
        <v>1</v>
      </c>
      <c r="F32" s="35">
        <v>2000</v>
      </c>
      <c r="G32" s="35"/>
      <c r="H32" s="35">
        <f>(InvoiceDetails[[#This Row],[Qty]]*InvoiceDetails[[#This Row],[Unit Price]])-InvoiceDetails[[#This Row],[Discount]]</f>
        <v>2000</v>
      </c>
    </row>
    <row r="33" spans="2:8" ht="34" customHeight="1">
      <c r="B33" s="5" t="s">
        <v>207</v>
      </c>
      <c r="C33" s="5" t="s">
        <v>208</v>
      </c>
      <c r="D33" s="5">
        <v>1</v>
      </c>
      <c r="E33" s="36">
        <v>1</v>
      </c>
      <c r="F33" s="35">
        <v>7250</v>
      </c>
      <c r="G33" s="35"/>
      <c r="H33" s="35">
        <f>(InvoiceDetails[[#This Row],[Qty]]*InvoiceDetails[[#This Row],[Unit Price]])-InvoiceDetails[[#This Row],[Discount]]</f>
        <v>7250</v>
      </c>
    </row>
    <row r="34" spans="2:8" ht="34" customHeight="1">
      <c r="B34" s="5" t="s">
        <v>209</v>
      </c>
      <c r="C34" s="5" t="s">
        <v>210</v>
      </c>
      <c r="D34" s="5">
        <v>1</v>
      </c>
      <c r="E34" s="36">
        <v>1</v>
      </c>
      <c r="F34" s="35">
        <f>26500*1.05-7402.5-6200-8347.5</f>
        <v>5875</v>
      </c>
      <c r="G34" s="35"/>
      <c r="H34" s="35">
        <f>(InvoiceDetails[[#This Row],[Qty]]*InvoiceDetails[[#This Row],[Unit Price]])-InvoiceDetails[[#This Row],[Discount]]</f>
        <v>5875</v>
      </c>
    </row>
    <row r="35" spans="2:8" ht="34" customHeight="1">
      <c r="B35" s="5" t="s">
        <v>211</v>
      </c>
      <c r="C35" s="5" t="s">
        <v>210</v>
      </c>
      <c r="D35" s="5">
        <v>1</v>
      </c>
      <c r="E35" s="36">
        <v>2</v>
      </c>
      <c r="F35" s="35">
        <v>150</v>
      </c>
      <c r="G35" s="35"/>
      <c r="H35" s="35">
        <f>(InvoiceDetails[[#This Row],[Qty]]*InvoiceDetails[[#This Row],[Unit Price]])-InvoiceDetails[[#This Row],[Discount]]</f>
        <v>300</v>
      </c>
    </row>
    <row r="36" spans="2:8" ht="34" customHeight="1">
      <c r="B36" s="5" t="s">
        <v>212</v>
      </c>
      <c r="C36" s="5" t="s">
        <v>210</v>
      </c>
      <c r="D36" s="5">
        <v>1</v>
      </c>
      <c r="E36" s="36">
        <v>1</v>
      </c>
      <c r="F36" s="35">
        <v>300</v>
      </c>
      <c r="G36" s="35"/>
      <c r="H36" s="35">
        <f>(InvoiceDetails[[#This Row],[Qty]]*InvoiceDetails[[#This Row],[Unit Price]])-InvoiceDetails[[#This Row],[Discount]]</f>
        <v>300</v>
      </c>
    </row>
    <row r="37" spans="2:8" ht="34" customHeight="1">
      <c r="B37" s="5" t="s">
        <v>213</v>
      </c>
      <c r="C37" s="5" t="s">
        <v>118</v>
      </c>
      <c r="D37" s="5">
        <v>1</v>
      </c>
      <c r="E37" s="36">
        <v>1</v>
      </c>
      <c r="F37" s="35">
        <v>150</v>
      </c>
      <c r="G37" s="35"/>
      <c r="H37" s="35">
        <f>(InvoiceDetails[[#This Row],[Qty]]*InvoiceDetails[[#This Row],[Unit Price]])-InvoiceDetails[[#This Row],[Discount]]</f>
        <v>150</v>
      </c>
    </row>
    <row r="38" spans="2:8" ht="34" customHeight="1">
      <c r="B38" s="5" t="s">
        <v>214</v>
      </c>
      <c r="C38" s="5" t="s">
        <v>215</v>
      </c>
      <c r="D38" s="5">
        <v>1</v>
      </c>
      <c r="E38" s="36">
        <v>1</v>
      </c>
      <c r="F38" s="35">
        <v>5000</v>
      </c>
      <c r="G38" s="35"/>
      <c r="H38" s="35">
        <f>(InvoiceDetails[[#This Row],[Qty]]*InvoiceDetails[[#This Row],[Unit Price]])-InvoiceDetails[[#This Row],[Discount]]</f>
        <v>5000</v>
      </c>
    </row>
    <row r="39" spans="2:8" ht="34" customHeight="1">
      <c r="B39" s="5" t="s">
        <v>216</v>
      </c>
      <c r="C39" s="5" t="s">
        <v>217</v>
      </c>
      <c r="D39" s="5">
        <v>1</v>
      </c>
      <c r="E39" s="36">
        <v>1</v>
      </c>
      <c r="F39" s="35">
        <v>600</v>
      </c>
      <c r="G39" s="35"/>
      <c r="H39" s="35">
        <f>(InvoiceDetails[[#This Row],[Qty]]*InvoiceDetails[[#This Row],[Unit Price]])-InvoiceDetails[[#This Row],[Discount]]</f>
        <v>600</v>
      </c>
    </row>
    <row r="40" spans="2:8" ht="34" customHeight="1">
      <c r="B40" s="5" t="s">
        <v>218</v>
      </c>
      <c r="C40" s="5" t="s">
        <v>219</v>
      </c>
      <c r="D40" s="5">
        <v>1</v>
      </c>
      <c r="E40" s="36">
        <v>1</v>
      </c>
      <c r="F40" s="35">
        <v>1000</v>
      </c>
      <c r="G40" s="35"/>
      <c r="H40" s="35">
        <f>(InvoiceDetails[[#This Row],[Qty]]*InvoiceDetails[[#This Row],[Unit Price]])-InvoiceDetails[[#This Row],[Discount]]</f>
        <v>1000</v>
      </c>
    </row>
    <row r="41" spans="2:8" ht="34" customHeight="1">
      <c r="B41" s="5" t="s">
        <v>220</v>
      </c>
      <c r="C41" s="5" t="s">
        <v>221</v>
      </c>
      <c r="D41" s="5">
        <v>1</v>
      </c>
      <c r="E41" s="36">
        <v>1</v>
      </c>
      <c r="F41" s="35">
        <v>10500</v>
      </c>
      <c r="G41" s="35"/>
      <c r="H41" s="35">
        <f>(InvoiceDetails[[#This Row],[Qty]]*InvoiceDetails[[#This Row],[Unit Price]])-InvoiceDetails[[#This Row],[Discount]]</f>
        <v>10500</v>
      </c>
    </row>
    <row r="42" spans="2:8" ht="34" customHeight="1">
      <c r="B42" s="5" t="s">
        <v>220</v>
      </c>
      <c r="C42" s="5" t="s">
        <v>222</v>
      </c>
      <c r="D42" s="5">
        <v>1</v>
      </c>
      <c r="E42" s="36">
        <v>1</v>
      </c>
      <c r="F42" s="35">
        <v>12000</v>
      </c>
      <c r="G42" s="35"/>
      <c r="H42" s="35">
        <f>(InvoiceDetails[[#This Row],[Qty]]*InvoiceDetails[[#This Row],[Unit Price]])-InvoiceDetails[[#This Row],[Discount]]</f>
        <v>12000</v>
      </c>
    </row>
    <row r="43" spans="2:8" ht="34" customHeight="1">
      <c r="B43" s="5" t="s">
        <v>223</v>
      </c>
      <c r="C43" s="5" t="s">
        <v>224</v>
      </c>
      <c r="D43" s="5">
        <v>1</v>
      </c>
      <c r="E43" s="36">
        <v>1</v>
      </c>
      <c r="F43" s="35">
        <v>13000</v>
      </c>
      <c r="G43" s="35"/>
      <c r="H43" s="35">
        <f>(InvoiceDetails[[#This Row],[Qty]]*InvoiceDetails[[#This Row],[Unit Price]])-InvoiceDetails[[#This Row],[Discount]]</f>
        <v>13000</v>
      </c>
    </row>
    <row r="44" spans="2:8" ht="34" customHeight="1">
      <c r="B44" s="5" t="s">
        <v>223</v>
      </c>
      <c r="C44" s="5" t="s">
        <v>225</v>
      </c>
      <c r="D44" s="5">
        <v>1</v>
      </c>
      <c r="E44" s="36">
        <v>1</v>
      </c>
      <c r="F44" s="35">
        <v>13000</v>
      </c>
      <c r="G44" s="35"/>
      <c r="H44" s="35">
        <f>(InvoiceDetails[[#This Row],[Qty]]*InvoiceDetails[[#This Row],[Unit Price]])-InvoiceDetails[[#This Row],[Discount]]</f>
        <v>13000</v>
      </c>
    </row>
    <row r="45" spans="2:8" ht="34" customHeight="1">
      <c r="B45" s="5" t="s">
        <v>160</v>
      </c>
      <c r="C45" s="5" t="s">
        <v>226</v>
      </c>
      <c r="D45" s="5">
        <v>1</v>
      </c>
      <c r="E45" s="36">
        <v>1</v>
      </c>
      <c r="F45" s="35">
        <v>960</v>
      </c>
      <c r="G45" s="35"/>
      <c r="H45" s="35">
        <f>(InvoiceDetails[[#This Row],[Qty]]*InvoiceDetails[[#This Row],[Unit Price]])-InvoiceDetails[[#This Row],[Discount]]</f>
        <v>960</v>
      </c>
    </row>
    <row r="46" spans="2:8" ht="34" customHeight="1">
      <c r="B46" s="5" t="s">
        <v>223</v>
      </c>
      <c r="C46" s="5" t="s">
        <v>227</v>
      </c>
      <c r="D46" s="5">
        <v>1</v>
      </c>
      <c r="E46" s="36">
        <v>1</v>
      </c>
      <c r="F46" s="35">
        <v>23500</v>
      </c>
      <c r="G46" s="35"/>
      <c r="H46" s="35">
        <f>(InvoiceDetails[[#This Row],[Qty]]*InvoiceDetails[[#This Row],[Unit Price]])-InvoiceDetails[[#This Row],[Discount]]</f>
        <v>23500</v>
      </c>
    </row>
    <row r="47" spans="2:8" ht="34" customHeight="1">
      <c r="B47" s="5" t="s">
        <v>223</v>
      </c>
      <c r="C47" s="5" t="s">
        <v>7</v>
      </c>
      <c r="D47" s="5">
        <v>1</v>
      </c>
      <c r="E47" s="36">
        <v>1</v>
      </c>
      <c r="F47" s="35">
        <v>8000</v>
      </c>
      <c r="G47" s="35"/>
      <c r="H47" s="35">
        <f>(InvoiceDetails[[#This Row],[Qty]]*InvoiceDetails[[#This Row],[Unit Price]])-InvoiceDetails[[#This Row],[Discount]]</f>
        <v>8000</v>
      </c>
    </row>
    <row r="48" spans="2:8" ht="34" customHeight="1">
      <c r="B48" s="5" t="s">
        <v>160</v>
      </c>
      <c r="C48" s="5" t="s">
        <v>228</v>
      </c>
      <c r="D48" s="5">
        <v>1</v>
      </c>
      <c r="E48" s="36">
        <v>1</v>
      </c>
      <c r="F48" s="35">
        <v>930</v>
      </c>
      <c r="G48" s="35"/>
      <c r="H48" s="35">
        <f>(InvoiceDetails[[#This Row],[Qty]]*InvoiceDetails[[#This Row],[Unit Price]])-InvoiceDetails[[#This Row],[Discount]]</f>
        <v>930</v>
      </c>
    </row>
    <row r="49" spans="2:8" ht="34" customHeight="1">
      <c r="B49" s="5" t="s">
        <v>229</v>
      </c>
      <c r="C49" s="5" t="s">
        <v>230</v>
      </c>
      <c r="D49" s="5">
        <v>1</v>
      </c>
      <c r="E49" s="36">
        <v>1</v>
      </c>
      <c r="F49" s="35">
        <v>300</v>
      </c>
      <c r="G49" s="35"/>
      <c r="H49" s="35">
        <f>(InvoiceDetails[[#This Row],[Qty]]*InvoiceDetails[[#This Row],[Unit Price]])-InvoiceDetails[[#This Row],[Discount]]</f>
        <v>300</v>
      </c>
    </row>
    <row r="50" spans="2:8" ht="34" customHeight="1">
      <c r="B50" s="5" t="s">
        <v>231</v>
      </c>
      <c r="C50" s="5" t="s">
        <v>232</v>
      </c>
      <c r="D50" s="5">
        <v>1</v>
      </c>
      <c r="E50" s="36">
        <v>1</v>
      </c>
      <c r="F50" s="35">
        <v>690.22</v>
      </c>
      <c r="G50" s="35"/>
      <c r="H50" s="35">
        <f>(InvoiceDetails[[#This Row],[Qty]]*InvoiceDetails[[#This Row],[Unit Price]])-InvoiceDetails[[#This Row],[Discount]]</f>
        <v>690.22</v>
      </c>
    </row>
    <row r="51" spans="2:8" ht="34" customHeight="1">
      <c r="B51" s="5" t="s">
        <v>160</v>
      </c>
      <c r="C51" s="5" t="s">
        <v>233</v>
      </c>
      <c r="D51" s="5">
        <v>1</v>
      </c>
      <c r="E51" s="36">
        <v>1</v>
      </c>
      <c r="F51" s="35">
        <v>1500</v>
      </c>
      <c r="G51" s="35"/>
      <c r="H51" s="35">
        <f>(InvoiceDetails[[#This Row],[Qty]]*InvoiceDetails[[#This Row],[Unit Price]])-InvoiceDetails[[#This Row],[Discount]]</f>
        <v>1500</v>
      </c>
    </row>
    <row r="52" spans="2:8" ht="34" customHeight="1">
      <c r="B52" s="5" t="s">
        <v>160</v>
      </c>
      <c r="C52" s="5" t="s">
        <v>234</v>
      </c>
      <c r="D52" s="5">
        <v>1</v>
      </c>
      <c r="E52" s="36">
        <v>1</v>
      </c>
      <c r="F52" s="35">
        <v>500</v>
      </c>
      <c r="G52" s="35"/>
      <c r="H52" s="35">
        <f>(InvoiceDetails[[#This Row],[Qty]]*InvoiceDetails[[#This Row],[Unit Price]])-InvoiceDetails[[#This Row],[Discount]]</f>
        <v>500</v>
      </c>
    </row>
    <row r="53" spans="2:8" ht="34" customHeight="1">
      <c r="B53" s="5" t="s">
        <v>160</v>
      </c>
      <c r="C53" s="5" t="s">
        <v>239</v>
      </c>
      <c r="D53" s="5">
        <v>1</v>
      </c>
      <c r="E53" s="36">
        <v>1</v>
      </c>
      <c r="F53" s="35">
        <v>1995.3</v>
      </c>
      <c r="G53" s="35"/>
      <c r="H53" s="35">
        <f>(InvoiceDetails[[#This Row],[Qty]]*InvoiceDetails[[#This Row],[Unit Price]])-InvoiceDetails[[#This Row],[Discount]]</f>
        <v>1995.3</v>
      </c>
    </row>
    <row r="54" spans="2:8" ht="34" customHeight="1">
      <c r="B54" s="5" t="s">
        <v>160</v>
      </c>
      <c r="C54" s="5" t="s">
        <v>21</v>
      </c>
      <c r="D54" s="5">
        <v>1</v>
      </c>
      <c r="E54" s="36">
        <v>1</v>
      </c>
      <c r="F54" s="35">
        <v>1000</v>
      </c>
      <c r="G54" s="35"/>
      <c r="H54" s="35">
        <f>(InvoiceDetails[[#This Row],[Qty]]*InvoiceDetails[[#This Row],[Unit Price]])-InvoiceDetails[[#This Row],[Discount]]</f>
        <v>1000</v>
      </c>
    </row>
    <row r="55" spans="2:8" ht="34" customHeight="1">
      <c r="B55" s="5" t="s">
        <v>160</v>
      </c>
      <c r="C55" s="5" t="s">
        <v>255</v>
      </c>
      <c r="D55" s="5">
        <v>1</v>
      </c>
      <c r="E55" s="36">
        <v>1</v>
      </c>
      <c r="F55" s="35">
        <v>1656</v>
      </c>
      <c r="G55" s="35"/>
      <c r="H55" s="35">
        <f>(InvoiceDetails[[#This Row],[Qty]]*InvoiceDetails[[#This Row],[Unit Price]])-InvoiceDetails[[#This Row],[Discount]]</f>
        <v>1656</v>
      </c>
    </row>
    <row r="56" spans="2:8" ht="34" customHeight="1">
      <c r="B56" s="5" t="s">
        <v>160</v>
      </c>
      <c r="C56" s="5" t="s">
        <v>245</v>
      </c>
      <c r="D56" s="5">
        <v>1</v>
      </c>
      <c r="E56" s="36">
        <v>1</v>
      </c>
      <c r="F56" s="35">
        <v>800</v>
      </c>
      <c r="G56" s="35"/>
      <c r="H56" s="35">
        <f>(InvoiceDetails[[#This Row],[Qty]]*InvoiceDetails[[#This Row],[Unit Price]])-InvoiceDetails[[#This Row],[Discount]]</f>
        <v>800</v>
      </c>
    </row>
    <row r="57" spans="2:8" ht="34" customHeight="1">
      <c r="B57" s="5" t="s">
        <v>253</v>
      </c>
      <c r="C57" s="5" t="s">
        <v>249</v>
      </c>
      <c r="D57" s="5">
        <v>1</v>
      </c>
      <c r="E57" s="36">
        <v>1</v>
      </c>
      <c r="F57" s="35">
        <v>15000</v>
      </c>
      <c r="G57" s="35"/>
      <c r="H57" s="35">
        <f>(InvoiceDetails[[#This Row],[Qty]]*InvoiceDetails[[#This Row],[Unit Price]])-InvoiceDetails[[#This Row],[Discount]]</f>
        <v>15000</v>
      </c>
    </row>
    <row r="58" spans="2:8" ht="34" customHeight="1">
      <c r="B58" s="5" t="s">
        <v>160</v>
      </c>
      <c r="C58" s="5" t="s">
        <v>242</v>
      </c>
      <c r="D58" s="5">
        <v>1</v>
      </c>
      <c r="E58" s="36">
        <v>1</v>
      </c>
      <c r="F58" s="35">
        <f>800+800+921.2+70</f>
        <v>2591.1999999999998</v>
      </c>
      <c r="G58" s="35"/>
      <c r="H58" s="35">
        <f>(InvoiceDetails[[#This Row],[Qty]]*InvoiceDetails[[#This Row],[Unit Price]])-InvoiceDetails[[#This Row],[Discount]]</f>
        <v>2591.1999999999998</v>
      </c>
    </row>
    <row r="59" spans="2:8" ht="34" customHeight="1">
      <c r="B59" s="5" t="s">
        <v>262</v>
      </c>
      <c r="C59" s="5" t="s">
        <v>258</v>
      </c>
      <c r="D59" s="5">
        <v>1</v>
      </c>
      <c r="E59" s="36">
        <v>1</v>
      </c>
      <c r="F59" s="35">
        <v>5800</v>
      </c>
      <c r="G59" s="35"/>
      <c r="H59" s="35">
        <f>(InvoiceDetails[[#This Row],[Qty]]*InvoiceDetails[[#This Row],[Unit Price]])-InvoiceDetails[[#This Row],[Discount]]</f>
        <v>5800</v>
      </c>
    </row>
    <row r="60" spans="2:8" ht="34" customHeight="1">
      <c r="B60" s="5" t="s">
        <v>262</v>
      </c>
      <c r="C60" s="5" t="s">
        <v>264</v>
      </c>
      <c r="D60" s="5">
        <v>1</v>
      </c>
      <c r="E60" s="36">
        <v>1</v>
      </c>
      <c r="F60" s="35">
        <v>5800</v>
      </c>
      <c r="G60" s="35"/>
      <c r="H60" s="35">
        <f>(InvoiceDetails[[#This Row],[Qty]]*InvoiceDetails[[#This Row],[Unit Price]])-InvoiceDetails[[#This Row],[Discount]]</f>
        <v>5800</v>
      </c>
    </row>
    <row r="61" spans="2:8" ht="34" customHeight="1">
      <c r="B61" s="5" t="s">
        <v>160</v>
      </c>
      <c r="C61" s="5" t="s">
        <v>269</v>
      </c>
      <c r="D61" s="5">
        <v>1</v>
      </c>
      <c r="E61" s="36">
        <v>1</v>
      </c>
      <c r="F61" s="35">
        <v>1057.43</v>
      </c>
      <c r="G61" s="35"/>
      <c r="H61" s="35">
        <f>(InvoiceDetails[[#This Row],[Qty]]*InvoiceDetails[[#This Row],[Unit Price]])-InvoiceDetails[[#This Row],[Discount]]</f>
        <v>1057.43</v>
      </c>
    </row>
    <row r="62" spans="2:8" ht="34" customHeight="1">
      <c r="B62" s="5" t="s">
        <v>181</v>
      </c>
      <c r="C62" s="5" t="s">
        <v>235</v>
      </c>
      <c r="D62" s="5">
        <v>1</v>
      </c>
      <c r="E62" s="36">
        <v>1</v>
      </c>
      <c r="F62" s="35">
        <v>11400</v>
      </c>
      <c r="G62" s="35"/>
      <c r="H62" s="35">
        <f>(InvoiceDetails[[#This Row],[Qty]]*InvoiceDetails[[#This Row],[Unit Price]])-InvoiceDetails[[#This Row],[Discount]]</f>
        <v>11400</v>
      </c>
    </row>
    <row r="63" spans="2:8" ht="34" customHeight="1">
      <c r="B63" s="5" t="s">
        <v>236</v>
      </c>
      <c r="C63" s="5" t="s">
        <v>237</v>
      </c>
      <c r="D63" s="5">
        <v>1</v>
      </c>
      <c r="E63" s="36">
        <v>1</v>
      </c>
      <c r="F63" s="35">
        <v>980</v>
      </c>
      <c r="G63" s="35"/>
      <c r="H63" s="35">
        <f>(InvoiceDetails[[#This Row],[Qty]]*InvoiceDetails[[#This Row],[Unit Price]])-InvoiceDetails[[#This Row],[Discount]]</f>
        <v>980</v>
      </c>
    </row>
  </sheetData>
  <sheetProtection formatCells="0" formatColumns="0" formatRows="0" insertRows="0" deleteRows="0" selectLockedCells="1" sort="0" autoFilter="0" pivotTables="0"/>
  <phoneticPr fontId="20" type="noConversion"/>
  <conditionalFormatting sqref="C4:C63">
    <cfRule type="expression" dxfId="0" priority="62">
      <formula>COUNTIF($C$4:$C$63,C4)&gt;25</formula>
    </cfRule>
  </conditionalFormatting>
  <dataValidations count="1">
    <dataValidation type="list" allowBlank="1" showInputMessage="1" showErrorMessage="1" errorTitle="Invalid Data" error="Please select an Invoice from this list. If your Invoice No. isn't shown, check the worksheet named Invoices - Main." sqref="C4:C63" xr:uid="{00000000-0002-0000-0300-000000000000}">
      <formula1>Invoice_No</formula1>
    </dataValidation>
  </dataValidations>
  <printOptions horizontalCentered="1"/>
  <pageMargins left="0.25" right="0.25" top="0.75" bottom="0.75" header="0.3" footer="0.3"/>
  <pageSetup scale="93" fitToHeight="0" orientation="landscape" r:id="rId1"/>
  <headerFooter differentFirst="1">
    <oddFooter>Page &amp;P of &amp;N</oddFooter>
  </headerFooter>
  <ignoredErrors>
    <ignoredError sqref="H63 H29:H36 H41 H49" emptyCellReference="1"/>
  </ignoredErrors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  <Status xmlns="71af3243-3dd4-4a8d-8c0d-dd76da1f02a5">Not started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a754d229f0057affa62b555f2ac55d4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c067517bd06b16cb9c9e315ad40fb255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E6A8D-8506-4921-9AAC-35C577A39F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A445B-6F4E-403F-A36E-68D87D4B8C1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99F30CEA-6D05-4B1D-8ED8-16A4798C4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TM03107658</Templat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Invoice</vt:lpstr>
      <vt:lpstr>Customers</vt:lpstr>
      <vt:lpstr>Invoices - Main</vt:lpstr>
      <vt:lpstr>Invoice Details</vt:lpstr>
      <vt:lpstr>CompanyName</vt:lpstr>
      <vt:lpstr>CustomerLookup</vt:lpstr>
      <vt:lpstr>Invoice_No</vt:lpstr>
      <vt:lpstr>Customers!Print_Titles</vt:lpstr>
      <vt:lpstr>'Invoice Details'!Print_Titles</vt:lpstr>
      <vt:lpstr>'Invoices - Main'!Print_Titles</vt:lpstr>
      <vt:lpstr>rngInvoice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cp:lastPrinted>2025-05-06T05:44:39Z</cp:lastPrinted>
  <dcterms:created xsi:type="dcterms:W3CDTF">2019-07-08T21:21:18Z</dcterms:created>
  <dcterms:modified xsi:type="dcterms:W3CDTF">2025-05-29T14:07:43Z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