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eter\Documents\projects\Yale\HSM_github\Housing Archetypes\"/>
    </mc:Choice>
  </mc:AlternateContent>
  <xr:revisionPtr revIDLastSave="0" documentId="13_ncr:1_{4B361895-A3E7-4A34-AA93-F6CCB089F34E}"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2" l="1"/>
  <c r="C26" i="2" l="1"/>
  <c r="B30" i="2"/>
  <c r="L25" i="2"/>
  <c r="H30" i="2"/>
  <c r="H29" i="2"/>
  <c r="H28" i="2"/>
  <c r="H26" i="2"/>
  <c r="B28" i="2"/>
  <c r="H27" i="2"/>
  <c r="H25" i="2"/>
  <c r="H24" i="2"/>
  <c r="B24" i="2"/>
  <c r="H22" i="2"/>
  <c r="H23" i="2"/>
  <c r="B23" i="2"/>
  <c r="B21" i="2"/>
  <c r="H20" i="2"/>
  <c r="H21" i="2"/>
  <c r="H19" i="2"/>
  <c r="B19" i="2"/>
  <c r="B18" i="2"/>
  <c r="C15" i="2"/>
  <c r="H18" i="2"/>
  <c r="B15" i="2"/>
  <c r="B16" i="2"/>
  <c r="H16" i="2"/>
  <c r="B14" i="2"/>
  <c r="J14" i="2"/>
  <c r="H15" i="2"/>
  <c r="H14" i="2"/>
  <c r="H13" i="2"/>
  <c r="B11" i="2" l="1"/>
  <c r="J11" i="2"/>
  <c r="H10" i="2"/>
  <c r="H9" i="2"/>
  <c r="H11" i="2"/>
  <c r="C10" i="2"/>
  <c r="H8" i="2"/>
  <c r="H7" i="2"/>
  <c r="H6" i="2"/>
  <c r="H5" i="2"/>
  <c r="C4" i="2"/>
  <c r="H4" i="2"/>
  <c r="B3" i="2" l="1"/>
  <c r="B2" i="2"/>
  <c r="B28" i="1" l="1"/>
  <c r="B29" i="1"/>
  <c r="C29" i="1"/>
  <c r="B30" i="1"/>
  <c r="B31" i="1"/>
  <c r="C31" i="1"/>
  <c r="A29" i="1"/>
  <c r="A30" i="1"/>
  <c r="A31" i="1"/>
  <c r="C29" i="2"/>
  <c r="B29" i="2"/>
  <c r="C30" i="2"/>
  <c r="C30" i="1" s="1"/>
  <c r="C26" i="1" l="1"/>
  <c r="C27" i="1"/>
  <c r="B26" i="1"/>
  <c r="B27" i="1"/>
  <c r="A26" i="1"/>
  <c r="A27" i="1"/>
  <c r="A28" i="1"/>
  <c r="C28" i="2" l="1"/>
  <c r="C28" i="1" s="1"/>
  <c r="A3" i="1" l="1"/>
  <c r="A4" i="1"/>
  <c r="A5" i="1"/>
  <c r="A6" i="1"/>
  <c r="A7" i="1"/>
  <c r="A8" i="1"/>
  <c r="A9" i="1"/>
  <c r="A10" i="1"/>
  <c r="A11" i="1"/>
  <c r="A12" i="1"/>
  <c r="A13" i="1"/>
  <c r="A14" i="1"/>
  <c r="A15" i="1"/>
  <c r="A16" i="1"/>
  <c r="A17" i="1"/>
  <c r="A18" i="1"/>
  <c r="A19" i="1"/>
  <c r="A20" i="1"/>
  <c r="A21" i="1"/>
  <c r="A22" i="1"/>
  <c r="A23" i="1"/>
  <c r="A24" i="1"/>
  <c r="A25" i="1"/>
  <c r="A2" i="1"/>
  <c r="C27" i="2"/>
  <c r="C20" i="1" l="1"/>
  <c r="C17" i="1"/>
  <c r="C13" i="1"/>
  <c r="C8" i="1"/>
  <c r="C7" i="1"/>
  <c r="C6" i="1"/>
  <c r="C5" i="1"/>
  <c r="C4" i="1"/>
  <c r="B3" i="1"/>
  <c r="B4" i="1"/>
  <c r="B5" i="1"/>
  <c r="B6" i="1"/>
  <c r="B7" i="1"/>
  <c r="B8" i="1"/>
  <c r="B9" i="1"/>
  <c r="B10" i="1"/>
  <c r="B11" i="1"/>
  <c r="B12" i="1"/>
  <c r="B13" i="1"/>
  <c r="B14" i="1"/>
  <c r="B15" i="1"/>
  <c r="B16" i="1"/>
  <c r="B17" i="1"/>
  <c r="B18" i="1"/>
  <c r="B19" i="1"/>
  <c r="B20" i="1"/>
  <c r="B21" i="1"/>
  <c r="B22" i="1"/>
  <c r="B23" i="1"/>
  <c r="B24" i="1"/>
  <c r="B25" i="1"/>
  <c r="B2" i="1"/>
  <c r="C25" i="2" l="1"/>
  <c r="C25" i="1" s="1"/>
  <c r="C24" i="2"/>
  <c r="C24" i="1" s="1"/>
  <c r="C23" i="2"/>
  <c r="C23" i="1" s="1"/>
  <c r="C22" i="2"/>
  <c r="C22" i="1" s="1"/>
  <c r="C21" i="2"/>
  <c r="C21" i="1" s="1"/>
  <c r="C20" i="2"/>
  <c r="C19" i="2"/>
  <c r="C19" i="1" s="1"/>
  <c r="C18" i="2"/>
  <c r="C18" i="1" s="1"/>
  <c r="C17" i="2"/>
  <c r="C16" i="2"/>
  <c r="C16" i="1" s="1"/>
  <c r="C15" i="1"/>
  <c r="C14" i="2"/>
  <c r="C14" i="1" s="1"/>
  <c r="C13" i="2"/>
  <c r="C12" i="2"/>
  <c r="C12" i="1" s="1"/>
  <c r="C11" i="2"/>
  <c r="C11" i="1" s="1"/>
  <c r="C9" i="2"/>
  <c r="C9" i="1" s="1"/>
  <c r="C10" i="1"/>
  <c r="C8" i="2"/>
  <c r="C7" i="2"/>
  <c r="C6" i="2"/>
  <c r="C5" i="2"/>
  <c r="C3" i="2"/>
  <c r="C3" i="1" s="1"/>
  <c r="C2" i="2"/>
  <c r="C2" i="1" s="1"/>
</calcChain>
</file>

<file path=xl/sharedStrings.xml><?xml version="1.0" encoding="utf-8"?>
<sst xmlns="http://schemas.openxmlformats.org/spreadsheetml/2006/main" count="165" uniqueCount="118">
  <si>
    <t>Material</t>
  </si>
  <si>
    <t>GHGint2020</t>
  </si>
  <si>
    <t>GHGint2060</t>
  </si>
  <si>
    <t>Asphalt-saturated Felt</t>
  </si>
  <si>
    <t>Gypsum Board</t>
  </si>
  <si>
    <t>General Polyethylene</t>
  </si>
  <si>
    <t>Aluminium</t>
  </si>
  <si>
    <t>Cement</t>
  </si>
  <si>
    <t>Concrete</t>
  </si>
  <si>
    <t>Glass</t>
  </si>
  <si>
    <t>Expanded Polystyrene</t>
  </si>
  <si>
    <t>Extruded Polystyrene</t>
  </si>
  <si>
    <t>Fiberglass Insulation</t>
  </si>
  <si>
    <t>Glass fibre reinforced plastic</t>
  </si>
  <si>
    <t>Steel</t>
  </si>
  <si>
    <t>Fibrelass Shingles</t>
  </si>
  <si>
    <t>Gypsum Joint Compound</t>
  </si>
  <si>
    <t>Laminated Veneer Lumber</t>
  </si>
  <si>
    <t>Lime</t>
  </si>
  <si>
    <t>Oriented Strand Board</t>
  </si>
  <si>
    <t>Timber</t>
  </si>
  <si>
    <t>Paper</t>
  </si>
  <si>
    <t>Plywood</t>
  </si>
  <si>
    <t>Paint, solvent-based</t>
  </si>
  <si>
    <t>Paint, water-based</t>
  </si>
  <si>
    <t>Poly-iso insulation foam board</t>
  </si>
  <si>
    <t>PVC</t>
  </si>
  <si>
    <t>Void</t>
  </si>
  <si>
    <t>Source(s)</t>
  </si>
  <si>
    <t>2060 Assumption</t>
  </si>
  <si>
    <t>NA</t>
  </si>
  <si>
    <t xml:space="preserve">80% of 2020 value. </t>
  </si>
  <si>
    <t>Average of GHG intensity from two EPDs: (https://nationalgypsum.widen.net/view/pdf/sze7y4a7by/EPD-Type-X-Gypsum-Board_Exp042025.pdf?t.download=true&amp;u=vtetuw; https://www.americangypsum.com/sites/default/files/Gypsum-2014-FINAL-May-13-.pdf)</t>
  </si>
  <si>
    <t>ICE v3.0, "General Polyethylene"</t>
  </si>
  <si>
    <t>ICE v3.0, "Lime"</t>
  </si>
  <si>
    <t>50% of 2020 value. As aluminium emissions are largely related to electricity consumption, they can be reduced in line with deacrbonizing electricity supply. The NREL standard scenarios project 2050 GHG intensity of electricity to be 50-75% lower than 2020 by 2050</t>
  </si>
  <si>
    <t>ICE v3.0, "CEM I, Ordinary Portland Cement (OPC)"</t>
  </si>
  <si>
    <t>85% of 2020 value. Although cement can decarbonized by incorporating more replacement cementitiuous materials, this will likely be held back by a conservative industry.</t>
  </si>
  <si>
    <t>ICE v3.0, "RC 20/25, With CEM I"</t>
  </si>
  <si>
    <t>80% of 2020 value. Concrete has higher potential to decarbonize than cement, by incorporating cement replacements to a greater extent, and reduce total cementitious materials within each strength class.</t>
  </si>
  <si>
    <t>ICE v3.0, "Glass, Glazing, Double"</t>
  </si>
  <si>
    <t>90% of 2020 value. Glazing will increasingly have higher numbers of panes (2-3) and higher-pane glazing has a higher GHG intensity currently. This will counteract intensity reductions due to production improvements</t>
  </si>
  <si>
    <t xml:space="preserve">85% of 2020 value.  </t>
  </si>
  <si>
    <t>ICE v3.0, "Steel, Rebar"</t>
  </si>
  <si>
    <t>75% of 2020 value. Steel has the potential to decarbonize in multiple ways; increased recycling, increased electric-arc steel with lower GHG electricity, and hydrogen-based steel, justifying the more ambitious intensity reduction.</t>
  </si>
  <si>
    <t>ICE v3.0, "Timber, Laminated veneer lumber - No Carbon Storage"</t>
  </si>
  <si>
    <t>65% of 2020 value. 2020 value assumes no biogenic carbon storage or energy credits. Ambitious intensity reduction is based on the assumption that wood-based products will be increasingly sourced from well managed forests, facilitating lower overall intensities when considering biogenic storage.</t>
  </si>
  <si>
    <t>90% of 2020 value, not considered likely to decarbonize quickly</t>
  </si>
  <si>
    <t>ICE v3.0, "Timber, OSB - No Carbon Storage"</t>
  </si>
  <si>
    <t>ICE v3.0, "Timber, Softwood - No Carbon Storage"</t>
  </si>
  <si>
    <t>ICE v3.0, "Paperboard (General for construction use) - No Carbon Storage"</t>
  </si>
  <si>
    <t>ICE v3.0, "Timber, Plywood - No Carbon Storage"</t>
  </si>
  <si>
    <t>ICE v3.0, "Solventborne Paint"</t>
  </si>
  <si>
    <t>ICE v3.0, "Waterborne Paint"</t>
  </si>
  <si>
    <t>EPD http://info.nsf.org/Certified/Sustain/ProdCert/EPD10466.pdf</t>
  </si>
  <si>
    <t>ICE v3.0, "Aggregates and sand, general UK, mixture of land won, marine, secondary and recycled, bulk, loose"</t>
  </si>
  <si>
    <t>Brick</t>
  </si>
  <si>
    <t>ICE v3.0, "General (Common Brick)"</t>
  </si>
  <si>
    <t>90% of 2020 value. No longer a major construction material, and less likely to undergo major decarbonization</t>
  </si>
  <si>
    <t>TPO</t>
  </si>
  <si>
    <t>EPDM</t>
  </si>
  <si>
    <t xml:space="preserve">Asphalt  </t>
  </si>
  <si>
    <t>90% of 2020 value. Difficult to decarbonize</t>
  </si>
  <si>
    <t>ICE v3.0, "Asphalt, 5% binder content"</t>
  </si>
  <si>
    <t>Sand/Aggregate</t>
  </si>
  <si>
    <t>https://www.researchgate.net/publication/345156722</t>
  </si>
  <si>
    <t>GHGint Lit1</t>
  </si>
  <si>
    <t>GHGint Lit3</t>
  </si>
  <si>
    <t>GHGint Lit2</t>
  </si>
  <si>
    <t>Source Region</t>
  </si>
  <si>
    <t>Source Year</t>
  </si>
  <si>
    <t>Alt Lit 1</t>
  </si>
  <si>
    <t>Alt Lit2</t>
  </si>
  <si>
    <t>Alt Lit3</t>
  </si>
  <si>
    <r>
      <t xml:space="preserve">ICE v3.0, "Saturated Felt Underlay (impregnated with Asphalt or tar)" , from </t>
    </r>
    <r>
      <rPr>
        <i/>
        <sz val="11"/>
        <color theme="1"/>
        <rFont val="Calibri"/>
        <family val="2"/>
        <scheme val="minor"/>
      </rPr>
      <t>Environmental Resource guide</t>
    </r>
    <r>
      <rPr>
        <sz val="11"/>
        <color theme="1"/>
        <rFont val="Calibri"/>
        <family val="2"/>
        <scheme val="minor"/>
      </rPr>
      <t xml:space="preserve"> by Joseph A Demkin, 1997</t>
    </r>
  </si>
  <si>
    <t>USA</t>
  </si>
  <si>
    <t>EPD: Built-Up Asphalt Roofing Membrane, by the Asphalt Roofing Manucacturers Association, USA 2016 https://spot.ul.com/main-app/products/detail/5ad1edab55b0e82d946a9c9d?page_type=Products%20Catalog</t>
  </si>
  <si>
    <t>Athena GHGint (A1-A3) [kgCO2e/kg]</t>
  </si>
  <si>
    <t>Global</t>
  </si>
  <si>
    <t>Ecoinvent v3.5, "packaging film production, low density polyethylene, RoW", ReCiPe Midpoint (H) GWP 100a</t>
  </si>
  <si>
    <t>ICE v3.0, "Aluminium, North American"</t>
  </si>
  <si>
    <t>Ecoinvent v3.5, "flat glass production, uncoated, RoW", ReCiPe Midpoint (H) GWP 100a</t>
  </si>
  <si>
    <t>Ecoinvent v3.5, "polystyrene foam slab for perimeter insulation, RoW", ReCiPe Midpoint (H) GWP 100a</t>
  </si>
  <si>
    <t>Switzerland</t>
  </si>
  <si>
    <t>Germany/USA</t>
  </si>
  <si>
    <t>Ecoinvent v3.5, "polystyrene production, extruded, HFC-134a blown, RoW", ReCiPe Midpoint (H) GWP 100a</t>
  </si>
  <si>
    <t>50% of 2020 value. XPS has a high potential to reduce GHG intensity by switching to alternative blowing agents such as CO2, something which will gradually happen from the 2020s onwards.</t>
  </si>
  <si>
    <t>ICE v3.0, "Glass Reinforced Plastic - GRP - Fibreglass"</t>
  </si>
  <si>
    <t>EPD https://dcpd6wotaa0mb.cloudfront.net/mdms/dms/Shared/10023059/10023059-EcoTouch-Pink-Fiberglas-Batt-Roll-Insulation-Unfaced-and-Faced---EPD.pdf?v=1607530531000; A1-A3 GWP (pg 16), divided by 0.2693 kg/m2 density as indicated in Athena</t>
  </si>
  <si>
    <t>Ecoinvent v3.5, "glass fibre production, RoW", ReCiPe Midpoint (H) GWP 100a</t>
  </si>
  <si>
    <t>EPD https://app.transparencycatalog.com/assets/uploads/pdf/EcoBatt-batts-and-rolls_EPD_Knauf-Insulation_03222019.pdf</t>
  </si>
  <si>
    <t>Ecoinvent v3.5, "glass fibre reinforced plastic production, polyamide, injection moulded, RoW", ReCiPe Midpoint (H) GWP 100a</t>
  </si>
  <si>
    <t xml:space="preserve">Global </t>
  </si>
  <si>
    <t>RECC Model (Global value) https://osf.io/preprints/socarxiv/y4xcv</t>
  </si>
  <si>
    <t>doi.org/10.1016/j.resconrec.2016.06.008</t>
  </si>
  <si>
    <t>1.736 (crude steel)</t>
  </si>
  <si>
    <t>EPD http://www.owenscorning.com/NetworkShare/Shared/10020271---101.1_Owens-Corning_EPD_%C2%AE-Asphalt-Roofing-Shingles-EPD.pdf; average of 3 products described in EPD, GWP impacts A1-A3 divided by respective mass on pg6</t>
  </si>
  <si>
    <t>EPD https://dcpd6wotaa0mb.cloudfront.net/mdms/dms/Shared/10020271/101.1_Owens-Corning_EPD_Asphalt-Supreme_Oakridge_Duration-Series-Roofing-Shingles.pdf?v=1607531401000 average for 3 products described, GWP impacts A1-A3 divided by declared mass per unit</t>
  </si>
  <si>
    <t>EPD https://www.awc.org/pdf/greenbuilding/epd/AWC-EPD-LVL-1307.pdf</t>
  </si>
  <si>
    <t>EPD https://www.certainteed.com/resources/Industry_Joint_Compound_EPD_-_Drywall_Finishing_Council_Inc_-_UL_Certifi....pdf; Based on the average intensity of the ready mixed conventional product with 4 different packaging options</t>
  </si>
  <si>
    <t>85% of 2020 value. Cement content will likely remain traditional CEM I, limiting the decarbonization potential</t>
  </si>
  <si>
    <t>EPD https://awc.org/pdf/greenbuilding/epd/AWC-EPD-OSB-190328.pdf</t>
  </si>
  <si>
    <t>EPD https://www.awc.org/pdf/greenbuilding/epd/AWC-EPD-SoftwoodLumber-1307.pdf</t>
  </si>
  <si>
    <t>EPD https://www.awc.org/pdf/greenbuilding/epd/AWC-EPD-SoftwoodPlywood-1307.pdf</t>
  </si>
  <si>
    <t>ICE v3.0, "PVC General"</t>
  </si>
  <si>
    <t>EPD https://info.nsf.org/Certified/Sustain/ProdCert/EPD10138.pdf</t>
  </si>
  <si>
    <t>EPD https://www.behr.com/binaries/content/assets/behrdotcom/web/pdfs/epd/101.1_behr_epd_premium_plus_11.17.pdf, average of 15 products described</t>
  </si>
  <si>
    <t>Ecoinvent v3.5, "polyvinylchloride production, suspension polymerisation, RoW", ReCiPe Midpoint (H) GWP 100a</t>
  </si>
  <si>
    <t>EPD, https://www.carlislesyntec.com/en/Document-Viewer?documentId=a5465186-f1bb-76ab-3fc0-d1ce6e8f4bf4 BASE ON THE 80mils product</t>
  </si>
  <si>
    <t>EPD, https://www.carlislesyntec.com/en/Document-Viewer?documentId=f6266eed-05ef-29e1-7dea-f648f40433a9, based on 60 mils product</t>
  </si>
  <si>
    <t>EPD for vinyl siding https://spot.ul.com/main-app/products/detail/5ad1ed7055b0e82d946a9536?page_type=Products%20Catalog, using density and thickness for siding as given to calculate emissions per lb, before converting to per kg</t>
  </si>
  <si>
    <t>Ecoinvent v3.5, "mastic asphalt production, RoW", ReCiPe Midpoint (H) GWP 100a</t>
  </si>
  <si>
    <t>Athena Impact Estimator v5.4 "Roofing Asphalt"</t>
  </si>
  <si>
    <t>90% of 2020 value. With more construction sand and aggregate coming from marine sources, it will be challenging to achieve decarbonization. However, in declining regions, increased availability of demolition rubble will supply some aggregate</t>
  </si>
  <si>
    <t>Notes:</t>
  </si>
  <si>
    <r>
      <t>GHG intensities are in units of kg CO</t>
    </r>
    <r>
      <rPr>
        <vertAlign val="subscript"/>
        <sz val="11"/>
        <color theme="1"/>
        <rFont val="Calibri"/>
        <family val="2"/>
        <scheme val="minor"/>
      </rPr>
      <t>2e</t>
    </r>
    <r>
      <rPr>
        <sz val="11"/>
        <color theme="1"/>
        <rFont val="Calibri"/>
        <family val="2"/>
        <scheme val="minor"/>
      </rPr>
      <t xml:space="preserve">/kg material. </t>
    </r>
  </si>
  <si>
    <t>TPO = thermoplastic polyolefin, a roofing product used in manufactured homes</t>
  </si>
  <si>
    <t>EPDM = ethylene propylene diene terpolymer, a roofing product used in our high-rise multifamily archetype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</si>
</sst>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vertAlign val="sub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2" fontId="0" fillId="0" borderId="0" xfId="0" applyNumberFormat="1"/>
    <xf numFmtId="1"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workbookViewId="0">
      <selection activeCell="H16" sqref="H16"/>
    </sheetView>
  </sheetViews>
  <sheetFormatPr defaultRowHeight="14.4" x14ac:dyDescent="0.3"/>
  <cols>
    <col min="1" max="1" width="12.44140625" customWidth="1"/>
    <col min="2" max="3" width="10.77734375" bestFit="1" customWidth="1"/>
  </cols>
  <sheetData>
    <row r="1" spans="1:3" x14ac:dyDescent="0.3">
      <c r="A1" s="4" t="s">
        <v>0</v>
      </c>
      <c r="B1" s="4" t="s">
        <v>1</v>
      </c>
      <c r="C1" s="4" t="s">
        <v>2</v>
      </c>
    </row>
    <row r="2" spans="1:3" x14ac:dyDescent="0.3">
      <c r="A2" s="1" t="str">
        <f>MetaData!A2</f>
        <v>Asphalt-saturated Felt</v>
      </c>
      <c r="B2" s="1">
        <f>MetaData!B2</f>
        <v>0.39195979899497491</v>
      </c>
      <c r="C2" s="1">
        <f>MetaData!C2</f>
        <v>0.31356783919597997</v>
      </c>
    </row>
    <row r="3" spans="1:3" x14ac:dyDescent="0.3">
      <c r="A3" s="1" t="str">
        <f>MetaData!A3</f>
        <v>Gypsum Board</v>
      </c>
      <c r="B3" s="1">
        <f>MetaData!B3</f>
        <v>0.29735464262774103</v>
      </c>
      <c r="C3" s="1">
        <f>MetaData!C3</f>
        <v>0.23788371410219283</v>
      </c>
    </row>
    <row r="4" spans="1:3" x14ac:dyDescent="0.3">
      <c r="A4" s="1" t="str">
        <f>MetaData!A4</f>
        <v>General Polyethylene</v>
      </c>
      <c r="B4" s="1">
        <f>MetaData!B4</f>
        <v>2.7959000000000001</v>
      </c>
      <c r="C4" s="1">
        <f>MetaData!C4</f>
        <v>2.23672</v>
      </c>
    </row>
    <row r="5" spans="1:3" x14ac:dyDescent="0.3">
      <c r="A5" s="1" t="str">
        <f>MetaData!A5</f>
        <v>Aluminium</v>
      </c>
      <c r="B5" s="1">
        <f>MetaData!B5</f>
        <v>5.65</v>
      </c>
      <c r="C5" s="1">
        <f>MetaData!C5</f>
        <v>2.8250000000000002</v>
      </c>
    </row>
    <row r="6" spans="1:3" x14ac:dyDescent="0.3">
      <c r="A6" s="1" t="str">
        <f>MetaData!A6</f>
        <v>Cement</v>
      </c>
      <c r="B6" s="1">
        <f>MetaData!B6</f>
        <v>0.91200000000000003</v>
      </c>
      <c r="C6" s="1">
        <f>MetaData!C6</f>
        <v>0.7752</v>
      </c>
    </row>
    <row r="7" spans="1:3" x14ac:dyDescent="0.3">
      <c r="A7" s="1" t="str">
        <f>MetaData!A7</f>
        <v>Concrete</v>
      </c>
      <c r="B7" s="1">
        <f>MetaData!B7</f>
        <v>0.121</v>
      </c>
      <c r="C7" s="1">
        <f>MetaData!C7</f>
        <v>9.6799999999999997E-2</v>
      </c>
    </row>
    <row r="8" spans="1:3" x14ac:dyDescent="0.3">
      <c r="A8" s="1" t="str">
        <f>MetaData!A8</f>
        <v>Glass</v>
      </c>
      <c r="B8" s="1">
        <f>MetaData!B8</f>
        <v>1.63</v>
      </c>
      <c r="C8" s="1">
        <f>MetaData!C8</f>
        <v>1.4669999999999999</v>
      </c>
    </row>
    <row r="9" spans="1:3" x14ac:dyDescent="0.3">
      <c r="A9" s="1" t="str">
        <f>MetaData!A9</f>
        <v>Expanded Polystyrene</v>
      </c>
      <c r="B9" s="1">
        <f>MetaData!B9</f>
        <v>4.4724000000000004</v>
      </c>
      <c r="C9" s="1">
        <f>MetaData!C9</f>
        <v>3.8015400000000001</v>
      </c>
    </row>
    <row r="10" spans="1:3" x14ac:dyDescent="0.3">
      <c r="A10" s="1" t="str">
        <f>MetaData!A10</f>
        <v>Extruded Polystyrene</v>
      </c>
      <c r="B10" s="1">
        <f>MetaData!B10</f>
        <v>25.210999999999999</v>
      </c>
      <c r="C10" s="1">
        <f>MetaData!C10</f>
        <v>12.605499999999999</v>
      </c>
    </row>
    <row r="11" spans="1:3" x14ac:dyDescent="0.3">
      <c r="A11" s="1" t="str">
        <f>MetaData!A11</f>
        <v>Fiberglass Insulation</v>
      </c>
      <c r="B11" s="1">
        <f>MetaData!B11</f>
        <v>1.7528735632183909</v>
      </c>
      <c r="C11" s="1">
        <f>MetaData!C11</f>
        <v>1.4899425287356323</v>
      </c>
    </row>
    <row r="12" spans="1:3" x14ac:dyDescent="0.3">
      <c r="A12" s="1" t="str">
        <f>MetaData!A12</f>
        <v>Glass fibre reinforced plastic</v>
      </c>
      <c r="B12" s="1">
        <f>MetaData!B12</f>
        <v>8.8355999999999995</v>
      </c>
      <c r="C12" s="1">
        <f>MetaData!C12</f>
        <v>7.0684800000000001</v>
      </c>
    </row>
    <row r="13" spans="1:3" x14ac:dyDescent="0.3">
      <c r="A13" s="1" t="str">
        <f>MetaData!A13</f>
        <v>Steel</v>
      </c>
      <c r="B13" s="1">
        <f>MetaData!B13</f>
        <v>1.99</v>
      </c>
      <c r="C13" s="1">
        <f>MetaData!C13</f>
        <v>1.4924999999999999</v>
      </c>
    </row>
    <row r="14" spans="1:3" x14ac:dyDescent="0.3">
      <c r="A14" s="1" t="str">
        <f>MetaData!A14</f>
        <v>Fibrelass Shingles</v>
      </c>
      <c r="B14" s="1">
        <f>MetaData!B14</f>
        <v>0.32170024728628449</v>
      </c>
      <c r="C14" s="1">
        <f>MetaData!C14</f>
        <v>0.25736019782902758</v>
      </c>
    </row>
    <row r="15" spans="1:3" x14ac:dyDescent="0.3">
      <c r="A15" s="1" t="str">
        <f>MetaData!A15</f>
        <v>Gypsum Joint Compound</v>
      </c>
      <c r="B15" s="1">
        <f>MetaData!B15</f>
        <v>0.32787810383747185</v>
      </c>
      <c r="C15" s="1">
        <f>MetaData!C15</f>
        <v>0.27869638826185106</v>
      </c>
    </row>
    <row r="16" spans="1:3" x14ac:dyDescent="0.3">
      <c r="A16" s="1" t="str">
        <f>MetaData!A16</f>
        <v>Laminated Veneer Lumber</v>
      </c>
      <c r="B16" s="1">
        <f>MetaData!B16</f>
        <v>0.36966477376808943</v>
      </c>
      <c r="C16" s="1">
        <f>MetaData!C16</f>
        <v>0.24028210294925814</v>
      </c>
    </row>
    <row r="17" spans="1:3" x14ac:dyDescent="0.3">
      <c r="A17" s="1" t="str">
        <f>MetaData!A17</f>
        <v>Lime</v>
      </c>
      <c r="B17" s="1">
        <f>MetaData!B17</f>
        <v>0.78</v>
      </c>
      <c r="C17" s="1">
        <f>MetaData!C17</f>
        <v>0.70200000000000007</v>
      </c>
    </row>
    <row r="18" spans="1:3" x14ac:dyDescent="0.3">
      <c r="A18" s="1" t="str">
        <f>MetaData!A18</f>
        <v>Oriented Strand Board</v>
      </c>
      <c r="B18" s="1">
        <f>MetaData!B18</f>
        <v>0.39176396339539293</v>
      </c>
      <c r="C18" s="1">
        <f>MetaData!C18</f>
        <v>0.25464657620700543</v>
      </c>
    </row>
    <row r="19" spans="1:3" x14ac:dyDescent="0.3">
      <c r="A19" s="1" t="str">
        <f>MetaData!A19</f>
        <v>Timber</v>
      </c>
      <c r="B19" s="1">
        <f>MetaData!B19</f>
        <v>0.13721739130434782</v>
      </c>
      <c r="C19" s="1">
        <f>MetaData!C19</f>
        <v>8.9191304347826086E-2</v>
      </c>
    </row>
    <row r="20" spans="1:3" x14ac:dyDescent="0.3">
      <c r="A20" s="1" t="str">
        <f>MetaData!A20</f>
        <v>Paper</v>
      </c>
      <c r="B20" s="1">
        <f>MetaData!B20</f>
        <v>1.29</v>
      </c>
      <c r="C20" s="1">
        <f>MetaData!C20</f>
        <v>0.83850000000000002</v>
      </c>
    </row>
    <row r="21" spans="1:3" x14ac:dyDescent="0.3">
      <c r="A21" s="1" t="str">
        <f>MetaData!A21</f>
        <v>Plywood</v>
      </c>
      <c r="B21" s="1">
        <f>MetaData!B21</f>
        <v>0.26418973941368079</v>
      </c>
      <c r="C21" s="1">
        <f>MetaData!C21</f>
        <v>0.17172333061889253</v>
      </c>
    </row>
    <row r="22" spans="1:3" x14ac:dyDescent="0.3">
      <c r="A22" s="1" t="str">
        <f>MetaData!A22</f>
        <v>Paint, solvent-based</v>
      </c>
      <c r="B22" s="1">
        <f>MetaData!B22</f>
        <v>2.0806009368462002</v>
      </c>
      <c r="C22" s="1">
        <f>MetaData!C22</f>
        <v>1.6644807494769602</v>
      </c>
    </row>
    <row r="23" spans="1:3" x14ac:dyDescent="0.3">
      <c r="A23" s="1" t="str">
        <f>MetaData!A23</f>
        <v>Paint, water-based</v>
      </c>
      <c r="B23" s="1">
        <f>MetaData!B23</f>
        <v>2.712349222409324</v>
      </c>
      <c r="C23" s="1">
        <f>MetaData!C23</f>
        <v>2.1698793779274594</v>
      </c>
    </row>
    <row r="24" spans="1:3" x14ac:dyDescent="0.3">
      <c r="A24" s="1" t="str">
        <f>MetaData!A24</f>
        <v>Poly-iso insulation foam board</v>
      </c>
      <c r="B24" s="1">
        <f>MetaData!B24</f>
        <v>3.7925</v>
      </c>
      <c r="C24" s="1">
        <f>MetaData!C24</f>
        <v>3.2236249999999997</v>
      </c>
    </row>
    <row r="25" spans="1:3" x14ac:dyDescent="0.3">
      <c r="A25" s="1" t="str">
        <f>MetaData!A25</f>
        <v>PVC</v>
      </c>
      <c r="B25" s="1">
        <f>MetaData!B25</f>
        <v>1.9100999999999999</v>
      </c>
      <c r="C25" s="1">
        <f>MetaData!C25</f>
        <v>1.5280800000000001</v>
      </c>
    </row>
    <row r="26" spans="1:3" x14ac:dyDescent="0.3">
      <c r="A26" s="1" t="str">
        <f>MetaData!A26</f>
        <v>Sand/Aggregate</v>
      </c>
      <c r="B26" s="1">
        <f>MetaData!B26</f>
        <v>7.4700000000000001E-3</v>
      </c>
      <c r="C26" s="1">
        <f>MetaData!C26</f>
        <v>6.7229999999999998E-3</v>
      </c>
    </row>
    <row r="27" spans="1:3" x14ac:dyDescent="0.3">
      <c r="A27" s="1" t="str">
        <f>MetaData!A27</f>
        <v>Brick</v>
      </c>
      <c r="B27" s="1">
        <f>MetaData!B27</f>
        <v>0.21</v>
      </c>
      <c r="C27" s="1">
        <f>MetaData!C27</f>
        <v>0.189</v>
      </c>
    </row>
    <row r="28" spans="1:3" x14ac:dyDescent="0.3">
      <c r="A28" s="1" t="str">
        <f>MetaData!A28</f>
        <v>TPO</v>
      </c>
      <c r="B28" s="1">
        <f>MetaData!B28</f>
        <v>3.2153846153846151</v>
      </c>
      <c r="C28" s="1">
        <f>MetaData!C28</f>
        <v>2.5723076923076924</v>
      </c>
    </row>
    <row r="29" spans="1:3" x14ac:dyDescent="0.3">
      <c r="A29" s="1" t="str">
        <f>MetaData!A29</f>
        <v>EPDM</v>
      </c>
      <c r="B29" s="1">
        <f>MetaData!B29</f>
        <v>3.1894736842105265</v>
      </c>
      <c r="C29" s="1">
        <f>MetaData!C29</f>
        <v>2.5515789473684212</v>
      </c>
    </row>
    <row r="30" spans="1:3" x14ac:dyDescent="0.3">
      <c r="A30" s="1" t="str">
        <f>MetaData!A30</f>
        <v xml:space="preserve">Asphalt  </v>
      </c>
      <c r="B30" s="1">
        <f>MetaData!B30</f>
        <v>0.29399999999999998</v>
      </c>
      <c r="C30" s="1">
        <f>MetaData!C30</f>
        <v>0.2646</v>
      </c>
    </row>
    <row r="31" spans="1:3" x14ac:dyDescent="0.3">
      <c r="A31" s="1" t="str">
        <f>MetaData!A31</f>
        <v>Void</v>
      </c>
      <c r="B31" s="1">
        <f>MetaData!B31</f>
        <v>0</v>
      </c>
      <c r="C31" s="1">
        <f>MetaData!C31</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82B7C-1C22-48CA-B5C1-79AFF004EF02}">
  <dimension ref="A1:N40"/>
  <sheetViews>
    <sheetView tabSelected="1" topLeftCell="A13" zoomScale="90" zoomScaleNormal="90" workbookViewId="0">
      <selection activeCell="A19" sqref="A19:XFD19"/>
    </sheetView>
  </sheetViews>
  <sheetFormatPr defaultRowHeight="14.4" x14ac:dyDescent="0.3"/>
  <cols>
    <col min="1" max="1" width="23.6640625" customWidth="1"/>
    <col min="2" max="2" width="11.33203125" customWidth="1"/>
    <col min="3" max="3" width="11.109375" customWidth="1"/>
    <col min="4" max="4" width="42.21875" customWidth="1"/>
    <col min="5" max="5" width="92.21875" customWidth="1"/>
    <col min="6" max="6" width="12.33203125" bestFit="1" customWidth="1"/>
    <col min="7" max="7" width="10.44140625" bestFit="1" customWidth="1"/>
    <col min="8" max="8" width="12.88671875" bestFit="1" customWidth="1"/>
    <col min="10" max="10" width="10.44140625" customWidth="1"/>
    <col min="12" max="12" width="10.21875" bestFit="1" customWidth="1"/>
  </cols>
  <sheetData>
    <row r="1" spans="1:14" x14ac:dyDescent="0.3">
      <c r="A1" s="4" t="s">
        <v>0</v>
      </c>
      <c r="B1" s="4" t="s">
        <v>1</v>
      </c>
      <c r="C1" s="4" t="s">
        <v>2</v>
      </c>
      <c r="D1" s="4" t="s">
        <v>28</v>
      </c>
      <c r="E1" s="4" t="s">
        <v>29</v>
      </c>
      <c r="F1" s="4" t="s">
        <v>69</v>
      </c>
      <c r="G1" s="4" t="s">
        <v>70</v>
      </c>
      <c r="H1" s="4" t="s">
        <v>77</v>
      </c>
      <c r="I1" s="4" t="s">
        <v>71</v>
      </c>
      <c r="J1" s="4" t="s">
        <v>66</v>
      </c>
      <c r="K1" s="4" t="s">
        <v>72</v>
      </c>
      <c r="L1" s="4" t="s">
        <v>68</v>
      </c>
      <c r="M1" s="4" t="s">
        <v>73</v>
      </c>
      <c r="N1" s="4" t="s">
        <v>67</v>
      </c>
    </row>
    <row r="2" spans="1:14" x14ac:dyDescent="0.3">
      <c r="A2" t="s">
        <v>3</v>
      </c>
      <c r="B2" s="1">
        <f>3.9/9.95</f>
        <v>0.39195979899497491</v>
      </c>
      <c r="C2" s="1">
        <f>0.8*B2</f>
        <v>0.31356783919597997</v>
      </c>
      <c r="D2" t="s">
        <v>76</v>
      </c>
      <c r="E2" t="s">
        <v>31</v>
      </c>
      <c r="F2" t="s">
        <v>75</v>
      </c>
      <c r="G2">
        <v>1997</v>
      </c>
      <c r="H2">
        <v>0.17399999999999999</v>
      </c>
      <c r="I2" t="s">
        <v>74</v>
      </c>
      <c r="J2" s="1">
        <v>1.65</v>
      </c>
    </row>
    <row r="3" spans="1:14" x14ac:dyDescent="0.3">
      <c r="A3" t="s">
        <v>4</v>
      </c>
      <c r="B3" s="1">
        <f>AVERAGE(277/991,317.4/1007)</f>
        <v>0.29735464262774103</v>
      </c>
      <c r="C3" s="1">
        <f>0.8*B3</f>
        <v>0.23788371410219283</v>
      </c>
      <c r="D3" t="s">
        <v>32</v>
      </c>
      <c r="E3" t="s">
        <v>31</v>
      </c>
      <c r="F3" t="s">
        <v>75</v>
      </c>
      <c r="G3">
        <v>2020</v>
      </c>
      <c r="H3">
        <v>0.21299999999999999</v>
      </c>
    </row>
    <row r="4" spans="1:14" x14ac:dyDescent="0.3">
      <c r="A4" t="s">
        <v>5</v>
      </c>
      <c r="B4" s="1">
        <v>2.7959000000000001</v>
      </c>
      <c r="C4" s="1">
        <f>0.8*B4</f>
        <v>2.23672</v>
      </c>
      <c r="D4" t="s">
        <v>79</v>
      </c>
      <c r="E4" t="s">
        <v>31</v>
      </c>
      <c r="F4" t="s">
        <v>78</v>
      </c>
      <c r="G4">
        <v>2007</v>
      </c>
      <c r="H4" s="2">
        <f>176/15.3</f>
        <v>11.503267973856209</v>
      </c>
      <c r="I4" t="s">
        <v>33</v>
      </c>
      <c r="J4">
        <v>2.54</v>
      </c>
    </row>
    <row r="5" spans="1:14" x14ac:dyDescent="0.3">
      <c r="A5" t="s">
        <v>6</v>
      </c>
      <c r="B5" s="1">
        <v>5.65</v>
      </c>
      <c r="C5" s="1">
        <f>0.5*B5</f>
        <v>2.8250000000000002</v>
      </c>
      <c r="D5" t="s">
        <v>80</v>
      </c>
      <c r="E5" t="s">
        <v>35</v>
      </c>
      <c r="F5" t="s">
        <v>75</v>
      </c>
      <c r="G5">
        <v>2016</v>
      </c>
      <c r="H5" s="1">
        <f>5320/1010</f>
        <v>5.2673267326732676</v>
      </c>
    </row>
    <row r="6" spans="1:14" x14ac:dyDescent="0.3">
      <c r="A6" t="s">
        <v>7</v>
      </c>
      <c r="B6" s="1">
        <v>0.91200000000000003</v>
      </c>
      <c r="C6" s="1">
        <f>0.85*B6</f>
        <v>0.7752</v>
      </c>
      <c r="D6" t="s">
        <v>36</v>
      </c>
      <c r="E6" t="s">
        <v>37</v>
      </c>
      <c r="F6" t="s">
        <v>78</v>
      </c>
      <c r="G6">
        <v>2019</v>
      </c>
      <c r="H6">
        <f>1040/1000</f>
        <v>1.04</v>
      </c>
    </row>
    <row r="7" spans="1:14" x14ac:dyDescent="0.3">
      <c r="A7" t="s">
        <v>8</v>
      </c>
      <c r="B7" s="1">
        <v>0.121</v>
      </c>
      <c r="C7" s="1">
        <f>0.8*B7</f>
        <v>9.6799999999999997E-2</v>
      </c>
      <c r="D7" t="s">
        <v>38</v>
      </c>
      <c r="E7" t="s">
        <v>39</v>
      </c>
      <c r="F7" t="s">
        <v>78</v>
      </c>
      <c r="G7">
        <v>2019</v>
      </c>
      <c r="H7" s="1">
        <f>AVERAGE(227/1861.7,30300/240804)</f>
        <v>0.12388002126592411</v>
      </c>
    </row>
    <row r="8" spans="1:14" x14ac:dyDescent="0.3">
      <c r="A8" t="s">
        <v>9</v>
      </c>
      <c r="B8" s="1">
        <v>1.63</v>
      </c>
      <c r="C8" s="1">
        <f>0.9*B8</f>
        <v>1.4669999999999999</v>
      </c>
      <c r="D8" t="s">
        <v>40</v>
      </c>
      <c r="E8" t="s">
        <v>41</v>
      </c>
      <c r="F8" t="s">
        <v>78</v>
      </c>
      <c r="G8">
        <v>2019</v>
      </c>
      <c r="H8" s="1">
        <f>1690/1000</f>
        <v>1.69</v>
      </c>
      <c r="I8" t="s">
        <v>81</v>
      </c>
      <c r="J8">
        <v>1.03</v>
      </c>
    </row>
    <row r="9" spans="1:14" x14ac:dyDescent="0.3">
      <c r="A9" t="s">
        <v>10</v>
      </c>
      <c r="B9" s="1">
        <v>4.4724000000000004</v>
      </c>
      <c r="C9" s="1">
        <f>0.85*B9</f>
        <v>3.8015400000000001</v>
      </c>
      <c r="D9" t="s">
        <v>82</v>
      </c>
      <c r="E9" t="s">
        <v>42</v>
      </c>
      <c r="F9" t="s">
        <v>83</v>
      </c>
      <c r="G9">
        <v>2011</v>
      </c>
      <c r="H9" s="1">
        <f>3610/1291.5</f>
        <v>2.7951993805652342</v>
      </c>
    </row>
    <row r="10" spans="1:14" x14ac:dyDescent="0.3">
      <c r="A10" t="s">
        <v>11</v>
      </c>
      <c r="B10" s="1">
        <v>25.210999999999999</v>
      </c>
      <c r="C10" s="1">
        <f>0.5*B10</f>
        <v>12.605499999999999</v>
      </c>
      <c r="D10" t="s">
        <v>85</v>
      </c>
      <c r="E10" t="s">
        <v>86</v>
      </c>
      <c r="F10" t="s">
        <v>84</v>
      </c>
      <c r="G10">
        <v>2009</v>
      </c>
      <c r="H10" s="1">
        <f>1810/756</f>
        <v>2.394179894179894</v>
      </c>
    </row>
    <row r="11" spans="1:14" x14ac:dyDescent="0.3">
      <c r="A11" t="s">
        <v>12</v>
      </c>
      <c r="B11" s="1">
        <f>(0.152+0.458)/0.348</f>
        <v>1.7528735632183909</v>
      </c>
      <c r="C11" s="1">
        <f>0.85*B11</f>
        <v>1.4899425287356323</v>
      </c>
      <c r="D11" t="s">
        <v>90</v>
      </c>
      <c r="E11" t="s">
        <v>42</v>
      </c>
      <c r="F11" t="s">
        <v>75</v>
      </c>
      <c r="G11">
        <v>2018</v>
      </c>
      <c r="H11" s="1">
        <f>6.05/28.3</f>
        <v>0.21378091872791519</v>
      </c>
      <c r="I11" t="s">
        <v>88</v>
      </c>
      <c r="J11" s="1">
        <f>0.464/0.2693</f>
        <v>1.7229855180096549</v>
      </c>
      <c r="K11" t="s">
        <v>89</v>
      </c>
      <c r="L11" s="1">
        <v>2.5291000000000001</v>
      </c>
    </row>
    <row r="12" spans="1:14" x14ac:dyDescent="0.3">
      <c r="A12" t="s">
        <v>13</v>
      </c>
      <c r="B12" s="1">
        <v>8.8355999999999995</v>
      </c>
      <c r="C12" s="1">
        <f>0.8*B12</f>
        <v>7.0684800000000001</v>
      </c>
      <c r="D12" t="s">
        <v>91</v>
      </c>
      <c r="E12" t="s">
        <v>31</v>
      </c>
      <c r="F12" t="s">
        <v>92</v>
      </c>
      <c r="G12">
        <v>2007</v>
      </c>
      <c r="H12" s="1">
        <v>3.8</v>
      </c>
      <c r="I12" t="s">
        <v>65</v>
      </c>
      <c r="J12" s="1">
        <v>9.8000000000000007</v>
      </c>
      <c r="K12" t="s">
        <v>65</v>
      </c>
      <c r="L12" s="1">
        <v>9.67</v>
      </c>
      <c r="M12" t="s">
        <v>87</v>
      </c>
      <c r="N12">
        <v>8.1</v>
      </c>
    </row>
    <row r="13" spans="1:14" x14ac:dyDescent="0.3">
      <c r="A13" t="s">
        <v>14</v>
      </c>
      <c r="B13" s="1">
        <v>1.99</v>
      </c>
      <c r="C13" s="1">
        <f>0.75*B13</f>
        <v>1.4924999999999999</v>
      </c>
      <c r="D13" t="s">
        <v>43</v>
      </c>
      <c r="E13" t="s">
        <v>44</v>
      </c>
      <c r="F13" t="s">
        <v>92</v>
      </c>
      <c r="G13">
        <v>2018</v>
      </c>
      <c r="H13" s="1">
        <f>901/1010</f>
        <v>0.89207920792079209</v>
      </c>
      <c r="I13" t="s">
        <v>93</v>
      </c>
      <c r="J13">
        <v>1.82</v>
      </c>
      <c r="K13" t="s">
        <v>94</v>
      </c>
      <c r="L13" t="s">
        <v>95</v>
      </c>
    </row>
    <row r="14" spans="1:14" x14ac:dyDescent="0.3">
      <c r="A14" t="s">
        <v>15</v>
      </c>
      <c r="B14" s="1">
        <f>AVERAGE(3.49/10.12,3.21/9.93,2.75/9.26)</f>
        <v>0.32170024728628449</v>
      </c>
      <c r="C14" s="1">
        <f>0.8*B14</f>
        <v>0.25736019782902758</v>
      </c>
      <c r="D14" t="s">
        <v>97</v>
      </c>
      <c r="E14" t="s">
        <v>31</v>
      </c>
      <c r="F14" t="s">
        <v>75</v>
      </c>
      <c r="G14">
        <v>2020</v>
      </c>
      <c r="H14" s="1">
        <f>154/3235.7</f>
        <v>4.7594029112711315E-2</v>
      </c>
      <c r="I14" t="s">
        <v>96</v>
      </c>
      <c r="J14" s="1">
        <f>AVERAGE((0.101+4.08+0.0132+0.322+0.259)/(21.1/2.205),(0.123+4.3+0.0161+0.317+0.294)/(24.3/2.205),(0.116+4.54+0.013+0.323+0.274)/(24.2/2.205))</f>
        <v>0.47902827323694125</v>
      </c>
    </row>
    <row r="15" spans="1:14" x14ac:dyDescent="0.3">
      <c r="A15" t="s">
        <v>16</v>
      </c>
      <c r="B15" s="1">
        <f>AVERAGE(34.3/88.6,24.2/88.6,33.3/88.6,24.4/88.6)</f>
        <v>0.32787810383747185</v>
      </c>
      <c r="C15" s="1">
        <f>0.85*B15</f>
        <v>0.27869638826185106</v>
      </c>
      <c r="D15" t="s">
        <v>99</v>
      </c>
      <c r="E15" t="s">
        <v>100</v>
      </c>
      <c r="F15" t="s">
        <v>75</v>
      </c>
      <c r="G15">
        <v>2017</v>
      </c>
      <c r="H15" s="1">
        <f>11.8/1070</f>
        <v>1.102803738317757E-2</v>
      </c>
    </row>
    <row r="16" spans="1:14" x14ac:dyDescent="0.3">
      <c r="A16" t="s">
        <v>17</v>
      </c>
      <c r="B16" s="1">
        <f>201.8/545.9</f>
        <v>0.36966477376808943</v>
      </c>
      <c r="C16" s="1">
        <f>0.65*B16</f>
        <v>0.24028210294925814</v>
      </c>
      <c r="D16" t="s">
        <v>98</v>
      </c>
      <c r="E16" t="s">
        <v>46</v>
      </c>
      <c r="F16" t="s">
        <v>75</v>
      </c>
      <c r="G16">
        <v>2013</v>
      </c>
      <c r="H16" s="1">
        <f>1010/4616.3</f>
        <v>0.21878993999523427</v>
      </c>
      <c r="I16" t="s">
        <v>45</v>
      </c>
      <c r="J16" s="1">
        <v>0.39</v>
      </c>
    </row>
    <row r="17" spans="1:12" x14ac:dyDescent="0.3">
      <c r="A17" t="s">
        <v>18</v>
      </c>
      <c r="B17" s="1">
        <v>0.78</v>
      </c>
      <c r="C17" s="1">
        <f>0.9*B17</f>
        <v>0.70200000000000007</v>
      </c>
      <c r="D17" t="s">
        <v>34</v>
      </c>
      <c r="E17" t="s">
        <v>47</v>
      </c>
      <c r="F17" t="s">
        <v>78</v>
      </c>
      <c r="G17">
        <v>2011</v>
      </c>
      <c r="H17" t="s">
        <v>30</v>
      </c>
    </row>
    <row r="18" spans="1:12" x14ac:dyDescent="0.3">
      <c r="A18" t="s">
        <v>19</v>
      </c>
      <c r="B18" s="1">
        <f>248.3/633.8</f>
        <v>0.39176396339539293</v>
      </c>
      <c r="C18" s="1">
        <f>0.65*B18</f>
        <v>0.25464657620700543</v>
      </c>
      <c r="D18" t="s">
        <v>101</v>
      </c>
      <c r="E18" t="s">
        <v>46</v>
      </c>
      <c r="F18" t="s">
        <v>75</v>
      </c>
      <c r="G18">
        <v>2013</v>
      </c>
      <c r="H18" s="1">
        <f>142/613</f>
        <v>0.23164763458401305</v>
      </c>
      <c r="I18" t="s">
        <v>48</v>
      </c>
      <c r="J18" s="1">
        <v>0.45500000000000002</v>
      </c>
    </row>
    <row r="19" spans="1:12" x14ac:dyDescent="0.3">
      <c r="A19" t="s">
        <v>20</v>
      </c>
      <c r="B19" s="1">
        <f>63.12/460</f>
        <v>0.13721739130434782</v>
      </c>
      <c r="C19" s="1">
        <f>0.65*B19</f>
        <v>8.9191304347826086E-2</v>
      </c>
      <c r="D19" t="s">
        <v>102</v>
      </c>
      <c r="E19" t="s">
        <v>46</v>
      </c>
      <c r="F19" t="s">
        <v>75</v>
      </c>
      <c r="G19">
        <v>2020</v>
      </c>
      <c r="H19" s="1">
        <f>3420/45698</f>
        <v>7.4839161451267011E-2</v>
      </c>
      <c r="I19" t="s">
        <v>49</v>
      </c>
      <c r="J19" s="1">
        <v>0.26300000000000001</v>
      </c>
    </row>
    <row r="20" spans="1:12" x14ac:dyDescent="0.3">
      <c r="A20" t="s">
        <v>21</v>
      </c>
      <c r="B20" s="1">
        <v>1.29</v>
      </c>
      <c r="C20" s="1">
        <f>0.65*B20</f>
        <v>0.83850000000000002</v>
      </c>
      <c r="D20" t="s">
        <v>50</v>
      </c>
      <c r="E20" t="s">
        <v>46</v>
      </c>
      <c r="F20" t="s">
        <v>78</v>
      </c>
      <c r="G20">
        <v>2011</v>
      </c>
      <c r="H20" s="1">
        <f>817/1050</f>
        <v>0.77809523809523806</v>
      </c>
    </row>
    <row r="21" spans="1:12" x14ac:dyDescent="0.3">
      <c r="A21" t="s">
        <v>22</v>
      </c>
      <c r="B21" s="1">
        <f>129.77/491.2</f>
        <v>0.26418973941368079</v>
      </c>
      <c r="C21" s="1">
        <f>0.65*B21</f>
        <v>0.17172333061889253</v>
      </c>
      <c r="D21" t="s">
        <v>103</v>
      </c>
      <c r="E21" t="s">
        <v>46</v>
      </c>
      <c r="F21" t="s">
        <v>75</v>
      </c>
      <c r="G21">
        <v>2013</v>
      </c>
      <c r="H21" s="1">
        <f>64.6/477</f>
        <v>0.13542976939203352</v>
      </c>
      <c r="I21" t="s">
        <v>51</v>
      </c>
      <c r="J21" s="1">
        <v>0.68100000000000005</v>
      </c>
    </row>
    <row r="22" spans="1:12" x14ac:dyDescent="0.3">
      <c r="A22" t="s">
        <v>23</v>
      </c>
      <c r="B22" s="1">
        <f>AVERAGE(1.03/0.591,1.09/0.559,0.927/0.519,1.04/0.534,1.06/0.518,0.962/0.468,1.05/0.518,1.07/0.501,0.963/0.45,1.03/0.509,1.01/0.474,0.961/0.431,1.14/0.512,1.12/0.484,1.05/0.428)</f>
        <v>2.0806009368462002</v>
      </c>
      <c r="C22" s="1">
        <f>0.8*B22</f>
        <v>1.6644807494769602</v>
      </c>
      <c r="D22" t="s">
        <v>106</v>
      </c>
      <c r="E22" t="s">
        <v>31</v>
      </c>
      <c r="F22" t="s">
        <v>75</v>
      </c>
      <c r="G22">
        <v>2017</v>
      </c>
      <c r="H22" s="1">
        <f>711/9180</f>
        <v>7.7450980392156865E-2</v>
      </c>
      <c r="I22" t="s">
        <v>52</v>
      </c>
      <c r="J22" s="1">
        <v>3.76</v>
      </c>
    </row>
    <row r="23" spans="1:12" x14ac:dyDescent="0.3">
      <c r="A23" t="s">
        <v>24</v>
      </c>
      <c r="B23" s="1">
        <f>AVERAGE(6.1/2.76, 7.76/2.73,6.03/2.01,6.75/1.92,6.12/3.07)</f>
        <v>2.712349222409324</v>
      </c>
      <c r="C23" s="1">
        <f>0.8*B23</f>
        <v>2.1698793779274594</v>
      </c>
      <c r="D23" t="s">
        <v>105</v>
      </c>
      <c r="E23" t="s">
        <v>31</v>
      </c>
      <c r="F23" t="s">
        <v>75</v>
      </c>
      <c r="G23" s="3">
        <v>2017</v>
      </c>
      <c r="H23" s="1">
        <f>463/9180</f>
        <v>5.0435729847494552E-2</v>
      </c>
      <c r="I23" t="s">
        <v>53</v>
      </c>
      <c r="J23" s="1">
        <v>2.54</v>
      </c>
    </row>
    <row r="24" spans="1:12" x14ac:dyDescent="0.3">
      <c r="A24" t="s">
        <v>25</v>
      </c>
      <c r="B24" s="1">
        <f>(3.86+0.0699+0.166)/1.08</f>
        <v>3.7925</v>
      </c>
      <c r="C24" s="1">
        <f>0.85*B24</f>
        <v>3.2236249999999997</v>
      </c>
      <c r="D24" t="s">
        <v>54</v>
      </c>
      <c r="E24" t="s">
        <v>42</v>
      </c>
      <c r="F24" t="s">
        <v>75</v>
      </c>
      <c r="G24" s="3">
        <v>2017</v>
      </c>
      <c r="H24" s="1">
        <f>105/78.6</f>
        <v>1.33587786259542</v>
      </c>
    </row>
    <row r="25" spans="1:12" x14ac:dyDescent="0.3">
      <c r="A25" t="s">
        <v>26</v>
      </c>
      <c r="B25" s="1">
        <v>1.9100999999999999</v>
      </c>
      <c r="C25" s="1">
        <f>0.8*B25</f>
        <v>1.5280800000000001</v>
      </c>
      <c r="D25" t="s">
        <v>107</v>
      </c>
      <c r="E25" t="s">
        <v>31</v>
      </c>
      <c r="F25" t="s">
        <v>92</v>
      </c>
      <c r="G25">
        <v>1998</v>
      </c>
      <c r="H25" s="1">
        <f>307/433.7</f>
        <v>0.70786257781876871</v>
      </c>
      <c r="I25" t="s">
        <v>104</v>
      </c>
      <c r="J25">
        <v>3.1</v>
      </c>
      <c r="K25" t="s">
        <v>110</v>
      </c>
      <c r="L25" s="1">
        <f>(44.7+1.27+5.07)/(29.757/2.205)</f>
        <v>3.7820748059280174</v>
      </c>
    </row>
    <row r="26" spans="1:12" x14ac:dyDescent="0.3">
      <c r="A26" t="s">
        <v>64</v>
      </c>
      <c r="B26" s="1">
        <v>7.4700000000000001E-3</v>
      </c>
      <c r="C26" s="1">
        <f>0.9*B26</f>
        <v>6.7229999999999998E-3</v>
      </c>
      <c r="D26" t="s">
        <v>55</v>
      </c>
      <c r="E26" t="s">
        <v>113</v>
      </c>
      <c r="F26" t="s">
        <v>92</v>
      </c>
      <c r="G26">
        <v>2011</v>
      </c>
      <c r="H26" s="1">
        <f>7.37/3315.8</f>
        <v>2.222691356535376E-3</v>
      </c>
    </row>
    <row r="27" spans="1:12" x14ac:dyDescent="0.3">
      <c r="A27" t="s">
        <v>56</v>
      </c>
      <c r="B27" s="1">
        <v>0.21</v>
      </c>
      <c r="C27" s="1">
        <f>0.9*B27</f>
        <v>0.189</v>
      </c>
      <c r="D27" t="s">
        <v>57</v>
      </c>
      <c r="E27" t="s">
        <v>58</v>
      </c>
      <c r="F27" t="s">
        <v>92</v>
      </c>
      <c r="G27">
        <v>2011</v>
      </c>
      <c r="H27" s="1">
        <f>16700/110250</f>
        <v>0.15147392290249434</v>
      </c>
    </row>
    <row r="28" spans="1:12" x14ac:dyDescent="0.3">
      <c r="A28" t="s">
        <v>59</v>
      </c>
      <c r="B28" s="1">
        <f>6.27/1.95</f>
        <v>3.2153846153846151</v>
      </c>
      <c r="C28" s="1">
        <f>0.8*B28</f>
        <v>2.5723076923076924</v>
      </c>
      <c r="D28" t="s">
        <v>108</v>
      </c>
      <c r="E28" t="s">
        <v>31</v>
      </c>
      <c r="F28" t="s">
        <v>75</v>
      </c>
      <c r="G28">
        <v>2016</v>
      </c>
      <c r="H28" s="1">
        <f>5070/4453.4</f>
        <v>1.1384560111375579</v>
      </c>
    </row>
    <row r="29" spans="1:12" x14ac:dyDescent="0.3">
      <c r="A29" t="s">
        <v>60</v>
      </c>
      <c r="B29" s="1">
        <f>6.06/1.9</f>
        <v>3.1894736842105265</v>
      </c>
      <c r="C29" s="1">
        <f>0.8*B29</f>
        <v>2.5515789473684212</v>
      </c>
      <c r="D29" t="s">
        <v>109</v>
      </c>
      <c r="E29" t="s">
        <v>31</v>
      </c>
      <c r="F29" t="s">
        <v>75</v>
      </c>
      <c r="G29">
        <v>2016</v>
      </c>
      <c r="H29" s="1">
        <f>282/848.4</f>
        <v>0.33239038189533238</v>
      </c>
    </row>
    <row r="30" spans="1:12" x14ac:dyDescent="0.3">
      <c r="A30" t="s">
        <v>61</v>
      </c>
      <c r="B30">
        <f>441/1500</f>
        <v>0.29399999999999998</v>
      </c>
      <c r="C30" s="1">
        <f>0.9*B30</f>
        <v>0.2646</v>
      </c>
      <c r="D30" t="s">
        <v>112</v>
      </c>
      <c r="E30" t="s">
        <v>62</v>
      </c>
      <c r="F30" t="s">
        <v>75</v>
      </c>
      <c r="G30">
        <v>2020</v>
      </c>
      <c r="H30">
        <f>441/1500</f>
        <v>0.29399999999999998</v>
      </c>
      <c r="I30" t="s">
        <v>111</v>
      </c>
      <c r="J30" s="1">
        <v>0.25985999999999998</v>
      </c>
      <c r="K30" t="s">
        <v>63</v>
      </c>
      <c r="L30">
        <v>5.3999999999999999E-2</v>
      </c>
    </row>
    <row r="31" spans="1:12" x14ac:dyDescent="0.3">
      <c r="A31" t="s">
        <v>27</v>
      </c>
      <c r="B31" s="1">
        <v>0</v>
      </c>
      <c r="C31" s="1">
        <v>0</v>
      </c>
      <c r="D31" t="s">
        <v>30</v>
      </c>
      <c r="E31" t="s">
        <v>30</v>
      </c>
      <c r="G31" t="s">
        <v>30</v>
      </c>
      <c r="H31" t="s">
        <v>30</v>
      </c>
    </row>
    <row r="33" spans="1:10" x14ac:dyDescent="0.3">
      <c r="A33" s="4" t="s">
        <v>114</v>
      </c>
    </row>
    <row r="34" spans="1:10" ht="15.6" x14ac:dyDescent="0.35">
      <c r="A34" t="s">
        <v>115</v>
      </c>
      <c r="J34" s="1"/>
    </row>
    <row r="35" spans="1:10" x14ac:dyDescent="0.3">
      <c r="A35" t="s">
        <v>116</v>
      </c>
    </row>
    <row r="36" spans="1:10" x14ac:dyDescent="0.3">
      <c r="A36" t="s">
        <v>117</v>
      </c>
    </row>
    <row r="39" spans="1:10" x14ac:dyDescent="0.3">
      <c r="D39" s="1"/>
    </row>
    <row r="40" spans="1:10" x14ac:dyDescent="0.3">
      <c r="H40" s="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Berrill</cp:lastModifiedBy>
  <dcterms:created xsi:type="dcterms:W3CDTF">2021-04-12T23:33:42Z</dcterms:created>
  <dcterms:modified xsi:type="dcterms:W3CDTF">2024-04-28T09:31:19Z</dcterms:modified>
</cp:coreProperties>
</file>