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S:\External_Organisations\SACES\Data\Gambling Statistics\Online Gambling Database\"/>
    </mc:Choice>
  </mc:AlternateContent>
  <workbookProtection workbookAlgorithmName="SHA-512" workbookHashValue="Wh0ie2Rb/9PXrKP0hnA8rxvLwfv3nObyKMnDvJcNaDFdPpeRaCt990ucT5BXBS6elxx7wEBLRlmvI8qRZ0TrCQ==" workbookSaltValue="WgMvIpUHshJgIogC2VD6vw==" workbookSpinCount="100000" lockStructure="1"/>
  <bookViews>
    <workbookView xWindow="3240" yWindow="-315" windowWidth="17430" windowHeight="13020" activeTab="1"/>
  </bookViews>
  <sheets>
    <sheet name="Admin" sheetId="23" r:id="rId1"/>
    <sheet name="Output" sheetId="18" r:id="rId2"/>
    <sheet name="Filter" sheetId="22" state="hidden" r:id="rId3"/>
    <sheet name="Source" sheetId="20" state="hidden" r:id="rId4"/>
  </sheets>
  <externalReferences>
    <externalReference r:id="rId5"/>
  </externalReferences>
  <definedNames>
    <definedName name="_00102">#REF!</definedName>
    <definedName name="_1_94_95">#REF!</definedName>
    <definedName name="_2_96_97">#REF!</definedName>
    <definedName name="_3_97_98">#REF!</definedName>
    <definedName name="_xlnm._FilterDatabase" localSheetId="1" hidden="1">Output!$AE$32:$AE$46</definedName>
    <definedName name="Allpostocdes95">#REF!</definedName>
    <definedName name="LGAs" localSheetId="2">Filter!$R$9:$R$31</definedName>
    <definedName name="LGAs">Output!#REF!</definedName>
    <definedName name="_xlnm.Print_Area" localSheetId="2">Filter!$A$1:$P$31</definedName>
    <definedName name="_xlnm.Print_Area" localSheetId="1">Output!$B$2:$V$23</definedName>
    <definedName name="_xlnm.Print_Area" localSheetId="3">Source!$A$1:$DR$32</definedName>
    <definedName name="qryRevenuebyCouncil___Cal_Year">#REF!</definedName>
    <definedName name="qryRevenueByCouncil___Fin_Year">#REF!</definedName>
    <definedName name="qryRevenueBySLA___Cal_Year">#REF!</definedName>
    <definedName name="qryRevenueBySLA___Fin_Year">#REF!</definedName>
    <definedName name="Query4">#REF!</definedName>
    <definedName name="RevbySLA_2000_01">'[1]RevbySLA 2000-01 Analysis'!$A$1:$G$130</definedName>
    <definedName name="SLA_2002">#REF!</definedName>
    <definedName name="zqry_SACenEcoStud_SLA_data">#REF!</definedName>
    <definedName name="zqry_SLA_data___IGA_inquiry">#REF!</definedName>
    <definedName name="zsubqry_GMs_by_SLA">#REF!</definedName>
    <definedName name="zsubqry_SACenForEcoStud_NGR_by_SLA">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32" i="22" l="1"/>
  <c r="D34" i="23" l="1"/>
  <c r="AA76" i="22"/>
  <c r="AA75" i="22"/>
  <c r="B5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E30" i="18"/>
  <c r="Y30" i="22" s="1"/>
  <c r="C30" i="22" l="1"/>
  <c r="C23" i="22"/>
  <c r="W16" i="22"/>
  <c r="S16" i="22"/>
  <c r="O16" i="22"/>
  <c r="K16" i="22"/>
  <c r="G16" i="22"/>
  <c r="C16" i="22"/>
  <c r="T15" i="22"/>
  <c r="P15" i="22"/>
  <c r="L15" i="22"/>
  <c r="H15" i="22"/>
  <c r="D15" i="22"/>
  <c r="U14" i="22"/>
  <c r="Q14" i="22"/>
  <c r="M14" i="22"/>
  <c r="I14" i="22"/>
  <c r="E14" i="22"/>
  <c r="V13" i="22"/>
  <c r="R13" i="22"/>
  <c r="N13" i="22"/>
  <c r="J13" i="22"/>
  <c r="F13" i="22"/>
  <c r="W12" i="22"/>
  <c r="S12" i="22"/>
  <c r="O12" i="22"/>
  <c r="K12" i="22"/>
  <c r="G12" i="22"/>
  <c r="C12" i="22"/>
  <c r="T11" i="22"/>
  <c r="P11" i="22"/>
  <c r="L11" i="22"/>
  <c r="H11" i="22"/>
  <c r="D11" i="22"/>
  <c r="T10" i="22"/>
  <c r="P10" i="22"/>
  <c r="L10" i="22"/>
  <c r="H10" i="22"/>
  <c r="D10" i="22"/>
  <c r="T9" i="22"/>
  <c r="P9" i="22"/>
  <c r="L9" i="22"/>
  <c r="L16" i="18" s="1"/>
  <c r="H9" i="22"/>
  <c r="C11" i="22"/>
  <c r="C29" i="22"/>
  <c r="C36" i="18" s="1"/>
  <c r="C22" i="22"/>
  <c r="C29" i="18" s="1"/>
  <c r="V16" i="22"/>
  <c r="R16" i="22"/>
  <c r="N16" i="22"/>
  <c r="J16" i="22"/>
  <c r="F16" i="22"/>
  <c r="W15" i="22"/>
  <c r="S15" i="22"/>
  <c r="O15" i="22"/>
  <c r="K15" i="22"/>
  <c r="G15" i="22"/>
  <c r="C15" i="22"/>
  <c r="T14" i="22"/>
  <c r="P14" i="22"/>
  <c r="L14" i="22"/>
  <c r="H14" i="22"/>
  <c r="D14" i="22"/>
  <c r="U13" i="22"/>
  <c r="Q13" i="22"/>
  <c r="M13" i="22"/>
  <c r="I13" i="22"/>
  <c r="E13" i="22"/>
  <c r="V12" i="22"/>
  <c r="R12" i="22"/>
  <c r="N12" i="22"/>
  <c r="J12" i="22"/>
  <c r="F12" i="22"/>
  <c r="W11" i="22"/>
  <c r="S11" i="22"/>
  <c r="O11" i="22"/>
  <c r="K11" i="22"/>
  <c r="G11" i="22"/>
  <c r="W10" i="22"/>
  <c r="S10" i="22"/>
  <c r="O10" i="22"/>
  <c r="K10" i="22"/>
  <c r="G10" i="22"/>
  <c r="W9" i="22"/>
  <c r="S9" i="22"/>
  <c r="O9" i="22"/>
  <c r="C25" i="22"/>
  <c r="C32" i="18" s="1"/>
  <c r="U16" i="22"/>
  <c r="M16" i="22"/>
  <c r="E16" i="22"/>
  <c r="R15" i="22"/>
  <c r="J15" i="22"/>
  <c r="W14" i="22"/>
  <c r="O14" i="22"/>
  <c r="G14" i="22"/>
  <c r="T13" i="22"/>
  <c r="L13" i="22"/>
  <c r="D13" i="22"/>
  <c r="Q12" i="22"/>
  <c r="I12" i="22"/>
  <c r="V11" i="22"/>
  <c r="N11" i="22"/>
  <c r="F11" i="22"/>
  <c r="R10" i="22"/>
  <c r="J10" i="22"/>
  <c r="V9" i="22"/>
  <c r="N9" i="22"/>
  <c r="I9" i="22"/>
  <c r="C10" i="22"/>
  <c r="C24" i="22"/>
  <c r="C31" i="18" s="1"/>
  <c r="T16" i="22"/>
  <c r="L16" i="22"/>
  <c r="D16" i="22"/>
  <c r="Q15" i="22"/>
  <c r="I15" i="22"/>
  <c r="V14" i="22"/>
  <c r="N14" i="22"/>
  <c r="F14" i="22"/>
  <c r="S13" i="22"/>
  <c r="K13" i="22"/>
  <c r="C13" i="22"/>
  <c r="P12" i="22"/>
  <c r="H12" i="22"/>
  <c r="U11" i="22"/>
  <c r="M11" i="22"/>
  <c r="E11" i="22"/>
  <c r="Q10" i="22"/>
  <c r="I10" i="22"/>
  <c r="U9" i="22"/>
  <c r="M9" i="22"/>
  <c r="G9" i="22"/>
  <c r="D9" i="22"/>
  <c r="D16" i="18" s="1"/>
  <c r="C21" i="22"/>
  <c r="C28" i="18" s="1"/>
  <c r="Q16" i="22"/>
  <c r="I16" i="22"/>
  <c r="V15" i="22"/>
  <c r="N15" i="22"/>
  <c r="F15" i="22"/>
  <c r="S14" i="22"/>
  <c r="K14" i="22"/>
  <c r="C14" i="22"/>
  <c r="P13" i="22"/>
  <c r="H13" i="22"/>
  <c r="U12" i="22"/>
  <c r="M12" i="22"/>
  <c r="E12" i="22"/>
  <c r="R11" i="22"/>
  <c r="J11" i="22"/>
  <c r="V10" i="22"/>
  <c r="N10" i="22"/>
  <c r="F10" i="22"/>
  <c r="R9" i="22"/>
  <c r="K9" i="22"/>
  <c r="K16" i="18" s="1"/>
  <c r="F9" i="22"/>
  <c r="F16" i="18" s="1"/>
  <c r="C9" i="22"/>
  <c r="C16" i="18" s="1"/>
  <c r="C20" i="22"/>
  <c r="P16" i="22"/>
  <c r="H16" i="22"/>
  <c r="U15" i="22"/>
  <c r="M15" i="22"/>
  <c r="E15" i="22"/>
  <c r="R14" i="22"/>
  <c r="J14" i="22"/>
  <c r="W13" i="22"/>
  <c r="O13" i="22"/>
  <c r="G13" i="22"/>
  <c r="T12" i="22"/>
  <c r="L12" i="22"/>
  <c r="D12" i="22"/>
  <c r="Q11" i="22"/>
  <c r="I11" i="22"/>
  <c r="U10" i="22"/>
  <c r="M10" i="22"/>
  <c r="E10" i="22"/>
  <c r="Q9" i="22"/>
  <c r="J9" i="22"/>
  <c r="E9" i="22"/>
  <c r="C37" i="18"/>
  <c r="C30" i="18"/>
  <c r="C27" i="18"/>
  <c r="B14" i="18"/>
  <c r="W23" i="18" l="1"/>
  <c r="W22" i="18"/>
  <c r="W18" i="18"/>
  <c r="W21" i="18"/>
  <c r="W16" i="18"/>
  <c r="W17" i="18"/>
  <c r="W20" i="18"/>
  <c r="W19" i="18"/>
  <c r="V16" i="18"/>
  <c r="V20" i="18"/>
  <c r="V17" i="18"/>
  <c r="V21" i="18"/>
  <c r="V23" i="18"/>
  <c r="V18" i="18"/>
  <c r="V22" i="18"/>
  <c r="V19" i="18"/>
  <c r="U16" i="18"/>
  <c r="U20" i="18"/>
  <c r="U19" i="18"/>
  <c r="U18" i="18"/>
  <c r="U22" i="18"/>
  <c r="U21" i="18"/>
  <c r="U23" i="18"/>
  <c r="U17" i="18"/>
  <c r="T16" i="18"/>
  <c r="T18" i="18"/>
  <c r="T23" i="18"/>
  <c r="T22" i="18"/>
  <c r="T21" i="18"/>
  <c r="T20" i="18"/>
  <c r="T19" i="18"/>
  <c r="T17" i="18"/>
  <c r="S16" i="18"/>
  <c r="S17" i="18"/>
  <c r="S19" i="18"/>
  <c r="S21" i="18"/>
  <c r="S20" i="18"/>
  <c r="S22" i="18"/>
  <c r="S18" i="18"/>
  <c r="S23" i="18"/>
  <c r="R18" i="18"/>
  <c r="R22" i="18"/>
  <c r="R19" i="18"/>
  <c r="R23" i="18"/>
  <c r="R16" i="18"/>
  <c r="R20" i="18"/>
  <c r="R17" i="18"/>
  <c r="R21" i="18"/>
  <c r="E20" i="18"/>
  <c r="Q21" i="18"/>
  <c r="Q20" i="18"/>
  <c r="Q22" i="18"/>
  <c r="Q16" i="18"/>
  <c r="Q17" i="18"/>
  <c r="Q23" i="18"/>
  <c r="Q18" i="18"/>
  <c r="Q19" i="18"/>
  <c r="P18" i="18"/>
  <c r="P19" i="18"/>
  <c r="P20" i="18"/>
  <c r="P17" i="18"/>
  <c r="P21" i="18"/>
  <c r="P22" i="18"/>
  <c r="P23" i="18"/>
  <c r="P16" i="18"/>
  <c r="N21" i="18"/>
  <c r="I22" i="18"/>
  <c r="L23" i="18"/>
  <c r="G23" i="18"/>
  <c r="M21" i="18"/>
  <c r="L22" i="18"/>
  <c r="G19" i="18"/>
  <c r="K20" i="18"/>
  <c r="G20" i="18"/>
  <c r="D22" i="18"/>
  <c r="M18" i="18"/>
  <c r="E23" i="18"/>
  <c r="N17" i="18"/>
  <c r="M17" i="18"/>
  <c r="K19" i="18"/>
  <c r="L18" i="18"/>
  <c r="N20" i="18"/>
  <c r="E21" i="18"/>
  <c r="K23" i="18"/>
  <c r="E22" i="18"/>
  <c r="J17" i="18"/>
  <c r="I17" i="18"/>
  <c r="M16" i="18"/>
  <c r="I19" i="18"/>
  <c r="E19" i="18"/>
  <c r="H20" i="18"/>
  <c r="H22" i="18"/>
  <c r="J22" i="18"/>
  <c r="C21" i="18"/>
  <c r="H18" i="18"/>
  <c r="H19" i="18"/>
  <c r="N16" i="18"/>
  <c r="D18" i="18"/>
  <c r="C23" i="18"/>
  <c r="D19" i="18"/>
  <c r="J21" i="18"/>
  <c r="H23" i="18"/>
  <c r="F22" i="18"/>
  <c r="C22" i="18"/>
  <c r="K17" i="18"/>
  <c r="C20" i="18"/>
  <c r="F21" i="18"/>
  <c r="N19" i="18"/>
  <c r="J20" i="18"/>
  <c r="I21" i="18"/>
  <c r="L21" i="18"/>
  <c r="G21" i="18"/>
  <c r="N18" i="18"/>
  <c r="J23" i="18"/>
  <c r="I20" i="18"/>
  <c r="M19" i="18"/>
  <c r="D17" i="18"/>
  <c r="M23" i="18"/>
  <c r="I16" i="18"/>
  <c r="J16" i="18"/>
  <c r="M20" i="18"/>
  <c r="I23" i="18"/>
  <c r="I18" i="18"/>
  <c r="J19" i="18"/>
  <c r="G22" i="18"/>
  <c r="G18" i="18"/>
  <c r="M22" i="18"/>
  <c r="N23" i="18"/>
  <c r="G16" i="18"/>
  <c r="L17" i="18"/>
  <c r="L19" i="18"/>
  <c r="J18" i="18"/>
  <c r="L20" i="18"/>
  <c r="N22" i="18"/>
  <c r="E17" i="18"/>
  <c r="H21" i="18"/>
  <c r="F18" i="18"/>
  <c r="H17" i="18"/>
  <c r="C18" i="18"/>
  <c r="C17" i="18"/>
  <c r="E16" i="18"/>
  <c r="F17" i="18"/>
  <c r="F20" i="18"/>
  <c r="C19" i="18"/>
  <c r="F19" i="18"/>
  <c r="K21" i="18"/>
  <c r="F23" i="18"/>
  <c r="D20" i="18"/>
  <c r="D23" i="18"/>
  <c r="H16" i="18"/>
  <c r="E18" i="18"/>
  <c r="K18" i="18"/>
  <c r="D21" i="18"/>
  <c r="K22" i="18"/>
  <c r="G17" i="18"/>
  <c r="O16" i="18"/>
  <c r="O18" i="18"/>
  <c r="O20" i="18"/>
  <c r="O22" i="18"/>
  <c r="O17" i="18"/>
  <c r="O19" i="18"/>
  <c r="O21" i="18"/>
  <c r="O23" i="18"/>
  <c r="B7" i="22"/>
  <c r="C40" i="18"/>
</calcChain>
</file>

<file path=xl/comments1.xml><?xml version="1.0" encoding="utf-8"?>
<comments xmlns="http://schemas.openxmlformats.org/spreadsheetml/2006/main">
  <authors>
    <author>The University of Adelaide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Data is copied from "Main For Public" worksheet in file: LGA_Gambling_Database_Source_Data.xlsx</t>
        </r>
      </text>
    </comment>
  </commentList>
</comments>
</file>

<file path=xl/sharedStrings.xml><?xml version="1.0" encoding="utf-8"?>
<sst xmlns="http://schemas.openxmlformats.org/spreadsheetml/2006/main" count="788" uniqueCount="427">
  <si>
    <t>Average NGR per machine 2008/09</t>
  </si>
  <si>
    <t>Average NGR per machine 2009/10</t>
  </si>
  <si>
    <t>2008/09</t>
  </si>
  <si>
    <t>2009/10</t>
  </si>
  <si>
    <t>98/99</t>
  </si>
  <si>
    <t>99/00</t>
  </si>
  <si>
    <t>00/01</t>
  </si>
  <si>
    <t>01/02</t>
  </si>
  <si>
    <t>02/03</t>
  </si>
  <si>
    <t>03/04</t>
  </si>
  <si>
    <t>04/05</t>
  </si>
  <si>
    <t>05/06</t>
  </si>
  <si>
    <t>06/07</t>
  </si>
  <si>
    <t>07/08</t>
  </si>
  <si>
    <t>08/09</t>
  </si>
  <si>
    <t>09/10</t>
  </si>
  <si>
    <t>Average NGR per machine 2006/07</t>
  </si>
  <si>
    <t>Average NGR per machine 2007/08</t>
  </si>
  <si>
    <t>Gambling Indicators for South Australian Regions</t>
  </si>
  <si>
    <t>Regions are composed of Local Government Areas (LGAs), which have generally been grouped together to protect</t>
  </si>
  <si>
    <t>Electronic Gaming Machine Indicators for South Australian Regions</t>
  </si>
  <si>
    <t>Select a region below (click on cell)</t>
  </si>
  <si>
    <t>Region</t>
  </si>
  <si>
    <t>a particular LGA belongs to.</t>
  </si>
  <si>
    <t>Click on this cell to display gambling information for the selected region.</t>
  </si>
  <si>
    <t>Unincorp. Flinders Ranges</t>
  </si>
  <si>
    <t>How to use this Database</t>
  </si>
  <si>
    <t xml:space="preserve"> Government Area belongs to. </t>
  </si>
  <si>
    <t xml:space="preserve">accessed by clicking on the tabs at the bottom of the page.  </t>
  </si>
  <si>
    <t xml:space="preserve">near the top of the page. </t>
  </si>
  <si>
    <t>No of Venues at 30 June 2009</t>
  </si>
  <si>
    <t>No of Venues at 30 June 2010</t>
  </si>
  <si>
    <t>No of Gms at 30 June 2009</t>
  </si>
  <si>
    <t>No of Gms at 30 June 2010</t>
  </si>
  <si>
    <t>Machines per 1,000 adults 30 June 2009</t>
  </si>
  <si>
    <t>Machines per 1,000 adults 30 June 2010</t>
  </si>
  <si>
    <t xml:space="preserve">           click on this cell to display the Local Government Area group the selected LGA belongs to.</t>
  </si>
  <si>
    <t>Net gambling revenue ($'000)</t>
  </si>
  <si>
    <t>Net gambling revenue</t>
  </si>
  <si>
    <t xml:space="preserve"> NGR = net gambling revenue</t>
  </si>
  <si>
    <t xml:space="preserve"> EGM = electronic gaming machine</t>
  </si>
  <si>
    <t xml:space="preserve"> To print the above tables and graphs below, press Ctrl + P.</t>
  </si>
  <si>
    <t>Ranking of Local Government Area/Group</t>
  </si>
  <si>
    <t xml:space="preserve">While the material provided in this file embodies the best efforts of the investigators of the South Australian Centre for </t>
  </si>
  <si>
    <t>Unincorp. Far North, Unincorp. West Coast, Anangu Pitjantjatjara, Maralinga Tjarutja</t>
  </si>
  <si>
    <t>Anangu Pitjantjatjara</t>
  </si>
  <si>
    <t>Maralinga Tjarutja</t>
  </si>
  <si>
    <t>No of Venues at 30 June 2008</t>
  </si>
  <si>
    <t>No of Gms at 30 June 2008</t>
  </si>
  <si>
    <t>Machines per 1,000 adults 30 June 2008</t>
  </si>
  <si>
    <t>2007/08</t>
  </si>
  <si>
    <t>Average NGR per machine 1998/99</t>
  </si>
  <si>
    <t>Average NGR per machine 1999/00</t>
  </si>
  <si>
    <t>Average NGR per machine 2000/01</t>
  </si>
  <si>
    <t>Average NGR per machine 2001/02</t>
  </si>
  <si>
    <t>Average NGR per machine 2002/03</t>
  </si>
  <si>
    <t>Average NGR per machine 2003/04</t>
  </si>
  <si>
    <t>Average NGR per machine 2004/05</t>
  </si>
  <si>
    <t>Average NGR per machine 2005/06</t>
  </si>
  <si>
    <t>Mount Remarkable (DC), Orroroo/Carrieton (DC), Peterborough (DC)</t>
  </si>
  <si>
    <t>Murray Bridge (RC), Karoonda East Murray (DC), Southern Mallee (DC)</t>
  </si>
  <si>
    <t>Naracoorte and Lucindale (DC), Robe (DC), Kingston (DC)</t>
  </si>
  <si>
    <t>Prospect (C), Walkerville (M)</t>
  </si>
  <si>
    <t>Roxby Downs (M), Coober Pedy (DC), Flinders Ranges (DC)</t>
  </si>
  <si>
    <t>The Coorong (DC), Tatiara (DC)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</si>
  <si>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</si>
  <si>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</si>
  <si>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</si>
  <si>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</si>
  <si>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</si>
  <si>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</si>
  <si>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</si>
  <si>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</si>
  <si>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</si>
  <si>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Barunga West (DC)</t>
  </si>
  <si>
    <t>Ceduna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</si>
  <si>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</si>
  <si>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</si>
  <si>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</si>
  <si>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</si>
  <si>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</si>
  <si>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</si>
  <si>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Goyder (DC)</t>
  </si>
  <si>
    <t>Grant (DC)</t>
  </si>
  <si>
    <t>Kangaroo Island (DC)</t>
  </si>
  <si>
    <t>Karoonda East Murray (DC)</t>
  </si>
  <si>
    <t>Kimba (DC)</t>
  </si>
  <si>
    <t>Kingston (DC)</t>
  </si>
  <si>
    <t>Le Hunte (DC)</t>
  </si>
  <si>
    <t>Light (RegC)</t>
  </si>
  <si>
    <t>Lower Eyre Peninsula (DC)</t>
  </si>
  <si>
    <t>Mount Gambier (C)</t>
  </si>
  <si>
    <t>Mount Remarkable (DC)</t>
  </si>
  <si>
    <t>Murray Bridge (RC)</t>
  </si>
  <si>
    <t>Naracoorte and Lucindale (DC)</t>
  </si>
  <si>
    <t>Northern Areas (DC)</t>
  </si>
  <si>
    <t>Orroroo/Carrieton (DC)</t>
  </si>
  <si>
    <t>Peterborough (DC)</t>
  </si>
  <si>
    <t>Prospect (C)</t>
  </si>
  <si>
    <t>Robe (DC)</t>
  </si>
  <si>
    <t>Roxby Downs (M)</t>
  </si>
  <si>
    <t>Southern Mallee (DC)</t>
  </si>
  <si>
    <t>Streaky Bay (DC)</t>
  </si>
  <si>
    <t>Tatiara (DC)</t>
  </si>
  <si>
    <t>The Coorong (DC)</t>
  </si>
  <si>
    <t>Tumby Bay (DC)</t>
  </si>
  <si>
    <t>Victor Harbor (C)</t>
  </si>
  <si>
    <t>Walkerville (M)</t>
  </si>
  <si>
    <t>Yankalilla (DC)</t>
  </si>
  <si>
    <t>Unincorp. West Coast</t>
  </si>
  <si>
    <t>Unincorp. Far North</t>
  </si>
  <si>
    <t>Burnside (C)</t>
  </si>
  <si>
    <t>Campbelltown (C)</t>
  </si>
  <si>
    <t>Mitcham (C)</t>
  </si>
  <si>
    <t>Tea Tree Gully (C)</t>
  </si>
  <si>
    <t>Machines per 1,000 adults 30 June 1999</t>
  </si>
  <si>
    <t>Machines per 1,000 adults 30 June 2000</t>
  </si>
  <si>
    <t>Machines per 1,000 adults 30 June 2001</t>
  </si>
  <si>
    <t>Machines per 1,000 adults 30 June 2002</t>
  </si>
  <si>
    <t>Machines per 1,000 adults 30 June 2003</t>
  </si>
  <si>
    <t>Machines per 1,000 adults 30 June 2004</t>
  </si>
  <si>
    <t>Machines per 1,000 adults 30 June 2005</t>
  </si>
  <si>
    <t>Machines per 1,000 adults 30 June 2006</t>
  </si>
  <si>
    <t>Machines per 1,000 adults 30 June 2007</t>
  </si>
  <si>
    <t>Number of EGMs per 1,000 adults at 30 June</t>
  </si>
  <si>
    <t>LGA</t>
  </si>
  <si>
    <t>Grouped LGA</t>
  </si>
  <si>
    <t>Local Government Area</t>
  </si>
  <si>
    <t>Grouped Local Government Area</t>
  </si>
  <si>
    <t>Region Definition</t>
  </si>
  <si>
    <t>Total tax ($'000)</t>
  </si>
  <si>
    <t>NGR per adult ($)</t>
  </si>
  <si>
    <t>Total tax per adult ($)</t>
  </si>
  <si>
    <t>$'000</t>
  </si>
  <si>
    <t>Cumulative totals since 1994-95</t>
  </si>
  <si>
    <t>Number</t>
  </si>
  <si>
    <t>Gambling indicator</t>
  </si>
  <si>
    <t>Number of EGMs at 30 June</t>
  </si>
  <si>
    <t>Average NGR per machine</t>
  </si>
  <si>
    <t>No. Ref</t>
  </si>
  <si>
    <t>Check</t>
  </si>
  <si>
    <t>Area Ref:</t>
  </si>
  <si>
    <t>Notes</t>
  </si>
  <si>
    <t xml:space="preserve">The SA Centre for Economic Studies does not guarantee that the data in this file is complete or correct, although </t>
  </si>
  <si>
    <t>Administrative Information</t>
  </si>
  <si>
    <t>Disclaimer</t>
  </si>
  <si>
    <t xml:space="preserve">This database was developed by the South Australian Centre for Economic Studies (www.adelaide.edu.au/saces). </t>
  </si>
  <si>
    <t xml:space="preserve">care is taken in compiling it.  </t>
  </si>
  <si>
    <t>South Australia</t>
  </si>
  <si>
    <t>Sorted by name</t>
  </si>
  <si>
    <t>Sorted by name with SA at end</t>
  </si>
  <si>
    <t>Heading filter</t>
  </si>
  <si>
    <t>No of Venues at 30 June 2006</t>
  </si>
  <si>
    <t>No of Venues at 30 June 2007</t>
  </si>
  <si>
    <t>No of Gms at 30 June 2006</t>
  </si>
  <si>
    <t>No of Gms at 30 June 2007</t>
  </si>
  <si>
    <t>Barunga West (DC), Copper Coast (DC)</t>
  </si>
  <si>
    <t>Campbelltown (C), Tea Tree Gully (C)</t>
  </si>
  <si>
    <t>Ceduna (DC), Streaky Bay (DC), Le Hunte (DC), Elliston (DC), Lower Eyre Peninsula (DC)</t>
  </si>
  <si>
    <t>Goyder (DC), Northern Areas (DC)</t>
  </si>
  <si>
    <t>Kangaroo Island (DC), Yankalilla (DC), Victor Harbor (C)</t>
  </si>
  <si>
    <t>Kimba (DC), Cleve (DC), Tumby Bay (DC), Franklin Harbour (DC)</t>
  </si>
  <si>
    <t>Mitcham (C), Burnside (C)</t>
  </si>
  <si>
    <t>Mount Gambier (C), Grant (DC)</t>
  </si>
  <si>
    <t>Adelaide (C)</t>
  </si>
  <si>
    <t>Clare and Gilbert Valleys (DC)</t>
  </si>
  <si>
    <t>Mid Murray (DC)</t>
  </si>
  <si>
    <t>Port Augusta (C)</t>
  </si>
  <si>
    <t>Port Lincoln (C)</t>
  </si>
  <si>
    <t>Wakefield (DC)</t>
  </si>
  <si>
    <t>Whyalla (C)</t>
  </si>
  <si>
    <t>Tax</t>
  </si>
  <si>
    <t>No of Gms at 30 June 1998</t>
  </si>
  <si>
    <t>No of Gms at 30 June 1999</t>
  </si>
  <si>
    <t>No of Gms at 30 June 2000</t>
  </si>
  <si>
    <t>No of Gms at 30 June 2001</t>
  </si>
  <si>
    <t>No of Gms at 30 June 2002</t>
  </si>
  <si>
    <t>No of Gms at 30 June 2003</t>
  </si>
  <si>
    <t>No of Gms at 30 June 2004</t>
  </si>
  <si>
    <t>No of Gms at 30 June 2005</t>
  </si>
  <si>
    <t>No of Venues at 30 June 1999</t>
  </si>
  <si>
    <t>No of Venues at 30 June 2000</t>
  </si>
  <si>
    <t>No of Venues at 30 June 2001</t>
  </si>
  <si>
    <t>No of Venues at 30 June 2002</t>
  </si>
  <si>
    <t>No of Venues at 30 June 2003</t>
  </si>
  <si>
    <t>No of Venues at 30 June 2005</t>
  </si>
  <si>
    <t>Gawler (T)</t>
  </si>
  <si>
    <t>No of Venues at 30 June 2004</t>
  </si>
  <si>
    <t>Adelaide Hills (DC)</t>
  </si>
  <si>
    <t>Alexandrina (DC)</t>
  </si>
  <si>
    <t>Barossa (DC)</t>
  </si>
  <si>
    <t>Berri and Barmera (DC)</t>
  </si>
  <si>
    <t>Charles Sturt (C)</t>
  </si>
  <si>
    <t>Holdfast Bay (C)</t>
  </si>
  <si>
    <t>Loxton Waikerie (DC)</t>
  </si>
  <si>
    <t>Marion (C)</t>
  </si>
  <si>
    <t>Mount Barker (DC)</t>
  </si>
  <si>
    <t>Norwood Payneham St Peters (C)</t>
  </si>
  <si>
    <t>Onkaparinga (C)</t>
  </si>
  <si>
    <t>Playford (C)</t>
  </si>
  <si>
    <t>Port Adelaide Enfield (C)</t>
  </si>
  <si>
    <t>Port Pirie City and Dists (M)</t>
  </si>
  <si>
    <t>Renmark Paringa (DC)</t>
  </si>
  <si>
    <t>Salisbury (C)</t>
  </si>
  <si>
    <t>Unley (C)</t>
  </si>
  <si>
    <t>Wattle Range (DC)</t>
  </si>
  <si>
    <t>West Torrens (C)</t>
  </si>
  <si>
    <t>Yorke Peninsula (DC)</t>
  </si>
  <si>
    <t>GAMBLING INDICATORS FOR SOUTH AUSTRALIAN LOCAL GOVERNMENT AREAS</t>
  </si>
  <si>
    <t>Number of venues at 30 June</t>
  </si>
  <si>
    <t>No of Venues at 30 June 2011</t>
  </si>
  <si>
    <t>No of Gms at 30 June 2011</t>
  </si>
  <si>
    <t>Machines per 1,000 adults 30 June 2011</t>
  </si>
  <si>
    <t>Average NGR per machine 2010/11</t>
  </si>
  <si>
    <t>2010/11</t>
  </si>
  <si>
    <t>10/11</t>
  </si>
  <si>
    <t>No of Venues at 30 June 2012</t>
  </si>
  <si>
    <t>No of Gms at 30 June 2012</t>
  </si>
  <si>
    <t>Average NGR per machine 2011/12</t>
  </si>
  <si>
    <t>Machines per 1,000 adults 30 June 2012</t>
  </si>
  <si>
    <t>2011/12</t>
  </si>
  <si>
    <t xml:space="preserve"> </t>
  </si>
  <si>
    <t>11/12</t>
  </si>
  <si>
    <t>99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</si>
  <si>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</si>
  <si>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</si>
  <si>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</si>
  <si>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</si>
  <si>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</si>
  <si>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</si>
  <si>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</si>
  <si>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</si>
  <si>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</si>
  <si>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</si>
  <si>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</si>
  <si>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</si>
  <si>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</si>
  <si>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Dates for graphs</t>
  </si>
  <si>
    <t>No of Venues at 30 June 2013</t>
  </si>
  <si>
    <t>No of Gms at 30 June 2013</t>
  </si>
  <si>
    <t>Total NGR 1998-99</t>
  </si>
  <si>
    <t>Total NGR 1999-00</t>
  </si>
  <si>
    <t>Total NGR 2000-01</t>
  </si>
  <si>
    <t>Total NGR 2001-02</t>
  </si>
  <si>
    <t>Total NGR 2002-03</t>
  </si>
  <si>
    <t>Total NGR 2003-04</t>
  </si>
  <si>
    <t>Total NGR 2004-05</t>
  </si>
  <si>
    <t>Total NGR 2005-06</t>
  </si>
  <si>
    <t>Total NGR 2006-07</t>
  </si>
  <si>
    <t>Total NGR 2007-08</t>
  </si>
  <si>
    <t>Total NGR 2008-09</t>
  </si>
  <si>
    <t>Total NGR 2009-10</t>
  </si>
  <si>
    <t>Total NGR 2010-11</t>
  </si>
  <si>
    <t>Total NGR 2011-12</t>
  </si>
  <si>
    <t>Total NGR 2012-13</t>
  </si>
  <si>
    <t>Total Tax 1998-99</t>
  </si>
  <si>
    <t>Total Tax 1999-00</t>
  </si>
  <si>
    <t>Total Tax 2000-01</t>
  </si>
  <si>
    <t>Total Tax 2001-02</t>
  </si>
  <si>
    <t>Total Tax 2002-03</t>
  </si>
  <si>
    <t>Total Tax 2003-04</t>
  </si>
  <si>
    <t>Total Tax 2004-05</t>
  </si>
  <si>
    <t>Total Tax 2005-06</t>
  </si>
  <si>
    <t>Total Tax 2006-07</t>
  </si>
  <si>
    <t>Total Tax 2007-08</t>
  </si>
  <si>
    <t>Total Tax 2008-09</t>
  </si>
  <si>
    <t>Total Tax 2009-10</t>
  </si>
  <si>
    <t>Total Tax 2010-11</t>
  </si>
  <si>
    <t>Total Tax 2011-12</t>
  </si>
  <si>
    <t>Total Tax 2012-13</t>
  </si>
  <si>
    <t>Total NGR per adult 1998-99</t>
  </si>
  <si>
    <t>Total NGR per adult 1999-00</t>
  </si>
  <si>
    <t>Total NGR per adult 2000-01</t>
  </si>
  <si>
    <t>Total NGR per adult 2001-02</t>
  </si>
  <si>
    <t>Total NGR per adult 2002-03</t>
  </si>
  <si>
    <t>Total NGR per adult 2003-04</t>
  </si>
  <si>
    <t>Total NGR per adult 2004-05</t>
  </si>
  <si>
    <t>Total NGR per adult 2005-06</t>
  </si>
  <si>
    <t>Total NGR per adult 2006-07</t>
  </si>
  <si>
    <t>Total NGR per adult 2007-08</t>
  </si>
  <si>
    <t>Total NGR per adult 2008-09</t>
  </si>
  <si>
    <t>Total NGR per adult 2009-10</t>
  </si>
  <si>
    <t>Total NGR per adult 2010-11</t>
  </si>
  <si>
    <t>Total NGR per adult 2011-12</t>
  </si>
  <si>
    <t>Total NGR per adult 2012-13</t>
  </si>
  <si>
    <t>Total tax per adult 1998-99</t>
  </si>
  <si>
    <t>Total tax per adult 1999-00</t>
  </si>
  <si>
    <t>Total tax per adult 2000-01</t>
  </si>
  <si>
    <t>Total tax per adult 2001-02</t>
  </si>
  <si>
    <t>Total tax per adult 2002-03</t>
  </si>
  <si>
    <t>Total tax per adult 2003-04</t>
  </si>
  <si>
    <t>Total tax per adult 2004-05</t>
  </si>
  <si>
    <t>Total tax per adult 2005-06</t>
  </si>
  <si>
    <t>Total tax per adult 2006-07</t>
  </si>
  <si>
    <t>Total tax per adult 2007-08</t>
  </si>
  <si>
    <t>Total tax per adult 2008-09</t>
  </si>
  <si>
    <t>Total tax per adult 2009-10</t>
  </si>
  <si>
    <t>Total tax per adult 2010-11</t>
  </si>
  <si>
    <t>Total tax per adult 2011-12</t>
  </si>
  <si>
    <t>Total tax per adult 2012-13</t>
  </si>
  <si>
    <t>Machines per 1,000 adults 30 June 2013</t>
  </si>
  <si>
    <t>Average NGR per machine 2012/13</t>
  </si>
  <si>
    <t>2012/13</t>
  </si>
  <si>
    <t>12/13</t>
  </si>
  <si>
    <t xml:space="preserve">Gambling data was obtained from Consumer and Business Services (www.cbs.sa.gov.au).  </t>
  </si>
  <si>
    <t xml:space="preserve">Per adult estimates are calculated by SACES based on population estimates for Local Government Areas published </t>
  </si>
  <si>
    <t xml:space="preserve">by the Australian Bureau of Statistics and the age profile of the population as indicated by the Census of Population </t>
  </si>
  <si>
    <t>confidential information relating to individual venues. Please use the drop-down list below to determine which group</t>
  </si>
  <si>
    <t>and Housing (www.abs.gov.au). The age profile for inter Census years are interpolated.</t>
  </si>
  <si>
    <t>Ceduna (DC), Streaky Bay (DC), Wudinna (DC), Elliston (DC), Lower Eyre Peninsula (DC)</t>
  </si>
  <si>
    <t>No of Venues at 30 June 2014</t>
  </si>
  <si>
    <t>No of Gms at 30 June 2014</t>
  </si>
  <si>
    <t>Total NGR 2013-14</t>
  </si>
  <si>
    <t>Total Tax 2013-14</t>
  </si>
  <si>
    <t>Total tax per adult 2013-14</t>
  </si>
  <si>
    <t>Machines per 1,000 adults 30 June 2014</t>
  </si>
  <si>
    <t>Average NGR per machine 2013/14</t>
  </si>
  <si>
    <t>2013/14</t>
  </si>
  <si>
    <t>14</t>
  </si>
  <si>
    <t>13/14</t>
  </si>
  <si>
    <t>Total NGR per adult 2013-14</t>
  </si>
  <si>
    <t>No of Venues at 30 June 2015</t>
  </si>
  <si>
    <t>No of Gms at 30 June 2015</t>
  </si>
  <si>
    <t>Total NGR 2014-15</t>
  </si>
  <si>
    <t>Total Tax 2014-15</t>
  </si>
  <si>
    <t>Total NGR per adult 2014-15</t>
  </si>
  <si>
    <t>Total tax per adult 2014-15</t>
  </si>
  <si>
    <t>Machines per 1,000 adults 30 June 2015</t>
  </si>
  <si>
    <t>Average NGR per machine 2014/15</t>
  </si>
  <si>
    <t>2014/15</t>
  </si>
  <si>
    <r>
      <t>Net gambling revenue ($'000)</t>
    </r>
    <r>
      <rPr>
        <vertAlign val="superscript"/>
        <sz val="11"/>
        <color theme="3" tint="-0.249977111117893"/>
        <rFont val="Calibri"/>
        <family val="2"/>
        <scheme val="minor"/>
      </rPr>
      <t>a</t>
    </r>
  </si>
  <si>
    <r>
      <t>Total tax ($'000)</t>
    </r>
    <r>
      <rPr>
        <vertAlign val="superscript"/>
        <sz val="11"/>
        <color theme="3" tint="-0.249977111117893"/>
        <rFont val="Calibri"/>
        <family val="2"/>
        <scheme val="minor"/>
      </rPr>
      <t>a, b</t>
    </r>
  </si>
  <si>
    <r>
      <t>NGR per adult ($)</t>
    </r>
    <r>
      <rPr>
        <vertAlign val="superscript"/>
        <sz val="11"/>
        <color theme="3" tint="-0.249977111117893"/>
        <rFont val="Calibri"/>
        <family val="2"/>
        <scheme val="minor"/>
      </rPr>
      <t>a, c</t>
    </r>
  </si>
  <si>
    <r>
      <t>Total tax per adult ($)</t>
    </r>
    <r>
      <rPr>
        <vertAlign val="superscript"/>
        <sz val="11"/>
        <color theme="3" tint="-0.249977111117893"/>
        <rFont val="Calibri"/>
        <family val="2"/>
        <scheme val="minor"/>
      </rPr>
      <t>a, b, c</t>
    </r>
  </si>
  <si>
    <r>
      <t>Average NGR per machine</t>
    </r>
    <r>
      <rPr>
        <vertAlign val="superscript"/>
        <sz val="11"/>
        <color theme="3" tint="-0.249977111117893"/>
        <rFont val="Calibri"/>
        <family val="2"/>
        <scheme val="minor"/>
      </rPr>
      <t>a, d</t>
    </r>
  </si>
  <si>
    <r>
      <t xml:space="preserve"> a</t>
    </r>
    <r>
      <rPr>
        <sz val="11"/>
        <color theme="3" tint="-0.249977111117893"/>
        <rFont val="Calibri"/>
        <family val="2"/>
        <scheme val="minor"/>
      </rPr>
      <t xml:space="preserve"> Includes net gambling revenue or tax for any venues that operated at any time during the year but were not operating at 30 June.</t>
    </r>
  </si>
  <si>
    <r>
      <t xml:space="preserve"> b</t>
    </r>
    <r>
      <rPr>
        <sz val="11"/>
        <color theme="3" tint="-0.249977111117893"/>
        <rFont val="Calibri"/>
        <family val="2"/>
        <scheme val="minor"/>
      </rPr>
      <t xml:space="preserve"> State tax rates on EGMs were reduced from the beginning of 2000/01 to offset the introduction of the GST.</t>
    </r>
  </si>
  <si>
    <r>
      <t xml:space="preserve"> c </t>
    </r>
    <r>
      <rPr>
        <sz val="11"/>
        <color theme="3" tint="-0.249977111117893"/>
        <rFont val="Calibri"/>
        <family val="2"/>
        <scheme val="minor"/>
      </rPr>
      <t xml:space="preserve">Number of adults refers to an average of the number of adults at the start and end of the financial year (i.e. 30 June). Population estimate for  </t>
    </r>
  </si>
  <si>
    <r>
      <t xml:space="preserve"> e</t>
    </r>
    <r>
      <rPr>
        <sz val="11"/>
        <color theme="3" tint="-0.249977111117893"/>
        <rFont val="Calibri"/>
        <family val="2"/>
        <scheme val="minor"/>
      </rPr>
      <t xml:space="preserve"> Ranked out of a total of 44 local government areas/groups.</t>
    </r>
  </si>
  <si>
    <r>
      <t xml:space="preserve">The database contains two sheets: the currently displayed </t>
    </r>
    <r>
      <rPr>
        <b/>
        <sz val="11"/>
        <color theme="3" tint="-0.249977111117893"/>
        <rFont val="Calibri"/>
        <family val="2"/>
        <scheme val="minor"/>
      </rPr>
      <t>Admin</t>
    </r>
    <r>
      <rPr>
        <sz val="11"/>
        <color theme="3" tint="-0.249977111117893"/>
        <rFont val="Calibri"/>
        <family val="2"/>
        <scheme val="minor"/>
      </rPr>
      <t xml:space="preserve"> sheet and an </t>
    </r>
    <r>
      <rPr>
        <b/>
        <sz val="11"/>
        <color theme="3" tint="-0.249977111117893"/>
        <rFont val="Calibri"/>
        <family val="2"/>
        <scheme val="minor"/>
      </rPr>
      <t xml:space="preserve">Output </t>
    </r>
    <r>
      <rPr>
        <sz val="11"/>
        <color theme="3" tint="-0.249977111117893"/>
        <rFont val="Calibri"/>
        <family val="2"/>
        <scheme val="minor"/>
      </rPr>
      <t xml:space="preserve">sheet. The sheets can be </t>
    </r>
  </si>
  <si>
    <r>
      <t xml:space="preserve">The </t>
    </r>
    <r>
      <rPr>
        <b/>
        <sz val="11"/>
        <color theme="3" tint="-0.249977111117893"/>
        <rFont val="Calibri"/>
        <family val="2"/>
        <scheme val="minor"/>
      </rPr>
      <t>Admin</t>
    </r>
    <r>
      <rPr>
        <sz val="11"/>
        <color theme="3" tint="-0.249977111117893"/>
        <rFont val="Calibri"/>
        <family val="2"/>
        <scheme val="minor"/>
      </rPr>
      <t xml:space="preserve"> sheet contains background information on the database and a tool for determining which region a Local </t>
    </r>
  </si>
  <si>
    <r>
      <t xml:space="preserve">To display data for a grouped region, go to the </t>
    </r>
    <r>
      <rPr>
        <b/>
        <sz val="11"/>
        <color theme="3" tint="-0.249977111117893"/>
        <rFont val="Calibri"/>
        <family val="2"/>
        <scheme val="minor"/>
      </rPr>
      <t>Output</t>
    </r>
    <r>
      <rPr>
        <sz val="11"/>
        <color theme="3" tint="-0.249977111117893"/>
        <rFont val="Calibri"/>
        <family val="2"/>
        <scheme val="minor"/>
      </rPr>
      <t xml:space="preserve"> sheet and select the region from the drop-down menu located</t>
    </r>
  </si>
  <si>
    <t>15</t>
  </si>
  <si>
    <t>14/15</t>
  </si>
  <si>
    <t>Figure 2: Net Gambling Revenue by Year for Selected Region</t>
  </si>
  <si>
    <t xml:space="preserve">           Figure 1: Number of Gaming Machines in Selected Region at 30 June</t>
  </si>
  <si>
    <t xml:space="preserve">           Figure 3: Net Gambling Revenue Per Adult by Year for Selected Region</t>
  </si>
  <si>
    <r>
      <t>Figure 4: Total Tax by Year for Selected Region</t>
    </r>
    <r>
      <rPr>
        <vertAlign val="superscript"/>
        <sz val="11"/>
        <color theme="3" tint="-0.249977111117893"/>
        <rFont val="Calibri"/>
        <family val="2"/>
        <scheme val="minor"/>
      </rPr>
      <t>a</t>
    </r>
  </si>
  <si>
    <t xml:space="preserve">                               EGM indicators: select graphs for</t>
  </si>
  <si>
    <t xml:space="preserve">Economic Studies, neither the Centre, the investigators, nor the University of Adelaide can be held responsible for any </t>
  </si>
  <si>
    <t xml:space="preserve">consequences that ensue from the use of the information in this file. Neither the Centre, the investigators, nor the </t>
  </si>
  <si>
    <t xml:space="preserve">University of Adelaide make any warranty or guarantee regarding the contents of the file, and any warranty or guarantee </t>
  </si>
  <si>
    <t>is disavowed except to the extent that statute makes it unavoidable.</t>
  </si>
  <si>
    <t>No of Venues at 30 June 2016</t>
  </si>
  <si>
    <t>No of Gms at 30 June 2016</t>
  </si>
  <si>
    <t>Total NGR 2015-16</t>
  </si>
  <si>
    <t>Total Tax 2015-16</t>
  </si>
  <si>
    <t>Total NGR per adult 2015-16</t>
  </si>
  <si>
    <t>Total tax per adult 2015-16</t>
  </si>
  <si>
    <t>Machines per 1,000 adults 30 June 2016</t>
  </si>
  <si>
    <t>Average NGR per machine 2015/16</t>
  </si>
  <si>
    <t>2015/16</t>
  </si>
  <si>
    <t>16</t>
  </si>
  <si>
    <t>2016/17</t>
  </si>
  <si>
    <t>No of Venues at 30 June 2017</t>
  </si>
  <si>
    <t>No of Gms at 30 June 2017</t>
  </si>
  <si>
    <t>Total NGR 2016-17</t>
  </si>
  <si>
    <t>Total Tax 2016-17</t>
  </si>
  <si>
    <t>Total NGR per adult 2016-17</t>
  </si>
  <si>
    <t>Total tax per adult 2016-17</t>
  </si>
  <si>
    <t>Machines per 1,000 adults 30 June 2017</t>
  </si>
  <si>
    <t>Average NGR per machine 2016/17</t>
  </si>
  <si>
    <t>na</t>
  </si>
  <si>
    <t>Net gambling revenue (2016/17)</t>
  </si>
  <si>
    <r>
      <t>Average NGR per adult (2016/17)</t>
    </r>
    <r>
      <rPr>
        <vertAlign val="superscript"/>
        <sz val="11"/>
        <color theme="3" tint="-0.249977111117893"/>
        <rFont val="Calibri"/>
        <family val="2"/>
        <scheme val="minor"/>
      </rPr>
      <t>b</t>
    </r>
  </si>
  <si>
    <t>Total tax (2016/17)</t>
  </si>
  <si>
    <r>
      <t>Average tax per adult (2016/17)</t>
    </r>
    <r>
      <rPr>
        <vertAlign val="superscript"/>
        <sz val="11"/>
        <color theme="3" tint="-0.249977111117893"/>
        <rFont val="Calibri"/>
        <family val="2"/>
        <scheme val="minor"/>
      </rPr>
      <t>b</t>
    </r>
  </si>
  <si>
    <t>Number of EGMs per 1,000 adults (30 June 2017)</t>
  </si>
  <si>
    <t>Average NGR per machine (2016/17)</t>
  </si>
  <si>
    <t>17</t>
  </si>
  <si>
    <t>15/16</t>
  </si>
  <si>
    <t>16/17</t>
  </si>
  <si>
    <t>No of Venues at 30 June 2018</t>
  </si>
  <si>
    <t>No of Gms at 30 June 2018</t>
  </si>
  <si>
    <t>Total NGR 2017-18</t>
  </si>
  <si>
    <t>Total Tax 2017-18</t>
  </si>
  <si>
    <t>Total NGR per adult 2017-18</t>
  </si>
  <si>
    <t>Total tax per adult 2017-18</t>
  </si>
  <si>
    <t>Machines per 1,000 adults 30 June 2018</t>
  </si>
  <si>
    <t>Average NGR per machine 2017/18</t>
  </si>
  <si>
    <t>2017/18</t>
  </si>
  <si>
    <t>18</t>
  </si>
  <si>
    <t>17/18</t>
  </si>
  <si>
    <r>
      <t>Ranking of Local Government Area/Group</t>
    </r>
    <r>
      <rPr>
        <b/>
        <vertAlign val="superscript"/>
        <sz val="11"/>
        <color rgb="FFFFFFCC"/>
        <rFont val="Calibri"/>
        <family val="2"/>
        <scheme val="minor"/>
      </rPr>
      <t>e</t>
    </r>
  </si>
  <si>
    <r>
      <t xml:space="preserve"> d</t>
    </r>
    <r>
      <rPr>
        <sz val="11"/>
        <color theme="3" tint="-0.249977111117893"/>
        <rFont val="Calibri"/>
        <family val="2"/>
        <scheme val="minor"/>
      </rPr>
      <t xml:space="preserve"> Per machine refers to an average of the number of gaming machines at the start and end of the financial year.</t>
    </r>
  </si>
  <si>
    <r>
      <t>Tax</t>
    </r>
    <r>
      <rPr>
        <vertAlign val="superscript"/>
        <sz val="11"/>
        <color theme="3" tint="-0.249977111117893"/>
        <rFont val="Calibri"/>
        <family val="2"/>
        <scheme val="minor"/>
      </rPr>
      <t>b</t>
    </r>
  </si>
  <si>
    <t>No of Venues at 30 June 2019</t>
  </si>
  <si>
    <t>No of Gms at 30 June 2019</t>
  </si>
  <si>
    <t>Total NGR 2018-19</t>
  </si>
  <si>
    <t>Cumulative NGR (94/95 to 18/19)</t>
  </si>
  <si>
    <t>Total Tax 2018-19</t>
  </si>
  <si>
    <t>Cumulative Tax (94/95 to 18/19)</t>
  </si>
  <si>
    <t>Total NGR per adult 2018-19</t>
  </si>
  <si>
    <t>Total tax per adult 2018-19</t>
  </si>
  <si>
    <t>Machines per 1,000 adults 30 June 2019</t>
  </si>
  <si>
    <t>Average NGR per machine 2018/19</t>
  </si>
  <si>
    <t>Ranking: Total NGR 2018/19</t>
  </si>
  <si>
    <t>Ranking: Total NGR per adult 2018/19</t>
  </si>
  <si>
    <t>Ranking: Total tax: 2018/19</t>
  </si>
  <si>
    <t>Ranking: Total tax per adult: 2018/19</t>
  </si>
  <si>
    <t>Ranking: EGMs per 1,000 adults 30 June 2019</t>
  </si>
  <si>
    <t>Ranking: Average NGR per machine 2018/19</t>
  </si>
  <si>
    <t>2018/19</t>
  </si>
  <si>
    <r>
      <t>Net gambling revenue (2018/19)</t>
    </r>
    <r>
      <rPr>
        <vertAlign val="superscript"/>
        <sz val="11"/>
        <color theme="3" tint="-0.249977111117893"/>
        <rFont val="Calibri"/>
        <family val="2"/>
        <scheme val="minor"/>
      </rPr>
      <t>a</t>
    </r>
  </si>
  <si>
    <r>
      <t>Average NGR per adult (2018/19)</t>
    </r>
    <r>
      <rPr>
        <vertAlign val="superscript"/>
        <sz val="11"/>
        <color theme="3" tint="-0.249977111117893"/>
        <rFont val="Calibri"/>
        <family val="2"/>
        <scheme val="minor"/>
      </rPr>
      <t>a</t>
    </r>
  </si>
  <si>
    <t>Total tax (2018/19)</t>
  </si>
  <si>
    <r>
      <t>Average tax per adult (2018/19)</t>
    </r>
    <r>
      <rPr>
        <vertAlign val="superscript"/>
        <sz val="11"/>
        <color theme="3" tint="-0.249977111117893"/>
        <rFont val="Calibri"/>
        <family val="2"/>
        <scheme val="minor"/>
      </rPr>
      <t>c</t>
    </r>
  </si>
  <si>
    <t>Number of EGMs per 1,000 adults (30 June 2019)</t>
  </si>
  <si>
    <r>
      <t>Average NGR per machine (2018/19)</t>
    </r>
    <r>
      <rPr>
        <vertAlign val="superscript"/>
        <sz val="11"/>
        <color theme="3" tint="-0.249977111117893"/>
        <rFont val="Calibri"/>
        <family val="2"/>
        <scheme val="minor"/>
      </rPr>
      <t>d</t>
    </r>
  </si>
  <si>
    <t>Cumulative totals: 1994/95 to 2018/19</t>
  </si>
  <si>
    <t>19</t>
  </si>
  <si>
    <t>18/19</t>
  </si>
  <si>
    <t>Light (RegC), Adelaide Plains (DC)</t>
  </si>
  <si>
    <t>Adelaide Plains (DC)</t>
  </si>
  <si>
    <t xml:space="preserve">   latest period (i.e. 30 June 2019) is a SACES forecast based on average annual growth in total population over the previous 2 year period.</t>
  </si>
  <si>
    <t xml:space="preserve"> na = not applicable or not available (i.e. population by age data was not available to calculate per adult estimate)</t>
  </si>
  <si>
    <t xml:space="preserve"> np = not published due to confidentiality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</si>
</sst>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"/>
  </numFmts>
  <fonts count="22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b/>
      <sz val="14"/>
      <color rgb="FFFFFFCC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vertAlign val="superscript"/>
      <sz val="11"/>
      <color theme="3" tint="-0.249977111117893"/>
      <name val="Calibri"/>
      <family val="2"/>
      <scheme val="minor"/>
    </font>
    <font>
      <b/>
      <sz val="11"/>
      <color rgb="FFFFFFCC"/>
      <name val="Calibri"/>
      <family val="2"/>
      <scheme val="minor"/>
    </font>
    <font>
      <b/>
      <vertAlign val="superscript"/>
      <sz val="11"/>
      <color rgb="FFFFFFCC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13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ck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18"/>
      </top>
      <bottom style="hair">
        <color indexed="18"/>
      </bottom>
      <diagonal/>
    </border>
    <border>
      <left style="hair">
        <color indexed="64"/>
      </left>
      <right/>
      <top style="hair">
        <color indexed="18"/>
      </top>
      <bottom style="hair">
        <color indexed="1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18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1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18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theme="1"/>
      </top>
      <bottom style="hair">
        <color theme="1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0" fontId="2" fillId="0" borderId="0" xfId="1" applyNumberFormat="1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/>
    <xf numFmtId="3" fontId="2" fillId="0" borderId="0" xfId="2" quotePrefix="1" applyNumberFormat="1" applyFont="1" applyFill="1"/>
    <xf numFmtId="3" fontId="2" fillId="0" borderId="0" xfId="2" applyNumberFormat="1" applyFont="1" applyFill="1" applyAlignment="1">
      <alignment horizontal="right"/>
    </xf>
    <xf numFmtId="3" fontId="2" fillId="0" borderId="0" xfId="2" quotePrefix="1" applyNumberFormat="1" applyFont="1" applyFill="1" applyAlignment="1">
      <alignment horizontal="right"/>
    </xf>
    <xf numFmtId="0" fontId="2" fillId="0" borderId="0" xfId="2" applyFont="1" applyFill="1"/>
    <xf numFmtId="3" fontId="2" fillId="0" borderId="0" xfId="2" quotePrefix="1" applyNumberFormat="1" applyFont="1"/>
    <xf numFmtId="0" fontId="5" fillId="0" borderId="0" xfId="1" applyNumberFormat="1" applyFont="1"/>
    <xf numFmtId="0" fontId="2" fillId="0" borderId="2" xfId="1" applyNumberFormat="1" applyFont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3" fontId="2" fillId="0" borderId="0" xfId="3" applyNumberFormat="1" applyFont="1" applyFill="1"/>
    <xf numFmtId="0" fontId="7" fillId="0" borderId="0" xfId="0" applyFont="1" applyFill="1" applyBorder="1"/>
    <xf numFmtId="0" fontId="7" fillId="0" borderId="0" xfId="0" applyFont="1" applyFill="1" applyBorder="1" applyProtection="1"/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>
      <alignment horizontal="center"/>
    </xf>
    <xf numFmtId="0" fontId="8" fillId="2" borderId="0" xfId="0" applyFont="1" applyFill="1" applyBorder="1" applyProtection="1"/>
    <xf numFmtId="0" fontId="7" fillId="2" borderId="0" xfId="0" applyFont="1" applyFill="1" applyBorder="1" applyProtection="1"/>
    <xf numFmtId="0" fontId="7" fillId="2" borderId="0" xfId="0" applyFont="1" applyFill="1" applyBorder="1"/>
    <xf numFmtId="0" fontId="8" fillId="0" borderId="0" xfId="0" applyFont="1" applyFill="1" applyBorder="1" applyProtection="1"/>
    <xf numFmtId="0" fontId="10" fillId="2" borderId="0" xfId="0" applyFont="1" applyFill="1" applyBorder="1" applyProtection="1"/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 applyFill="1" applyBorder="1" applyAlignment="1" applyProtection="1">
      <alignment horizontal="center"/>
    </xf>
    <xf numFmtId="3" fontId="7" fillId="2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0" fontId="8" fillId="0" borderId="0" xfId="0" applyFont="1" applyFill="1" applyBorder="1"/>
    <xf numFmtId="0" fontId="11" fillId="4" borderId="0" xfId="0" applyFont="1" applyFill="1" applyBorder="1" applyAlignment="1" applyProtection="1">
      <alignment horizontal="center"/>
    </xf>
    <xf numFmtId="0" fontId="11" fillId="4" borderId="0" xfId="0" applyFont="1" applyFill="1" applyBorder="1" applyProtection="1"/>
    <xf numFmtId="0" fontId="7" fillId="0" borderId="0" xfId="0" applyFont="1" applyFill="1"/>
    <xf numFmtId="0" fontId="7" fillId="0" borderId="0" xfId="0" applyFont="1" applyBorder="1"/>
    <xf numFmtId="0" fontId="13" fillId="0" borderId="0" xfId="0" applyFont="1" applyBorder="1"/>
    <xf numFmtId="0" fontId="7" fillId="2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14" fillId="0" borderId="0" xfId="0" applyFont="1" applyFill="1" applyBorder="1"/>
    <xf numFmtId="0" fontId="7" fillId="0" borderId="0" xfId="0" applyNumberFormat="1" applyFont="1" applyFill="1" applyBorder="1"/>
    <xf numFmtId="0" fontId="7" fillId="0" borderId="5" xfId="0" applyFont="1" applyFill="1" applyBorder="1"/>
    <xf numFmtId="0" fontId="7" fillId="0" borderId="5" xfId="0" applyFont="1" applyBorder="1"/>
    <xf numFmtId="0" fontId="7" fillId="0" borderId="0" xfId="0" applyNumberFormat="1" applyFont="1" applyAlignment="1"/>
    <xf numFmtId="0" fontId="7" fillId="6" borderId="6" xfId="0" applyFont="1" applyFill="1" applyBorder="1" applyProtection="1">
      <protection locked="0"/>
    </xf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5" fillId="0" borderId="0" xfId="0" applyNumberFormat="1" applyFont="1" applyFill="1" applyBorder="1" applyAlignment="1">
      <alignment horizontal="center"/>
    </xf>
    <xf numFmtId="0" fontId="19" fillId="2" borderId="0" xfId="0" applyFont="1" applyFill="1" applyBorder="1"/>
    <xf numFmtId="0" fontId="20" fillId="0" borderId="0" xfId="0" applyFont="1" applyFill="1" applyBorder="1"/>
    <xf numFmtId="0" fontId="16" fillId="0" borderId="0" xfId="0" applyFont="1" applyFill="1" applyBorder="1"/>
    <xf numFmtId="2" fontId="19" fillId="2" borderId="0" xfId="0" applyNumberFormat="1" applyFont="1" applyFill="1" applyBorder="1"/>
    <xf numFmtId="2" fontId="15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center"/>
    </xf>
    <xf numFmtId="0" fontId="15" fillId="2" borderId="0" xfId="0" applyFont="1" applyFill="1" applyBorder="1"/>
    <xf numFmtId="2" fontId="19" fillId="0" borderId="0" xfId="0" applyNumberFormat="1" applyFont="1" applyFill="1" applyBorder="1"/>
    <xf numFmtId="2" fontId="15" fillId="2" borderId="0" xfId="0" applyNumberFormat="1" applyFont="1" applyFill="1" applyBorder="1"/>
    <xf numFmtId="2" fontId="19" fillId="2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/>
    <xf numFmtId="0" fontId="15" fillId="0" borderId="0" xfId="0" quotePrefix="1" applyFont="1" applyFill="1" applyBorder="1" applyAlignment="1">
      <alignment horizontal="center"/>
    </xf>
    <xf numFmtId="17" fontId="15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protection locked="0"/>
    </xf>
    <xf numFmtId="0" fontId="8" fillId="2" borderId="0" xfId="0" applyFont="1" applyFill="1" applyBorder="1"/>
    <xf numFmtId="0" fontId="7" fillId="0" borderId="14" xfId="0" applyFont="1" applyFill="1" applyBorder="1"/>
    <xf numFmtId="3" fontId="7" fillId="2" borderId="15" xfId="0" applyNumberFormat="1" applyFont="1" applyFill="1" applyBorder="1" applyAlignment="1">
      <alignment horizontal="right"/>
    </xf>
    <xf numFmtId="0" fontId="7" fillId="0" borderId="10" xfId="0" applyFont="1" applyFill="1" applyBorder="1"/>
    <xf numFmtId="3" fontId="7" fillId="2" borderId="8" xfId="0" applyNumberFormat="1" applyFont="1" applyFill="1" applyBorder="1" applyAlignment="1">
      <alignment horizontal="right"/>
    </xf>
    <xf numFmtId="0" fontId="7" fillId="0" borderId="11" xfId="0" applyFont="1" applyFill="1" applyBorder="1"/>
    <xf numFmtId="3" fontId="7" fillId="2" borderId="12" xfId="0" applyNumberFormat="1" applyFont="1" applyFill="1" applyBorder="1" applyAlignment="1">
      <alignment horizontal="right"/>
    </xf>
    <xf numFmtId="0" fontId="7" fillId="0" borderId="13" xfId="0" applyFont="1" applyFill="1" applyBorder="1"/>
    <xf numFmtId="0" fontId="7" fillId="0" borderId="16" xfId="0" applyFont="1" applyFill="1" applyBorder="1" applyProtection="1"/>
    <xf numFmtId="3" fontId="7" fillId="2" borderId="16" xfId="0" applyNumberFormat="1" applyFont="1" applyFill="1" applyBorder="1" applyAlignment="1" applyProtection="1">
      <alignment horizontal="center"/>
      <protection locked="0" hidden="1"/>
    </xf>
    <xf numFmtId="0" fontId="7" fillId="5" borderId="3" xfId="0" applyFont="1" applyFill="1" applyBorder="1" applyProtection="1"/>
    <xf numFmtId="0" fontId="7" fillId="5" borderId="3" xfId="0" applyFont="1" applyFill="1" applyBorder="1" applyAlignment="1" applyProtection="1">
      <alignment horizontal="center"/>
    </xf>
    <xf numFmtId="164" fontId="7" fillId="2" borderId="12" xfId="0" applyNumberFormat="1" applyFont="1" applyFill="1" applyBorder="1" applyAlignment="1">
      <alignment horizontal="right"/>
    </xf>
    <xf numFmtId="0" fontId="6" fillId="4" borderId="0" xfId="0" applyFont="1" applyFill="1" applyBorder="1" applyAlignment="1" applyProtection="1">
      <alignment horizontal="center"/>
    </xf>
    <xf numFmtId="0" fontId="7" fillId="3" borderId="17" xfId="0" applyFont="1" applyFill="1" applyBorder="1"/>
    <xf numFmtId="0" fontId="7" fillId="3" borderId="4" xfId="0" applyFont="1" applyFill="1" applyBorder="1" applyAlignment="1">
      <alignment horizontal="right"/>
    </xf>
    <xf numFmtId="0" fontId="6" fillId="4" borderId="0" xfId="0" applyFont="1" applyFill="1" applyBorder="1" applyAlignment="1" applyProtection="1">
      <alignment horizontal="center"/>
    </xf>
    <xf numFmtId="3" fontId="2" fillId="0" borderId="0" xfId="2" quotePrefix="1" applyNumberFormat="1" applyFont="1" applyAlignment="1">
      <alignment horizontal="right"/>
    </xf>
    <xf numFmtId="3" fontId="2" fillId="0" borderId="0" xfId="3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1" fillId="4" borderId="0" xfId="0" applyFont="1" applyFill="1" applyBorder="1" applyAlignment="1"/>
    <xf numFmtId="0" fontId="11" fillId="4" borderId="1" xfId="0" applyFont="1" applyFill="1" applyBorder="1" applyAlignment="1"/>
    <xf numFmtId="0" fontId="6" fillId="4" borderId="0" xfId="0" applyFont="1" applyFill="1" applyBorder="1" applyAlignment="1" applyProtection="1">
      <alignment horizontal="center"/>
    </xf>
    <xf numFmtId="0" fontId="7" fillId="5" borderId="0" xfId="0" applyFont="1" applyFill="1" applyBorder="1" applyAlignment="1" applyProtection="1">
      <alignment horizontal="right"/>
      <protection locked="0" hidden="1"/>
    </xf>
    <xf numFmtId="0" fontId="11" fillId="4" borderId="0" xfId="0" applyFont="1" applyFill="1" applyBorder="1" applyProtection="1">
      <protection locked="0" hidden="1"/>
    </xf>
    <xf numFmtId="0" fontId="6" fillId="4" borderId="0" xfId="0" applyFont="1" applyFill="1" applyBorder="1" applyAlignment="1" applyProtection="1">
      <alignment horizontal="center"/>
    </xf>
    <xf numFmtId="0" fontId="7" fillId="5" borderId="0" xfId="0" applyFont="1" applyFill="1" applyBorder="1" applyProtection="1">
      <protection locked="0" hidden="1"/>
    </xf>
    <xf numFmtId="0" fontId="7" fillId="0" borderId="18" xfId="0" applyFont="1" applyFill="1" applyBorder="1" applyProtection="1">
      <protection locked="0" hidden="1"/>
    </xf>
    <xf numFmtId="3" fontId="7" fillId="2" borderId="18" xfId="0" applyNumberFormat="1" applyFont="1" applyFill="1" applyBorder="1" applyAlignment="1" applyProtection="1">
      <alignment horizontal="right"/>
      <protection locked="0" hidden="1"/>
    </xf>
    <xf numFmtId="164" fontId="7" fillId="2" borderId="18" xfId="0" applyNumberFormat="1" applyFont="1" applyFill="1" applyBorder="1" applyAlignment="1" applyProtection="1">
      <alignment horizontal="right"/>
      <protection locked="0" hidden="1"/>
    </xf>
    <xf numFmtId="0" fontId="7" fillId="0" borderId="8" xfId="0" applyFont="1" applyFill="1" applyBorder="1" applyProtection="1">
      <protection locked="0" hidden="1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left"/>
      <protection locked="0"/>
    </xf>
    <xf numFmtId="0" fontId="9" fillId="6" borderId="8" xfId="0" applyFont="1" applyFill="1" applyBorder="1" applyAlignment="1" applyProtection="1">
      <alignment horizontal="left"/>
      <protection locked="0"/>
    </xf>
    <xf numFmtId="0" fontId="9" fillId="6" borderId="9" xfId="0" applyFont="1" applyFill="1" applyBorder="1" applyAlignment="1" applyProtection="1">
      <alignment horizontal="left"/>
      <protection locked="0"/>
    </xf>
    <xf numFmtId="3" fontId="7" fillId="2" borderId="8" xfId="0" applyNumberFormat="1" applyFont="1" applyFill="1" applyBorder="1" applyAlignment="1" applyProtection="1">
      <alignment horizontal="center"/>
      <protection locked="0" hidden="1"/>
    </xf>
    <xf numFmtId="0" fontId="7" fillId="4" borderId="0" xfId="0" applyFont="1" applyFill="1" applyBorder="1" applyAlignment="1" applyProtection="1">
      <alignment horizontal="center"/>
      <protection locked="0" hidden="1"/>
    </xf>
    <xf numFmtId="0" fontId="7" fillId="5" borderId="0" xfId="0" applyFont="1" applyFill="1" applyBorder="1" applyAlignment="1" applyProtection="1">
      <alignment horizontal="center"/>
      <protection locked="0" hidden="1"/>
    </xf>
    <xf numFmtId="0" fontId="8" fillId="4" borderId="0" xfId="0" applyFont="1" applyFill="1" applyBorder="1" applyAlignment="1" applyProtection="1">
      <alignment horizontal="center"/>
      <protection locked="0" hidden="1"/>
    </xf>
    <xf numFmtId="0" fontId="8" fillId="6" borderId="7" xfId="0" applyFont="1" applyFill="1" applyBorder="1" applyAlignment="1" applyProtection="1">
      <alignment horizontal="left"/>
      <protection locked="0"/>
    </xf>
    <xf numFmtId="0" fontId="8" fillId="6" borderId="8" xfId="0" applyFont="1" applyFill="1" applyBorder="1" applyAlignment="1" applyProtection="1">
      <alignment horizontal="left"/>
      <protection locked="0"/>
    </xf>
    <xf numFmtId="0" fontId="8" fillId="6" borderId="9" xfId="0" applyFont="1" applyFill="1" applyBorder="1" applyAlignment="1" applyProtection="1">
      <alignment horizontal="left"/>
      <protection locked="0"/>
    </xf>
  </cellXfs>
  <cellStyles count="4">
    <cellStyle name="Comma" xfId="3" builtinId="3"/>
    <cellStyle name="Normal" xfId="0" builtinId="0"/>
    <cellStyle name="Normal_CenForEcoStudies - SLA 03_04 04_05 95_96" xfId="1"/>
    <cellStyle name="Normal_CenForEcoStudies - SLA 94_95 96_97 97_98 98_99" xfId="2"/>
  </cellStyles>
  <dxfs count="0"/>
  <tableStyles count="0" defaultTableStyle="TableStyleMedium9"/>
  <colors>
    <mruColors>
      <color rgb="FF000080"/>
      <color rgb="FF0000FF"/>
      <color rgb="FFFFFFCC"/>
      <color rgb="FFFFCC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Output!$B$17</c:f>
              <c:strCache>
                <c:ptCount val="1"/>
                <c:pt idx="0">
                  <c:v>Number of EGMs at 30 June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Filter!$C$33:$W$33</c:f>
              <c:strCache>
                <c:ptCount val="21"/>
                <c:pt idx="0">
                  <c:v>99</c:v>
                </c:pt>
                <c:pt idx="1">
                  <c:v>00</c:v>
                </c:pt>
                <c:pt idx="2">
                  <c:v>01</c:v>
                </c:pt>
                <c:pt idx="3">
                  <c:v>02</c:v>
                </c:pt>
                <c:pt idx="4">
                  <c:v>03</c:v>
                </c:pt>
                <c:pt idx="5">
                  <c:v>04</c:v>
                </c:pt>
                <c:pt idx="6">
                  <c:v>05</c:v>
                </c:pt>
                <c:pt idx="7">
                  <c:v>06</c:v>
                </c:pt>
                <c:pt idx="8">
                  <c:v>07</c:v>
                </c:pt>
                <c:pt idx="9">
                  <c:v>08</c:v>
                </c:pt>
                <c:pt idx="10">
                  <c:v>09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Output!$C$17:$W$17</c:f>
              <c:numCache>
                <c:formatCode>#,##0</c:formatCode>
                <c:ptCount val="21"/>
                <c:pt idx="0">
                  <c:v>1004</c:v>
                </c:pt>
                <c:pt idx="1">
                  <c:v>1133</c:v>
                </c:pt>
                <c:pt idx="2">
                  <c:v>1368</c:v>
                </c:pt>
                <c:pt idx="3">
                  <c:v>1449</c:v>
                </c:pt>
                <c:pt idx="4">
                  <c:v>1398</c:v>
                </c:pt>
                <c:pt idx="5">
                  <c:v>1400</c:v>
                </c:pt>
                <c:pt idx="6">
                  <c:v>1305</c:v>
                </c:pt>
                <c:pt idx="7">
                  <c:v>1083</c:v>
                </c:pt>
                <c:pt idx="8">
                  <c:v>1075</c:v>
                </c:pt>
                <c:pt idx="9">
                  <c:v>1077</c:v>
                </c:pt>
                <c:pt idx="10">
                  <c:v>1138</c:v>
                </c:pt>
                <c:pt idx="11">
                  <c:v>1135</c:v>
                </c:pt>
                <c:pt idx="12">
                  <c:v>1136</c:v>
                </c:pt>
                <c:pt idx="13">
                  <c:v>1098</c:v>
                </c:pt>
                <c:pt idx="14">
                  <c:v>1030</c:v>
                </c:pt>
                <c:pt idx="15">
                  <c:v>1016</c:v>
                </c:pt>
                <c:pt idx="16">
                  <c:v>918</c:v>
                </c:pt>
                <c:pt idx="17">
                  <c:v>899</c:v>
                </c:pt>
                <c:pt idx="18">
                  <c:v>851</c:v>
                </c:pt>
                <c:pt idx="19">
                  <c:v>785</c:v>
                </c:pt>
                <c:pt idx="20">
                  <c:v>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8-42AB-9722-58D8F6A8B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2864"/>
        <c:axId val="123394248"/>
      </c:lineChart>
      <c:catAx>
        <c:axId val="1679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 (at 30 June)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4248"/>
        <c:crosses val="autoZero"/>
        <c:auto val="1"/>
        <c:lblAlgn val="ctr"/>
        <c:lblOffset val="100"/>
        <c:noMultiLvlLbl val="0"/>
      </c:catAx>
      <c:valAx>
        <c:axId val="1233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Output!$B$18</c:f>
              <c:strCache>
                <c:ptCount val="1"/>
                <c:pt idx="0">
                  <c:v>Net gambling revenue ($'000)a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Filter!$C$33:$W$33</c:f>
              <c:strCache>
                <c:ptCount val="21"/>
                <c:pt idx="0">
                  <c:v>99</c:v>
                </c:pt>
                <c:pt idx="1">
                  <c:v>00</c:v>
                </c:pt>
                <c:pt idx="2">
                  <c:v>01</c:v>
                </c:pt>
                <c:pt idx="3">
                  <c:v>02</c:v>
                </c:pt>
                <c:pt idx="4">
                  <c:v>03</c:v>
                </c:pt>
                <c:pt idx="5">
                  <c:v>04</c:v>
                </c:pt>
                <c:pt idx="6">
                  <c:v>05</c:v>
                </c:pt>
                <c:pt idx="7">
                  <c:v>06</c:v>
                </c:pt>
                <c:pt idx="8">
                  <c:v>07</c:v>
                </c:pt>
                <c:pt idx="9">
                  <c:v>08</c:v>
                </c:pt>
                <c:pt idx="10">
                  <c:v>09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Output!$C$18:$W$18</c:f>
              <c:numCache>
                <c:formatCode>#,##0</c:formatCode>
                <c:ptCount val="21"/>
                <c:pt idx="0">
                  <c:v>22926.089199999999</c:v>
                </c:pt>
                <c:pt idx="1">
                  <c:v>28660.149879999997</c:v>
                </c:pt>
                <c:pt idx="2">
                  <c:v>33669.929680000001</c:v>
                </c:pt>
                <c:pt idx="3">
                  <c:v>37521.552619999995</c:v>
                </c:pt>
                <c:pt idx="4">
                  <c:v>39311.197180000003</c:v>
                </c:pt>
                <c:pt idx="5">
                  <c:v>40780.757880000005</c:v>
                </c:pt>
                <c:pt idx="6">
                  <c:v>41160.91042</c:v>
                </c:pt>
                <c:pt idx="7">
                  <c:v>38710.341260000001</c:v>
                </c:pt>
                <c:pt idx="8">
                  <c:v>40020.325109999998</c:v>
                </c:pt>
                <c:pt idx="9">
                  <c:v>36838.674950000001</c:v>
                </c:pt>
                <c:pt idx="10">
                  <c:v>35112.065020000002</c:v>
                </c:pt>
                <c:pt idx="11">
                  <c:v>33805.415679999998</c:v>
                </c:pt>
                <c:pt idx="12">
                  <c:v>32815.06192</c:v>
                </c:pt>
                <c:pt idx="13">
                  <c:v>31893.48187</c:v>
                </c:pt>
                <c:pt idx="14">
                  <c:v>29543.79809</c:v>
                </c:pt>
                <c:pt idx="15">
                  <c:v>28684.76859</c:v>
                </c:pt>
                <c:pt idx="16">
                  <c:v>27754.690119999999</c:v>
                </c:pt>
                <c:pt idx="17">
                  <c:v>26527.940329999998</c:v>
                </c:pt>
                <c:pt idx="18">
                  <c:v>24221.672180000001</c:v>
                </c:pt>
                <c:pt idx="19">
                  <c:v>23460.276010000001</c:v>
                </c:pt>
                <c:pt idx="20">
                  <c:v>22031.14229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2-4930-A438-E52CA035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22904"/>
        <c:axId val="168652952"/>
      </c:lineChart>
      <c:catAx>
        <c:axId val="16852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(financial year ending 30 June)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2952"/>
        <c:crosses val="autoZero"/>
        <c:auto val="1"/>
        <c:lblAlgn val="ctr"/>
        <c:lblOffset val="100"/>
        <c:noMultiLvlLbl val="0"/>
      </c:catAx>
      <c:valAx>
        <c:axId val="1686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$'000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Output!$B$20</c:f>
              <c:strCache>
                <c:ptCount val="1"/>
                <c:pt idx="0">
                  <c:v>NGR per adult ($)a, c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Filter!$C$33:$W$33</c:f>
              <c:strCache>
                <c:ptCount val="21"/>
                <c:pt idx="0">
                  <c:v>99</c:v>
                </c:pt>
                <c:pt idx="1">
                  <c:v>00</c:v>
                </c:pt>
                <c:pt idx="2">
                  <c:v>01</c:v>
                </c:pt>
                <c:pt idx="3">
                  <c:v>02</c:v>
                </c:pt>
                <c:pt idx="4">
                  <c:v>03</c:v>
                </c:pt>
                <c:pt idx="5">
                  <c:v>04</c:v>
                </c:pt>
                <c:pt idx="6">
                  <c:v>05</c:v>
                </c:pt>
                <c:pt idx="7">
                  <c:v>06</c:v>
                </c:pt>
                <c:pt idx="8">
                  <c:v>07</c:v>
                </c:pt>
                <c:pt idx="9">
                  <c:v>08</c:v>
                </c:pt>
                <c:pt idx="10">
                  <c:v>09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Output!$C$20:$W$20</c:f>
              <c:numCache>
                <c:formatCode>#,##0</c:formatCode>
                <c:ptCount val="21"/>
                <c:pt idx="0">
                  <c:v>1991.3458294587722</c:v>
                </c:pt>
                <c:pt idx="1">
                  <c:v>2466.1955189805108</c:v>
                </c:pt>
                <c:pt idx="2">
                  <c:v>2839.4212043342586</c:v>
                </c:pt>
                <c:pt idx="3">
                  <c:v>3041.6400457907748</c:v>
                </c:pt>
                <c:pt idx="4">
                  <c:v>3027.7271403309405</c:v>
                </c:pt>
                <c:pt idx="5">
                  <c:v>2947.6118932979789</c:v>
                </c:pt>
                <c:pt idx="6">
                  <c:v>2776.9008340908022</c:v>
                </c:pt>
                <c:pt idx="7">
                  <c:v>2459.9573658626291</c:v>
                </c:pt>
                <c:pt idx="8">
                  <c:v>2398.8968466705824</c:v>
                </c:pt>
                <c:pt idx="9">
                  <c:v>2105.2221393645718</c:v>
                </c:pt>
                <c:pt idx="10">
                  <c:v>1935.3193320318555</c:v>
                </c:pt>
                <c:pt idx="11">
                  <c:v>1801.8803300712327</c:v>
                </c:pt>
                <c:pt idx="12">
                  <c:v>1705.5505395083362</c:v>
                </c:pt>
                <c:pt idx="13">
                  <c:v>1616.789654025599</c:v>
                </c:pt>
                <c:pt idx="14">
                  <c:v>1454.2559742624671</c:v>
                </c:pt>
                <c:pt idx="15">
                  <c:v>1376.2831350876572</c:v>
                </c:pt>
                <c:pt idx="16">
                  <c:v>1302.8855436724875</c:v>
                </c:pt>
                <c:pt idx="17">
                  <c:v>1219.2759946482306</c:v>
                </c:pt>
                <c:pt idx="18">
                  <c:v>1085.6415201821303</c:v>
                </c:pt>
                <c:pt idx="19">
                  <c:v>1024.8850623716132</c:v>
                </c:pt>
                <c:pt idx="20">
                  <c:v>939.62615832826259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0-4023-BD57-91A47C74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38"/>
        <c:axId val="168667184"/>
        <c:axId val="168667568"/>
      </c:barChart>
      <c:catAx>
        <c:axId val="16866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(financial year ending 30 June)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568"/>
        <c:crosses val="autoZero"/>
        <c:auto val="1"/>
        <c:lblAlgn val="ctr"/>
        <c:lblOffset val="100"/>
        <c:noMultiLvlLbl val="0"/>
      </c:catAx>
      <c:valAx>
        <c:axId val="1686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per adult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Output!$B$19</c:f>
              <c:strCache>
                <c:ptCount val="1"/>
                <c:pt idx="0">
                  <c:v>Total tax ($'000)a, b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Filter!$C$33:$W$33</c:f>
              <c:strCache>
                <c:ptCount val="21"/>
                <c:pt idx="0">
                  <c:v>99</c:v>
                </c:pt>
                <c:pt idx="1">
                  <c:v>00</c:v>
                </c:pt>
                <c:pt idx="2">
                  <c:v>01</c:v>
                </c:pt>
                <c:pt idx="3">
                  <c:v>02</c:v>
                </c:pt>
                <c:pt idx="4">
                  <c:v>03</c:v>
                </c:pt>
                <c:pt idx="5">
                  <c:v>04</c:v>
                </c:pt>
                <c:pt idx="6">
                  <c:v>05</c:v>
                </c:pt>
                <c:pt idx="7">
                  <c:v>06</c:v>
                </c:pt>
                <c:pt idx="8">
                  <c:v>07</c:v>
                </c:pt>
                <c:pt idx="9">
                  <c:v>08</c:v>
                </c:pt>
                <c:pt idx="10">
                  <c:v>09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Output!$C$19:$W$19</c:f>
              <c:numCache>
                <c:formatCode>#,##0</c:formatCode>
                <c:ptCount val="21"/>
                <c:pt idx="0">
                  <c:v>9410.4656899999991</c:v>
                </c:pt>
                <c:pt idx="1">
                  <c:v>12005.06963</c:v>
                </c:pt>
                <c:pt idx="2">
                  <c:v>11245.54025</c:v>
                </c:pt>
                <c:pt idx="3">
                  <c:v>12524.903490000001</c:v>
                </c:pt>
                <c:pt idx="4">
                  <c:v>12946.255090000001</c:v>
                </c:pt>
                <c:pt idx="5">
                  <c:v>13530.354869999999</c:v>
                </c:pt>
                <c:pt idx="6">
                  <c:v>13676.58331</c:v>
                </c:pt>
                <c:pt idx="7">
                  <c:v>12676.903880000002</c:v>
                </c:pt>
                <c:pt idx="8">
                  <c:v>13175.86814</c:v>
                </c:pt>
                <c:pt idx="9">
                  <c:v>11856.630349999999</c:v>
                </c:pt>
                <c:pt idx="10">
                  <c:v>11204.577310000001</c:v>
                </c:pt>
                <c:pt idx="11">
                  <c:v>10612.98474</c:v>
                </c:pt>
                <c:pt idx="12">
                  <c:v>10201.64588</c:v>
                </c:pt>
                <c:pt idx="13">
                  <c:v>9879.6207400000003</c:v>
                </c:pt>
                <c:pt idx="14">
                  <c:v>9023.0329499999989</c:v>
                </c:pt>
                <c:pt idx="15">
                  <c:v>8900.3786199999995</c:v>
                </c:pt>
                <c:pt idx="16">
                  <c:v>8750.2156099999993</c:v>
                </c:pt>
                <c:pt idx="17">
                  <c:v>8485.1089200000006</c:v>
                </c:pt>
                <c:pt idx="18">
                  <c:v>7699.1899199999998</c:v>
                </c:pt>
                <c:pt idx="19">
                  <c:v>7458.57942</c:v>
                </c:pt>
                <c:pt idx="20">
                  <c:v>6938.9121500000001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9-47ED-900B-054948DD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40152"/>
        <c:axId val="168704528"/>
      </c:lineChart>
      <c:catAx>
        <c:axId val="16874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(financial year ending 30 June)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28"/>
        <c:crosses val="autoZero"/>
        <c:auto val="1"/>
        <c:lblAlgn val="ctr"/>
        <c:lblOffset val="100"/>
        <c:noMultiLvlLbl val="0"/>
      </c:catAx>
      <c:valAx>
        <c:axId val="1687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$'000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Filter!$B$11</c:f>
              <c:strCache>
                <c:ptCount val="1"/>
                <c:pt idx="0">
                  <c:v>Net gambling revenue ($'000)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multiLvlStrRef>
              <c:f>Filter!$Z$7:$AJ$7</c:f>
            </c:multiLvlStrRef>
          </c:cat>
          <c:val>
            <c:numRef>
              <c:f>Filter!$C$11:$I$11</c:f>
              <c:numCache>
                <c:formatCode>#,##0</c:formatCode>
                <c:ptCount val="7"/>
                <c:pt idx="0">
                  <c:v>22926.089199999999</c:v>
                </c:pt>
                <c:pt idx="1">
                  <c:v>28660.149879999997</c:v>
                </c:pt>
                <c:pt idx="2">
                  <c:v>33669.929680000001</c:v>
                </c:pt>
                <c:pt idx="3">
                  <c:v>37521.552619999995</c:v>
                </c:pt>
                <c:pt idx="4">
                  <c:v>39311.197180000003</c:v>
                </c:pt>
                <c:pt idx="5">
                  <c:v>40780.757880000005</c:v>
                </c:pt>
                <c:pt idx="6">
                  <c:v>41160.91042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1CC-9F21-4A67905DA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9704"/>
        <c:axId val="168704912"/>
      </c:lineChart>
      <c:catAx>
        <c:axId val="16908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70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7049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AU" sz="900" b="0" i="0" u="none" strike="noStrike" baseline="0">
                    <a:solidFill>
                      <a:srgbClr val="333333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$'000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9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Filter!$B$10</c:f>
              <c:strCache>
                <c:ptCount val="1"/>
                <c:pt idx="0">
                  <c:v>Number of EGMs at 30 June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Filter!$Z$7:$AJ$7</c:f>
            </c:multiLvlStrRef>
          </c:cat>
          <c:val>
            <c:numRef>
              <c:f>Filter!$C$10:$I$10</c:f>
              <c:numCache>
                <c:formatCode>#,##0</c:formatCode>
                <c:ptCount val="7"/>
                <c:pt idx="0">
                  <c:v>1004</c:v>
                </c:pt>
                <c:pt idx="1">
                  <c:v>1133</c:v>
                </c:pt>
                <c:pt idx="2">
                  <c:v>1368</c:v>
                </c:pt>
                <c:pt idx="3">
                  <c:v>1449</c:v>
                </c:pt>
                <c:pt idx="4">
                  <c:v>1398</c:v>
                </c:pt>
                <c:pt idx="5">
                  <c:v>1400</c:v>
                </c:pt>
                <c:pt idx="6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B-44DA-B769-1CC5BFCD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86464"/>
        <c:axId val="165942424"/>
      </c:lineChart>
      <c:catAx>
        <c:axId val="1690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4242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AU" sz="900" b="0" i="0" u="none" strike="noStrike" baseline="0">
                    <a:solidFill>
                      <a:srgbClr val="333333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Number of machines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86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Filter!$B$13</c:f>
              <c:strCache>
                <c:ptCount val="1"/>
                <c:pt idx="0">
                  <c:v>NGR per adult ($)</c:v>
                </c:pt>
              </c:strCache>
            </c:strRef>
          </c:tx>
          <c:spPr>
            <a:solidFill>
              <a:srgbClr val="9999FF"/>
            </a:solidFill>
            <a:ln w="3175">
              <a:solidFill>
                <a:srgbClr val="9999FF"/>
              </a:solidFill>
              <a:prstDash val="solid"/>
            </a:ln>
          </c:spPr>
          <c:invertIfNegative val="0"/>
          <c:cat>
            <c:multiLvlStrRef>
              <c:f>Filter!$Z$7:$AJ$7</c:f>
            </c:multiLvlStrRef>
          </c:cat>
          <c:val>
            <c:numRef>
              <c:f>Filter!$C$13:$I$13</c:f>
              <c:numCache>
                <c:formatCode>#,##0</c:formatCode>
                <c:ptCount val="7"/>
                <c:pt idx="0">
                  <c:v>1991.3458294587722</c:v>
                </c:pt>
                <c:pt idx="1">
                  <c:v>2466.1955189805108</c:v>
                </c:pt>
                <c:pt idx="2">
                  <c:v>2839.4212043342586</c:v>
                </c:pt>
                <c:pt idx="3">
                  <c:v>3041.6400457907748</c:v>
                </c:pt>
                <c:pt idx="4">
                  <c:v>3027.7271403309405</c:v>
                </c:pt>
                <c:pt idx="5">
                  <c:v>2947.6118932979789</c:v>
                </c:pt>
                <c:pt idx="6">
                  <c:v>2776.9008340908022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E-4262-87AA-86263A62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43208"/>
        <c:axId val="165943600"/>
      </c:barChart>
      <c:catAx>
        <c:axId val="16594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436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AU" sz="900" b="0" i="0" u="none" strike="noStrike" baseline="0">
                    <a:solidFill>
                      <a:srgbClr val="333333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$ per adult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3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Filter!$B$12</c:f>
              <c:strCache>
                <c:ptCount val="1"/>
                <c:pt idx="0">
                  <c:v>Total tax ($'000)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cat>
            <c:multiLvlStrRef>
              <c:f>Filter!$Z$7:$AJ$7</c:f>
            </c:multiLvlStrRef>
          </c:cat>
          <c:val>
            <c:numRef>
              <c:f>Filter!$C$12:$I$12</c:f>
              <c:numCache>
                <c:formatCode>#,##0</c:formatCode>
                <c:ptCount val="7"/>
                <c:pt idx="0">
                  <c:v>9410.4656899999991</c:v>
                </c:pt>
                <c:pt idx="1">
                  <c:v>12005.06963</c:v>
                </c:pt>
                <c:pt idx="2">
                  <c:v>11245.54025</c:v>
                </c:pt>
                <c:pt idx="3">
                  <c:v>12524.903490000001</c:v>
                </c:pt>
                <c:pt idx="4">
                  <c:v>12946.255090000001</c:v>
                </c:pt>
                <c:pt idx="5">
                  <c:v>13530.354869999999</c:v>
                </c:pt>
                <c:pt idx="6">
                  <c:v>13676.58331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7-4442-BCE2-A548CFD7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4384"/>
        <c:axId val="165944776"/>
      </c:lineChart>
      <c:catAx>
        <c:axId val="1659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447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AU" sz="900" b="0" i="0" u="none" strike="noStrike" baseline="0">
                    <a:solidFill>
                      <a:srgbClr val="333333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$ per adult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lang="en-AU"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4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1347258</xdr:colOff>
      <xdr:row>1</xdr:row>
      <xdr:rowOff>76200</xdr:rowOff>
    </xdr:from>
    <xdr:to>
      <xdr:col>4</xdr:col>
      <xdr:colOff>184361</xdr:colOff>
      <xdr:row>7</xdr:row>
      <xdr:rowOff>32597</xdr:rowOff>
    </xdr:to>
    <xdr:pic>
      <xdr:nvPicPr>
        <xdr:cNvPr id="7" name="Picture 6" descr="C:\Users\a1000459\AppData\Local\Microsoft\Windows\Temporary Internet Files\Content.Word\UoA_SACES_col_horz_sig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458" y="152400"/>
          <a:ext cx="4675928" cy="109939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162568</xdr:colOff>
      <xdr:row>34</xdr:row>
      <xdr:rowOff>38099</xdr:rowOff>
    </xdr:from>
    <xdr:to>
      <xdr:col>1</xdr:col>
      <xdr:colOff>304221</xdr:colOff>
      <xdr:row>35</xdr:row>
      <xdr:rowOff>104131</xdr:rowOff>
    </xdr:to>
    <xdr:sp macro="" textlink="">
      <xdr:nvSpPr>
        <xdr:cNvPr id="8" name="Bent Arrow 7"/>
        <xdr:cNvSpPr/>
      </xdr:nvSpPr>
      <xdr:spPr bwMode="auto">
        <a:xfrm rot="16200000">
          <a:off x="243241" y="5872451"/>
          <a:ext cx="132707" cy="141653"/>
        </a:xfrm>
        <a:prstGeom prst="bentArrow">
          <a:avLst/>
        </a:prstGeom>
        <a:solidFill>
          <a:schemeClr val="tx2">
            <a:lumMod val="75000"/>
          </a:schemeClr>
        </a:solidFill>
        <a:ln w="9525" cap="flat" cmpd="sng" algn="ctr">
          <a:solidFill>
            <a:schemeClr val="tx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11</xdr:row>
      <xdr:rowOff>85725</xdr:rowOff>
    </xdr:from>
    <xdr:to>
      <xdr:col>5</xdr:col>
      <xdr:colOff>762000</xdr:colOff>
      <xdr:row>11</xdr:row>
      <xdr:rowOff>85725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 flipH="1">
          <a:off x="5638800" y="1685925"/>
          <a:ext cx="504825" cy="0"/>
        </a:xfrm>
        <a:prstGeom prst="line">
          <a:avLst/>
        </a:prstGeom>
        <a:noFill/>
        <a:ln w="9525">
          <a:solidFill>
            <a:schemeClr val="tx2">
              <a:lumMod val="75000"/>
            </a:schemeClr>
          </a:solidFill>
          <a:round/>
          <a:headEnd/>
          <a:tailEnd type="triangle" w="sm" len="med"/>
        </a:ln>
      </xdr:spPr>
    </xdr:sp>
    <xdr:clientData/>
  </xdr:twoCellAnchor>
  <xdr:twoCellAnchor editAs="oneCell">
    <xdr:from>
      <xdr:col>6</xdr:col>
      <xdr:colOff>39158</xdr:colOff>
      <xdr:row>1</xdr:row>
      <xdr:rowOff>16933</xdr:rowOff>
    </xdr:from>
    <xdr:to>
      <xdr:col>13</xdr:col>
      <xdr:colOff>121921</xdr:colOff>
      <xdr:row>6</xdr:row>
      <xdr:rowOff>142663</xdr:rowOff>
    </xdr:to>
    <xdr:pic>
      <xdr:nvPicPr>
        <xdr:cNvPr id="10" name="Picture 9" descr="C:\Users\a1000459\AppData\Local\Microsoft\Windows\Temporary Internet Files\Content.Word\UoA_SACES_col_horz_sig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4825" y="91016"/>
          <a:ext cx="4675929" cy="107823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247650</xdr:colOff>
      <xdr:row>42</xdr:row>
      <xdr:rowOff>33337</xdr:rowOff>
    </xdr:from>
    <xdr:to>
      <xdr:col>6</xdr:col>
      <xdr:colOff>18375</xdr:colOff>
      <xdr:row>61</xdr:row>
      <xdr:rowOff>13837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42</xdr:row>
      <xdr:rowOff>42862</xdr:rowOff>
    </xdr:from>
    <xdr:to>
      <xdr:col>14</xdr:col>
      <xdr:colOff>524400</xdr:colOff>
      <xdr:row>61</xdr:row>
      <xdr:rowOff>23362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63</xdr:row>
      <xdr:rowOff>38550</xdr:rowOff>
    </xdr:from>
    <xdr:to>
      <xdr:col>6</xdr:col>
      <xdr:colOff>8850</xdr:colOff>
      <xdr:row>82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63</xdr:row>
      <xdr:rowOff>38550</xdr:rowOff>
    </xdr:from>
    <xdr:to>
      <xdr:col>14</xdr:col>
      <xdr:colOff>572025</xdr:colOff>
      <xdr:row>82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31</xdr:row>
      <xdr:rowOff>0</xdr:rowOff>
    </xdr:from>
    <xdr:to>
      <xdr:col>12</xdr:col>
      <xdr:colOff>504825</xdr:colOff>
      <xdr:row>31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5</xdr:col>
      <xdr:colOff>447675</xdr:colOff>
      <xdr:row>31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31</xdr:row>
      <xdr:rowOff>0</xdr:rowOff>
    </xdr:from>
    <xdr:to>
      <xdr:col>5</xdr:col>
      <xdr:colOff>466725</xdr:colOff>
      <xdr:row>31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581025</xdr:colOff>
      <xdr:row>31</xdr:row>
      <xdr:rowOff>0</xdr:rowOff>
    </xdr:from>
    <xdr:to>
      <xdr:col>12</xdr:col>
      <xdr:colOff>495300</xdr:colOff>
      <xdr:row>31</xdr:row>
      <xdr:rowOff>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0</xdr:row>
      <xdr:rowOff>0</xdr:rowOff>
    </xdr:from>
    <xdr:to>
      <xdr:col>9</xdr:col>
      <xdr:colOff>228600</xdr:colOff>
      <xdr:row>0</xdr:row>
      <xdr:rowOff>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3181350" y="0"/>
          <a:ext cx="4305300" cy="0"/>
        </a:xfrm>
        <a:prstGeom prst="roundRect">
          <a:avLst>
            <a:gd name="adj" fmla="val 16667"/>
          </a:avLst>
        </a:prstGeom>
        <a:noFill/>
        <a:ln w="12700">
          <a:noFill/>
          <a:round/>
          <a:headEnd/>
          <a:tailEnd/>
        </a:ln>
        <a:effectLst/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AU" sz="1200" b="0" i="0" u="none" strike="noStrike" baseline="0">
              <a:solidFill>
                <a:srgbClr val="0000FF"/>
              </a:solidFill>
              <a:latin typeface="Arial"/>
              <a:cs typeface="Arial"/>
            </a:rPr>
            <a:t>SOUTH AUSTRALIAN</a:t>
          </a:r>
        </a:p>
        <a:p>
          <a:pPr algn="ctr" rtl="0">
            <a:defRPr sz="1000"/>
          </a:pPr>
          <a:r>
            <a:rPr lang="en-AU" sz="1400" b="0" i="0" u="none" strike="noStrike" baseline="0">
              <a:solidFill>
                <a:srgbClr val="0000FF"/>
              </a:solidFill>
              <a:latin typeface="Arial"/>
              <a:cs typeface="Arial"/>
            </a:rPr>
            <a:t>CENTRE FOR ECONOMIC STUDIES</a:t>
          </a:r>
        </a:p>
        <a:p>
          <a:pPr algn="ctr" rtl="0">
            <a:defRPr sz="1000"/>
          </a:pPr>
          <a:endParaRPr lang="en-AU" sz="7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AU" sz="7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AU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ADELAIDE &amp; FLINDERS UNIVERSITIES</a:t>
          </a:r>
        </a:p>
        <a:p>
          <a:pPr algn="ctr" rtl="0">
            <a:defRPr sz="1000"/>
          </a:pPr>
          <a:endParaRPr lang="en-AU" sz="9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0</xdr:row>
          <xdr:rowOff>0</xdr:rowOff>
        </xdr:from>
        <xdr:to>
          <xdr:col>1</xdr:col>
          <xdr:colOff>762000</xdr:colOff>
          <xdr:row>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0</xdr:row>
          <xdr:rowOff>0</xdr:rowOff>
        </xdr:from>
        <xdr:to>
          <xdr:col>12</xdr:col>
          <xdr:colOff>504825</xdr:colOff>
          <xdr:row>0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Anthony\Projects\Minor%20Reports\Provincial%20Cities%20Gaming\Regional%20Gaming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bySLA 2000-01 Analysis"/>
      <sheetName val="RevBySLA 2001-02"/>
      <sheetName val="Sheet1"/>
      <sheetName val="Sheet2"/>
      <sheetName val="Sheet3"/>
    </sheetNames>
    <sheetDataSet>
      <sheetData sheetId="0">
        <row r="1">
          <cell r="A1" t="str">
            <v>ABS SLA ID</v>
          </cell>
          <cell r="B1" t="str">
            <v>Statisical Local Area</v>
          </cell>
          <cell r="C1" t="str">
            <v>No of Venues</v>
          </cell>
          <cell r="D1" t="str">
            <v>No of GMs</v>
          </cell>
          <cell r="E1" t="str">
            <v>Total NGR</v>
          </cell>
          <cell r="F1" t="str">
            <v>Total Tax</v>
          </cell>
          <cell r="G1" t="str">
            <v>finyeartext</v>
          </cell>
        </row>
        <row r="2">
          <cell r="A2" t="str">
            <v>Metropolitan Statistical Local Areas</v>
          </cell>
        </row>
        <row r="3">
          <cell r="A3" t="str">
            <v>0070</v>
          </cell>
          <cell r="B3" t="str">
            <v>Adelaide (C)</v>
          </cell>
          <cell r="C3">
            <v>64</v>
          </cell>
          <cell r="D3">
            <v>1381</v>
          </cell>
          <cell r="E3">
            <v>33669929.68</v>
          </cell>
          <cell r="F3">
            <v>11245540.25</v>
          </cell>
          <cell r="G3" t="str">
            <v>2000/2001</v>
          </cell>
        </row>
        <row r="4">
          <cell r="A4" t="str">
            <v>0121</v>
          </cell>
          <cell r="B4" t="str">
            <v>Adelaide Hills (DC) - Central</v>
          </cell>
          <cell r="C4">
            <v>4</v>
          </cell>
          <cell r="D4">
            <v>122</v>
          </cell>
          <cell r="E4">
            <v>2080662.48</v>
          </cell>
          <cell r="F4">
            <v>608239.31000000006</v>
          </cell>
          <cell r="G4" t="str">
            <v>2000/2001</v>
          </cell>
        </row>
        <row r="5">
          <cell r="A5" t="str">
            <v>0124</v>
          </cell>
          <cell r="B5" t="str">
            <v>Adelaide Hills (DC) - Ranges</v>
          </cell>
          <cell r="C5">
            <v>1</v>
          </cell>
          <cell r="D5">
            <v>10</v>
          </cell>
          <cell r="E5">
            <v>52558.15</v>
          </cell>
          <cell r="F5">
            <v>13880.6</v>
          </cell>
          <cell r="G5" t="str">
            <v>2000/2001</v>
          </cell>
        </row>
        <row r="6">
          <cell r="A6" t="str">
            <v>0701</v>
          </cell>
          <cell r="B6" t="str">
            <v>Burnside (C) - North East</v>
          </cell>
          <cell r="C6">
            <v>1</v>
          </cell>
          <cell r="D6">
            <v>40</v>
          </cell>
          <cell r="E6">
            <v>1576640.82</v>
          </cell>
          <cell r="F6">
            <v>557546.97</v>
          </cell>
          <cell r="G6" t="str">
            <v>2000/2001</v>
          </cell>
        </row>
        <row r="7">
          <cell r="A7" t="str">
            <v>0704</v>
          </cell>
          <cell r="B7" t="str">
            <v>Burnside (C) - South West</v>
          </cell>
          <cell r="C7">
            <v>1</v>
          </cell>
          <cell r="D7">
            <v>24</v>
          </cell>
          <cell r="E7">
            <v>179872.73</v>
          </cell>
          <cell r="F7">
            <v>47504.39</v>
          </cell>
          <cell r="G7" t="str">
            <v>2000/2001</v>
          </cell>
        </row>
        <row r="8">
          <cell r="A8" t="str">
            <v>0911</v>
          </cell>
          <cell r="B8" t="str">
            <v>Campbelltown (C) - East</v>
          </cell>
          <cell r="C8">
            <v>3</v>
          </cell>
          <cell r="D8">
            <v>105</v>
          </cell>
          <cell r="E8">
            <v>7306850.9199999999</v>
          </cell>
          <cell r="F8">
            <v>2818368.19</v>
          </cell>
          <cell r="G8" t="str">
            <v>2000/2001</v>
          </cell>
        </row>
        <row r="9">
          <cell r="A9" t="str">
            <v>0914</v>
          </cell>
          <cell r="B9" t="str">
            <v>Campbelltown (C) - West</v>
          </cell>
          <cell r="C9">
            <v>1</v>
          </cell>
          <cell r="D9">
            <v>40</v>
          </cell>
          <cell r="E9">
            <v>2955480.39</v>
          </cell>
          <cell r="F9">
            <v>1128524.43</v>
          </cell>
          <cell r="G9" t="str">
            <v>2000/2001</v>
          </cell>
        </row>
        <row r="10">
          <cell r="A10" t="str">
            <v>1061</v>
          </cell>
          <cell r="B10" t="str">
            <v>Charles Sturt (C) - Coastal</v>
          </cell>
          <cell r="C10">
            <v>8</v>
          </cell>
          <cell r="D10">
            <v>259</v>
          </cell>
          <cell r="E10">
            <v>14589607.380000001</v>
          </cell>
          <cell r="F10">
            <v>5366399.59</v>
          </cell>
          <cell r="G10" t="str">
            <v>2000/2001</v>
          </cell>
        </row>
        <row r="11">
          <cell r="A11" t="str">
            <v>1064</v>
          </cell>
          <cell r="B11" t="str">
            <v>Charles Sturt (C) - Inner East</v>
          </cell>
          <cell r="C11">
            <v>9</v>
          </cell>
          <cell r="D11">
            <v>251</v>
          </cell>
          <cell r="E11">
            <v>11760196.52</v>
          </cell>
          <cell r="F11">
            <v>4251929.68</v>
          </cell>
          <cell r="G11" t="str">
            <v>2000/2001</v>
          </cell>
        </row>
        <row r="12">
          <cell r="A12" t="str">
            <v>1065</v>
          </cell>
          <cell r="B12" t="str">
            <v>Charles Sturt (C) - Inner West</v>
          </cell>
          <cell r="C12">
            <v>3</v>
          </cell>
          <cell r="D12">
            <v>120</v>
          </cell>
          <cell r="E12">
            <v>6056474.0300000003</v>
          </cell>
          <cell r="F12">
            <v>2221965.9</v>
          </cell>
          <cell r="G12" t="str">
            <v>2000/2001</v>
          </cell>
        </row>
        <row r="13">
          <cell r="A13" t="str">
            <v>1068</v>
          </cell>
          <cell r="B13" t="str">
            <v>Charles Sturt (C) - North East</v>
          </cell>
          <cell r="C13">
            <v>8</v>
          </cell>
          <cell r="D13">
            <v>233</v>
          </cell>
          <cell r="E13">
            <v>11605159.4</v>
          </cell>
          <cell r="F13">
            <v>4260990.07</v>
          </cell>
          <cell r="G13" t="str">
            <v>2000/2001</v>
          </cell>
        </row>
        <row r="14">
          <cell r="A14" t="str">
            <v>2030</v>
          </cell>
          <cell r="B14" t="str">
            <v>Gawler (M)</v>
          </cell>
          <cell r="C14">
            <v>8</v>
          </cell>
          <cell r="D14">
            <v>210</v>
          </cell>
          <cell r="E14">
            <v>7334982.8700000001</v>
          </cell>
          <cell r="F14">
            <v>2520609.71</v>
          </cell>
          <cell r="G14" t="str">
            <v>2000/2001</v>
          </cell>
        </row>
        <row r="15">
          <cell r="A15" t="str">
            <v>2601</v>
          </cell>
          <cell r="B15" t="str">
            <v>Holdfast Bay (C) - North</v>
          </cell>
          <cell r="C15">
            <v>8</v>
          </cell>
          <cell r="D15">
            <v>291</v>
          </cell>
          <cell r="E15">
            <v>15843583.09</v>
          </cell>
          <cell r="F15">
            <v>5768700.29</v>
          </cell>
          <cell r="G15" t="str">
            <v>2000/2001</v>
          </cell>
        </row>
        <row r="16">
          <cell r="A16" t="str">
            <v>2604</v>
          </cell>
          <cell r="B16" t="str">
            <v>Holdfast Bay (C) - South</v>
          </cell>
          <cell r="C16">
            <v>3</v>
          </cell>
          <cell r="D16">
            <v>120</v>
          </cell>
          <cell r="E16">
            <v>6625804.5099999998</v>
          </cell>
          <cell r="F16">
            <v>2457725.66</v>
          </cell>
          <cell r="G16" t="str">
            <v>2000/2001</v>
          </cell>
        </row>
        <row r="17">
          <cell r="A17" t="str">
            <v>4061</v>
          </cell>
          <cell r="B17" t="str">
            <v>Marion (C) - Central</v>
          </cell>
          <cell r="C17">
            <v>7</v>
          </cell>
          <cell r="D17">
            <v>218</v>
          </cell>
          <cell r="E17">
            <v>13672147.41</v>
          </cell>
          <cell r="F17">
            <v>5076749.82</v>
          </cell>
          <cell r="G17" t="str">
            <v>2000/2001</v>
          </cell>
        </row>
        <row r="18">
          <cell r="A18" t="str">
            <v>4064</v>
          </cell>
          <cell r="B18" t="str">
            <v>Marion (C) - North</v>
          </cell>
          <cell r="C18">
            <v>5</v>
          </cell>
          <cell r="D18">
            <v>165</v>
          </cell>
          <cell r="E18">
            <v>10230140.26</v>
          </cell>
          <cell r="F18">
            <v>3851006.69</v>
          </cell>
          <cell r="G18" t="str">
            <v>2000/2001</v>
          </cell>
        </row>
        <row r="19">
          <cell r="A19" t="str">
            <v>4065</v>
          </cell>
          <cell r="B19" t="str">
            <v>Marion (C) - South</v>
          </cell>
          <cell r="C19">
            <v>1</v>
          </cell>
          <cell r="D19">
            <v>40</v>
          </cell>
          <cell r="E19">
            <v>2429389.77</v>
          </cell>
          <cell r="F19">
            <v>910670.28</v>
          </cell>
          <cell r="G19" t="str">
            <v>2000/2001</v>
          </cell>
        </row>
        <row r="20">
          <cell r="A20" t="str">
            <v>4341</v>
          </cell>
          <cell r="B20" t="str">
            <v>Mitcham (C) - Hills</v>
          </cell>
          <cell r="C20">
            <v>2</v>
          </cell>
          <cell r="D20">
            <v>50</v>
          </cell>
          <cell r="E20">
            <v>2152802.71</v>
          </cell>
          <cell r="F20">
            <v>778571.45</v>
          </cell>
          <cell r="G20" t="str">
            <v>2000/2001</v>
          </cell>
        </row>
        <row r="21">
          <cell r="A21" t="str">
            <v>4344</v>
          </cell>
          <cell r="B21" t="str">
            <v>Mitcham (C) - North East</v>
          </cell>
          <cell r="C21">
            <v>2</v>
          </cell>
          <cell r="D21">
            <v>76</v>
          </cell>
          <cell r="E21">
            <v>3955432.96</v>
          </cell>
          <cell r="F21">
            <v>1447264.77</v>
          </cell>
          <cell r="G21" t="str">
            <v>2000/2001</v>
          </cell>
        </row>
        <row r="22">
          <cell r="A22" t="str">
            <v>4345</v>
          </cell>
          <cell r="B22" t="str">
            <v>Mitcham (C) - West</v>
          </cell>
          <cell r="C22">
            <v>2</v>
          </cell>
          <cell r="D22">
            <v>50</v>
          </cell>
          <cell r="E22">
            <v>1345584.34</v>
          </cell>
          <cell r="F22">
            <v>347037.37</v>
          </cell>
          <cell r="G22" t="str">
            <v>2000/2001</v>
          </cell>
        </row>
        <row r="23">
          <cell r="A23" t="str">
            <v>5291</v>
          </cell>
          <cell r="B23" t="str">
            <v>Norwood Payneham St Peters (C) - East</v>
          </cell>
          <cell r="C23">
            <v>3</v>
          </cell>
          <cell r="D23">
            <v>92</v>
          </cell>
          <cell r="E23">
            <v>6850589.0599999996</v>
          </cell>
          <cell r="F23">
            <v>2636388.8199999998</v>
          </cell>
          <cell r="G23" t="str">
            <v>2000/2001</v>
          </cell>
        </row>
        <row r="24">
          <cell r="A24" t="str">
            <v>5294</v>
          </cell>
          <cell r="B24" t="str">
            <v>Norwood Payneham St Peters (C) - West</v>
          </cell>
          <cell r="C24">
            <v>18</v>
          </cell>
          <cell r="D24">
            <v>630</v>
          </cell>
          <cell r="E24">
            <v>17658911.620000001</v>
          </cell>
          <cell r="F24">
            <v>6002967.0899999999</v>
          </cell>
          <cell r="G24" t="str">
            <v>2000/2001</v>
          </cell>
        </row>
        <row r="25">
          <cell r="A25" t="str">
            <v>5341</v>
          </cell>
          <cell r="B25" t="str">
            <v>Onkaparinga (C) - Hackham</v>
          </cell>
          <cell r="C25">
            <v>3</v>
          </cell>
          <cell r="D25">
            <v>95</v>
          </cell>
          <cell r="E25">
            <v>4694315.5599999996</v>
          </cell>
          <cell r="F25">
            <v>1678282.87</v>
          </cell>
          <cell r="G25" t="str">
            <v>2000/2001</v>
          </cell>
        </row>
        <row r="26">
          <cell r="A26" t="str">
            <v>5342</v>
          </cell>
          <cell r="B26" t="str">
            <v>Onkaparinga (C) - Hills</v>
          </cell>
          <cell r="C26">
            <v>6</v>
          </cell>
          <cell r="D26">
            <v>84</v>
          </cell>
          <cell r="E26">
            <v>2072304.51</v>
          </cell>
          <cell r="F26">
            <v>606669.65</v>
          </cell>
          <cell r="G26" t="str">
            <v>2000/2001</v>
          </cell>
        </row>
        <row r="27">
          <cell r="A27" t="str">
            <v>5343</v>
          </cell>
          <cell r="B27" t="str">
            <v>Onkaparinga (C) - Morphett</v>
          </cell>
          <cell r="C27">
            <v>2</v>
          </cell>
          <cell r="D27">
            <v>60</v>
          </cell>
          <cell r="E27">
            <v>4437025.42</v>
          </cell>
          <cell r="F27">
            <v>1660975.73</v>
          </cell>
          <cell r="G27" t="str">
            <v>2000/2001</v>
          </cell>
        </row>
        <row r="28">
          <cell r="A28" t="str">
            <v>5344</v>
          </cell>
          <cell r="B28" t="str">
            <v>Onkaparinga (C) - North Coast</v>
          </cell>
          <cell r="C28">
            <v>5</v>
          </cell>
          <cell r="D28">
            <v>200</v>
          </cell>
          <cell r="E28">
            <v>15969375.119999999</v>
          </cell>
          <cell r="F28">
            <v>5979506.5899999999</v>
          </cell>
          <cell r="G28" t="str">
            <v>2000/2001</v>
          </cell>
        </row>
        <row r="29">
          <cell r="A29" t="str">
            <v>5345</v>
          </cell>
          <cell r="B29" t="str">
            <v>Onkaparinga (C) - Reservoir</v>
          </cell>
          <cell r="C29">
            <v>5</v>
          </cell>
          <cell r="D29">
            <v>176</v>
          </cell>
          <cell r="E29">
            <v>9335338.3699999992</v>
          </cell>
          <cell r="F29">
            <v>3499840.93</v>
          </cell>
          <cell r="G29" t="str">
            <v>2000/2001</v>
          </cell>
        </row>
        <row r="30">
          <cell r="A30" t="str">
            <v>5346</v>
          </cell>
          <cell r="B30" t="str">
            <v>Onkaparinga (C) - South Coast</v>
          </cell>
          <cell r="C30">
            <v>2</v>
          </cell>
          <cell r="D30">
            <v>80</v>
          </cell>
          <cell r="E30">
            <v>4068050.02</v>
          </cell>
          <cell r="F30">
            <v>1493899.52</v>
          </cell>
          <cell r="G30" t="str">
            <v>2000/2001</v>
          </cell>
        </row>
        <row r="31">
          <cell r="A31" t="str">
            <v>5347</v>
          </cell>
          <cell r="B31" t="str">
            <v>Onkaparinga (C) - Woodcroft</v>
          </cell>
          <cell r="C31">
            <v>3</v>
          </cell>
          <cell r="D31">
            <v>120</v>
          </cell>
          <cell r="E31">
            <v>9771493.7300000004</v>
          </cell>
          <cell r="F31">
            <v>3760355.57</v>
          </cell>
          <cell r="G31" t="str">
            <v>2000/2001</v>
          </cell>
        </row>
        <row r="32">
          <cell r="A32" t="str">
            <v>5683</v>
          </cell>
          <cell r="B32" t="str">
            <v>Playford (C) - Elizabeth</v>
          </cell>
          <cell r="C32">
            <v>7</v>
          </cell>
          <cell r="D32">
            <v>219</v>
          </cell>
          <cell r="E32">
            <v>15325117.73</v>
          </cell>
          <cell r="F32">
            <v>5670785.4299999997</v>
          </cell>
          <cell r="G32" t="str">
            <v>2000/2001</v>
          </cell>
        </row>
        <row r="33">
          <cell r="A33" t="str">
            <v>5684</v>
          </cell>
          <cell r="B33" t="str">
            <v>Playford (C) - Hills</v>
          </cell>
          <cell r="C33">
            <v>1</v>
          </cell>
          <cell r="D33">
            <v>10</v>
          </cell>
          <cell r="E33">
            <v>93841.919999999998</v>
          </cell>
          <cell r="F33">
            <v>24783.65</v>
          </cell>
          <cell r="G33" t="str">
            <v>2000/2001</v>
          </cell>
        </row>
        <row r="34">
          <cell r="A34" t="str">
            <v>5686</v>
          </cell>
          <cell r="B34" t="str">
            <v>Playford (C) - West</v>
          </cell>
          <cell r="C34">
            <v>2</v>
          </cell>
          <cell r="D34">
            <v>43</v>
          </cell>
          <cell r="E34">
            <v>1580939.02</v>
          </cell>
          <cell r="F34">
            <v>544848.75</v>
          </cell>
          <cell r="G34" t="str">
            <v>2000/2001</v>
          </cell>
        </row>
        <row r="35">
          <cell r="A35" t="str">
            <v>5688</v>
          </cell>
          <cell r="B35" t="str">
            <v>Playford (C) - West Central</v>
          </cell>
          <cell r="C35">
            <v>2</v>
          </cell>
          <cell r="D35">
            <v>80</v>
          </cell>
          <cell r="E35">
            <v>5278748.32</v>
          </cell>
          <cell r="F35">
            <v>1995249.69</v>
          </cell>
          <cell r="G35" t="str">
            <v>2000/2001</v>
          </cell>
        </row>
        <row r="36">
          <cell r="A36" t="str">
            <v>5891</v>
          </cell>
          <cell r="B36" t="str">
            <v>Port Adelaide Enfield (C) - East</v>
          </cell>
          <cell r="C36">
            <v>4</v>
          </cell>
          <cell r="D36">
            <v>98</v>
          </cell>
          <cell r="E36">
            <v>5933624.0899999999</v>
          </cell>
          <cell r="F36">
            <v>2194405.7200000002</v>
          </cell>
          <cell r="G36" t="str">
            <v>2000/2001</v>
          </cell>
        </row>
        <row r="37">
          <cell r="A37" t="str">
            <v>5894</v>
          </cell>
          <cell r="B37" t="str">
            <v>Port Adelaide Enfield (C) - Inner</v>
          </cell>
          <cell r="C37">
            <v>7</v>
          </cell>
          <cell r="D37">
            <v>246</v>
          </cell>
          <cell r="E37">
            <v>10928071.65</v>
          </cell>
          <cell r="F37">
            <v>3974288.69</v>
          </cell>
          <cell r="G37" t="str">
            <v>2000/2001</v>
          </cell>
        </row>
        <row r="38">
          <cell r="A38" t="str">
            <v>5895</v>
          </cell>
          <cell r="B38" t="str">
            <v>Port Adelaide Enfield (C) - Coast</v>
          </cell>
          <cell r="C38">
            <v>14</v>
          </cell>
          <cell r="D38">
            <v>386</v>
          </cell>
          <cell r="E38">
            <v>12439456.289999999</v>
          </cell>
          <cell r="F38">
            <v>4263162.59</v>
          </cell>
          <cell r="G38" t="str">
            <v>2000/2001</v>
          </cell>
        </row>
        <row r="39">
          <cell r="A39" t="str">
            <v>5898</v>
          </cell>
          <cell r="B39" t="str">
            <v>Port Adelaide Enfield (C) - Port</v>
          </cell>
          <cell r="C39">
            <v>22</v>
          </cell>
          <cell r="D39">
            <v>592</v>
          </cell>
          <cell r="E39">
            <v>17085642.899999999</v>
          </cell>
          <cell r="F39">
            <v>5656486.3399999999</v>
          </cell>
          <cell r="G39" t="str">
            <v>2000/2001</v>
          </cell>
        </row>
        <row r="40">
          <cell r="A40" t="str">
            <v>6510</v>
          </cell>
          <cell r="B40" t="str">
            <v>Prospect (C)</v>
          </cell>
          <cell r="C40">
            <v>4</v>
          </cell>
          <cell r="D40">
            <v>159</v>
          </cell>
          <cell r="E40">
            <v>7252740.2599999998</v>
          </cell>
          <cell r="F40">
            <v>2595648.3199999998</v>
          </cell>
          <cell r="G40" t="str">
            <v>2000/2001</v>
          </cell>
        </row>
        <row r="41">
          <cell r="A41" t="str">
            <v>7141</v>
          </cell>
          <cell r="B41" t="str">
            <v>Salisbury (C) - Central</v>
          </cell>
          <cell r="C41">
            <v>7</v>
          </cell>
          <cell r="D41">
            <v>189</v>
          </cell>
          <cell r="E41">
            <v>16563218.82</v>
          </cell>
          <cell r="F41">
            <v>6228608.54</v>
          </cell>
          <cell r="G41" t="str">
            <v>2000/2001</v>
          </cell>
        </row>
        <row r="42">
          <cell r="A42" t="str">
            <v>7143</v>
          </cell>
          <cell r="B42" t="str">
            <v>Salisbury (c) - Inner North</v>
          </cell>
          <cell r="C42">
            <v>2</v>
          </cell>
          <cell r="D42">
            <v>80</v>
          </cell>
          <cell r="E42">
            <v>7290358.1100000003</v>
          </cell>
          <cell r="F42">
            <v>2657778</v>
          </cell>
          <cell r="G42" t="str">
            <v>2000/2001</v>
          </cell>
        </row>
        <row r="43">
          <cell r="A43" t="str">
            <v>7144</v>
          </cell>
          <cell r="B43" t="str">
            <v>Salisbury (C) - North East</v>
          </cell>
          <cell r="C43">
            <v>2</v>
          </cell>
          <cell r="D43">
            <v>80</v>
          </cell>
          <cell r="E43">
            <v>5596196.8099999996</v>
          </cell>
          <cell r="F43">
            <v>2126705.08</v>
          </cell>
          <cell r="G43" t="str">
            <v>2000/2001</v>
          </cell>
        </row>
        <row r="44">
          <cell r="A44" t="str">
            <v>7146</v>
          </cell>
          <cell r="B44" t="str">
            <v>Salisbury (C) - South East</v>
          </cell>
          <cell r="C44">
            <v>5</v>
          </cell>
          <cell r="D44">
            <v>164</v>
          </cell>
          <cell r="E44">
            <v>14045178.73</v>
          </cell>
          <cell r="F44">
            <v>5322947.76</v>
          </cell>
          <cell r="G44" t="str">
            <v>2000/2001</v>
          </cell>
        </row>
        <row r="45">
          <cell r="A45" t="str">
            <v>7148</v>
          </cell>
          <cell r="B45" t="str">
            <v>Salisbury (C) Bal</v>
          </cell>
          <cell r="C45">
            <v>3</v>
          </cell>
          <cell r="D45">
            <v>120</v>
          </cell>
          <cell r="E45">
            <v>4622770.51</v>
          </cell>
          <cell r="F45">
            <v>1596014.96</v>
          </cell>
          <cell r="G45" t="str">
            <v>2000/2001</v>
          </cell>
        </row>
        <row r="46">
          <cell r="A46" t="str">
            <v>7701</v>
          </cell>
          <cell r="B46" t="str">
            <v>Tea Tree Gully (C) - Central</v>
          </cell>
          <cell r="C46">
            <v>4</v>
          </cell>
          <cell r="D46">
            <v>112</v>
          </cell>
          <cell r="E46">
            <v>7057822.9900000002</v>
          </cell>
          <cell r="F46">
            <v>2725056.27</v>
          </cell>
          <cell r="G46" t="str">
            <v>2000/2001</v>
          </cell>
        </row>
        <row r="47">
          <cell r="A47" t="str">
            <v>7704</v>
          </cell>
          <cell r="B47" t="str">
            <v>Tea Tree Gully (C) - Hills</v>
          </cell>
          <cell r="C47">
            <v>3</v>
          </cell>
          <cell r="D47">
            <v>92</v>
          </cell>
          <cell r="E47">
            <v>5892836.2199999997</v>
          </cell>
          <cell r="F47">
            <v>2232821.02</v>
          </cell>
          <cell r="G47" t="str">
            <v>2000/2001</v>
          </cell>
        </row>
        <row r="48">
          <cell r="A48" t="str">
            <v>7705</v>
          </cell>
          <cell r="B48" t="str">
            <v>Tea Tree Gully (C) - North</v>
          </cell>
          <cell r="C48">
            <v>2</v>
          </cell>
          <cell r="D48">
            <v>80</v>
          </cell>
          <cell r="E48">
            <v>7646464.6900000004</v>
          </cell>
          <cell r="F48">
            <v>2975721.02</v>
          </cell>
          <cell r="G48" t="str">
            <v>2000/2001</v>
          </cell>
        </row>
        <row r="49">
          <cell r="A49" t="str">
            <v>7708</v>
          </cell>
          <cell r="B49" t="str">
            <v>Tea Tree Gully (C) - South</v>
          </cell>
          <cell r="C49">
            <v>3</v>
          </cell>
          <cell r="D49">
            <v>120</v>
          </cell>
          <cell r="E49">
            <v>9887299.6400000006</v>
          </cell>
          <cell r="F49">
            <v>3824200.77</v>
          </cell>
          <cell r="G49" t="str">
            <v>2000/2001</v>
          </cell>
        </row>
        <row r="50">
          <cell r="A50" t="str">
            <v>7981</v>
          </cell>
          <cell r="B50" t="str">
            <v>Unley (C) - East</v>
          </cell>
          <cell r="C50">
            <v>6</v>
          </cell>
          <cell r="D50">
            <v>219</v>
          </cell>
          <cell r="E50">
            <v>8902167.5500000007</v>
          </cell>
          <cell r="F50">
            <v>3149652.79</v>
          </cell>
          <cell r="G50" t="str">
            <v>2000/2001</v>
          </cell>
        </row>
        <row r="51">
          <cell r="A51" t="str">
            <v>7984</v>
          </cell>
          <cell r="B51" t="str">
            <v>Unley (C) - West</v>
          </cell>
          <cell r="C51">
            <v>2</v>
          </cell>
          <cell r="D51">
            <v>80</v>
          </cell>
          <cell r="E51">
            <v>2948686.02</v>
          </cell>
          <cell r="F51">
            <v>1035333.38</v>
          </cell>
          <cell r="G51" t="str">
            <v>2000/2001</v>
          </cell>
        </row>
        <row r="52">
          <cell r="A52" t="str">
            <v>8260</v>
          </cell>
          <cell r="B52" t="str">
            <v>Walkerville (M)</v>
          </cell>
          <cell r="C52">
            <v>3</v>
          </cell>
          <cell r="D52">
            <v>118</v>
          </cell>
          <cell r="E52">
            <v>4060751.33</v>
          </cell>
          <cell r="F52">
            <v>1405847.75</v>
          </cell>
          <cell r="G52" t="str">
            <v>2000/2001</v>
          </cell>
        </row>
        <row r="53">
          <cell r="A53" t="str">
            <v>8411</v>
          </cell>
          <cell r="B53" t="str">
            <v>West Torrens (C) - East</v>
          </cell>
          <cell r="C53">
            <v>8</v>
          </cell>
          <cell r="D53">
            <v>252</v>
          </cell>
          <cell r="E53">
            <v>11602762.890000001</v>
          </cell>
          <cell r="F53">
            <v>4151314.03</v>
          </cell>
          <cell r="G53" t="str">
            <v>2000/2001</v>
          </cell>
        </row>
        <row r="54">
          <cell r="A54" t="str">
            <v>8414</v>
          </cell>
          <cell r="B54" t="str">
            <v>West Torrens (C) - West</v>
          </cell>
          <cell r="C54">
            <v>2</v>
          </cell>
          <cell r="D54">
            <v>80</v>
          </cell>
          <cell r="E54">
            <v>6780372.4500000002</v>
          </cell>
          <cell r="F54">
            <v>2617072.2400000002</v>
          </cell>
          <cell r="G54" t="str">
            <v>2000/2001</v>
          </cell>
        </row>
        <row r="55">
          <cell r="B55" t="str">
            <v>Playford (C) - East Central</v>
          </cell>
        </row>
        <row r="56">
          <cell r="B56" t="str">
            <v>Unincorp. Western</v>
          </cell>
        </row>
        <row r="57">
          <cell r="B57" t="str">
            <v>Total - Metropolitan Area</v>
          </cell>
          <cell r="C57">
            <v>303</v>
          </cell>
          <cell r="D57">
            <v>8961</v>
          </cell>
          <cell r="E57">
            <v>419095772.76999998</v>
          </cell>
          <cell r="F57">
            <v>151966844.98000002</v>
          </cell>
        </row>
        <row r="60">
          <cell r="A60" t="str">
            <v>Non-metropolitan Statistical Local Areas</v>
          </cell>
        </row>
        <row r="61">
          <cell r="A61" t="str">
            <v>0125</v>
          </cell>
          <cell r="B61" t="str">
            <v>Adelaide Hills (DC) - North</v>
          </cell>
          <cell r="C61">
            <v>5</v>
          </cell>
          <cell r="D61">
            <v>43</v>
          </cell>
          <cell r="E61">
            <v>322255.38</v>
          </cell>
          <cell r="F61">
            <v>83459.69</v>
          </cell>
          <cell r="G61" t="str">
            <v>2000/2001</v>
          </cell>
        </row>
        <row r="62">
          <cell r="A62" t="str">
            <v>0128</v>
          </cell>
          <cell r="B62" t="str">
            <v>Adelaide Hills (DC) - Bal</v>
          </cell>
          <cell r="C62">
            <v>7</v>
          </cell>
          <cell r="D62">
            <v>72</v>
          </cell>
          <cell r="E62">
            <v>1382595.28</v>
          </cell>
          <cell r="F62">
            <v>365143.39</v>
          </cell>
          <cell r="G62" t="str">
            <v>2000/2001</v>
          </cell>
        </row>
        <row r="63">
          <cell r="A63" t="str">
            <v>0221</v>
          </cell>
          <cell r="B63" t="str">
            <v>Alexandrina (DC) - Coastal</v>
          </cell>
          <cell r="C63">
            <v>8</v>
          </cell>
          <cell r="D63">
            <v>182</v>
          </cell>
          <cell r="E63">
            <v>3395845.12</v>
          </cell>
          <cell r="F63">
            <v>988985.07</v>
          </cell>
          <cell r="G63" t="str">
            <v>2000/2001</v>
          </cell>
        </row>
        <row r="64">
          <cell r="A64" t="str">
            <v>0224</v>
          </cell>
          <cell r="B64" t="str">
            <v>Alexandrina (DC) - Strathalbyn</v>
          </cell>
          <cell r="C64">
            <v>5</v>
          </cell>
          <cell r="D64">
            <v>97</v>
          </cell>
          <cell r="E64">
            <v>1372523.7</v>
          </cell>
          <cell r="F64">
            <v>388721.31</v>
          </cell>
          <cell r="G64" t="str">
            <v>2000/2001</v>
          </cell>
        </row>
        <row r="65">
          <cell r="A65" t="str">
            <v>0311</v>
          </cell>
          <cell r="B65" t="str">
            <v>Barossa (DC) - Angaston</v>
          </cell>
          <cell r="C65">
            <v>5</v>
          </cell>
          <cell r="D65">
            <v>110</v>
          </cell>
          <cell r="E65">
            <v>2466087.46</v>
          </cell>
          <cell r="F65">
            <v>676411.12</v>
          </cell>
          <cell r="G65" t="str">
            <v>2000/2001</v>
          </cell>
        </row>
        <row r="66">
          <cell r="A66" t="str">
            <v>0314</v>
          </cell>
          <cell r="B66" t="str">
            <v>Barossa (DC) - Barossa</v>
          </cell>
          <cell r="C66">
            <v>6</v>
          </cell>
          <cell r="D66">
            <v>58</v>
          </cell>
          <cell r="E66">
            <v>714972.75</v>
          </cell>
          <cell r="F66">
            <v>188824.27</v>
          </cell>
          <cell r="G66" t="str">
            <v>2000/2001</v>
          </cell>
        </row>
        <row r="67">
          <cell r="A67" t="str">
            <v>0315</v>
          </cell>
          <cell r="B67" t="str">
            <v>Barossa (DC) - Tanunda</v>
          </cell>
          <cell r="C67">
            <v>4</v>
          </cell>
          <cell r="D67">
            <v>68</v>
          </cell>
          <cell r="E67">
            <v>1603815.22</v>
          </cell>
          <cell r="F67">
            <v>417099.27</v>
          </cell>
          <cell r="G67" t="str">
            <v>2000/2001</v>
          </cell>
        </row>
        <row r="68">
          <cell r="A68" t="str">
            <v>0430</v>
          </cell>
          <cell r="B68" t="str">
            <v>Barunga West (DC)</v>
          </cell>
          <cell r="C68">
            <v>5</v>
          </cell>
          <cell r="D68">
            <v>40</v>
          </cell>
          <cell r="E68">
            <v>725077.93</v>
          </cell>
          <cell r="F68">
            <v>191493.06</v>
          </cell>
          <cell r="G68" t="str">
            <v>2000/2001</v>
          </cell>
        </row>
        <row r="69">
          <cell r="A69" t="str">
            <v>0521</v>
          </cell>
          <cell r="B69" t="str">
            <v>Berri &amp; Barmera (DC) - Barmera</v>
          </cell>
          <cell r="C69">
            <v>3</v>
          </cell>
          <cell r="D69">
            <v>74</v>
          </cell>
          <cell r="E69">
            <v>2213718.58</v>
          </cell>
          <cell r="F69">
            <v>696389.27</v>
          </cell>
          <cell r="G69" t="str">
            <v>2000/2001</v>
          </cell>
        </row>
        <row r="70">
          <cell r="A70" t="str">
            <v>0524</v>
          </cell>
          <cell r="B70" t="str">
            <v>Berri &amp; Barmera (DC) - Berri</v>
          </cell>
          <cell r="C70">
            <v>4</v>
          </cell>
          <cell r="D70">
            <v>110</v>
          </cell>
          <cell r="E70">
            <v>3992652.12</v>
          </cell>
          <cell r="F70">
            <v>1050568.53</v>
          </cell>
          <cell r="G70" t="str">
            <v>2000/2001</v>
          </cell>
        </row>
        <row r="71">
          <cell r="A71" t="str">
            <v>1010</v>
          </cell>
          <cell r="B71" t="str">
            <v>Ceduna (DC)</v>
          </cell>
          <cell r="C71">
            <v>2</v>
          </cell>
          <cell r="D71">
            <v>59</v>
          </cell>
          <cell r="E71">
            <v>2090457.9</v>
          </cell>
          <cell r="F71">
            <v>576199.78</v>
          </cell>
          <cell r="G71" t="str">
            <v>2000/2001</v>
          </cell>
        </row>
        <row r="72">
          <cell r="A72" t="str">
            <v>1140</v>
          </cell>
          <cell r="B72" t="str">
            <v>Clare and Gilbert Valleys (DC)</v>
          </cell>
          <cell r="C72">
            <v>7</v>
          </cell>
          <cell r="D72">
            <v>113</v>
          </cell>
          <cell r="E72">
            <v>1382433.1</v>
          </cell>
          <cell r="F72">
            <v>385811.73</v>
          </cell>
          <cell r="G72" t="str">
            <v>2000/2001</v>
          </cell>
        </row>
        <row r="73">
          <cell r="A73" t="str">
            <v>1190</v>
          </cell>
          <cell r="B73" t="str">
            <v>Cleve (DC)</v>
          </cell>
          <cell r="C73">
            <v>2</v>
          </cell>
          <cell r="D73">
            <v>16</v>
          </cell>
          <cell r="E73">
            <v>208849.72</v>
          </cell>
          <cell r="F73">
            <v>55157.24</v>
          </cell>
          <cell r="G73" t="str">
            <v>2000/2001</v>
          </cell>
        </row>
        <row r="74">
          <cell r="A74" t="str">
            <v>1330</v>
          </cell>
          <cell r="B74" t="str">
            <v>Coober Pedy (DC)</v>
          </cell>
          <cell r="C74">
            <v>2</v>
          </cell>
          <cell r="D74">
            <v>56</v>
          </cell>
          <cell r="E74">
            <v>1631052.08</v>
          </cell>
          <cell r="F74">
            <v>516793.95</v>
          </cell>
          <cell r="G74" t="str">
            <v>2000/2001</v>
          </cell>
        </row>
        <row r="75">
          <cell r="A75" t="str">
            <v>1560</v>
          </cell>
          <cell r="B75" t="str">
            <v>Copper Coast (DC)</v>
          </cell>
          <cell r="C75">
            <v>13</v>
          </cell>
          <cell r="D75">
            <v>233</v>
          </cell>
          <cell r="E75">
            <v>5149997</v>
          </cell>
          <cell r="F75">
            <v>1531468.43</v>
          </cell>
          <cell r="G75" t="str">
            <v>2000/2001</v>
          </cell>
        </row>
        <row r="76">
          <cell r="A76" t="str">
            <v>1750</v>
          </cell>
          <cell r="B76" t="str">
            <v>Elliston (DC)</v>
          </cell>
          <cell r="C76">
            <v>2</v>
          </cell>
          <cell r="D76">
            <v>11</v>
          </cell>
          <cell r="E76">
            <v>86476.71</v>
          </cell>
          <cell r="F76">
            <v>22838.5</v>
          </cell>
          <cell r="G76" t="str">
            <v>2000/2001</v>
          </cell>
        </row>
        <row r="77">
          <cell r="A77" t="str">
            <v>1830</v>
          </cell>
          <cell r="B77" t="str">
            <v>Flinders Ranges (DC)</v>
          </cell>
          <cell r="C77">
            <v>4</v>
          </cell>
          <cell r="D77">
            <v>42</v>
          </cell>
          <cell r="E77">
            <v>329275.44</v>
          </cell>
          <cell r="F77">
            <v>86961.63</v>
          </cell>
          <cell r="G77" t="str">
            <v>2000/2001</v>
          </cell>
        </row>
        <row r="78">
          <cell r="A78" t="str">
            <v>1960</v>
          </cell>
          <cell r="B78" t="str">
            <v>Franklin Harbour (DC)</v>
          </cell>
          <cell r="C78">
            <v>2</v>
          </cell>
          <cell r="D78">
            <v>23</v>
          </cell>
          <cell r="E78">
            <v>308385.81</v>
          </cell>
          <cell r="F78">
            <v>81444.710000000006</v>
          </cell>
          <cell r="G78" t="str">
            <v>2000/2001</v>
          </cell>
        </row>
        <row r="79">
          <cell r="A79" t="str">
            <v>2110</v>
          </cell>
          <cell r="B79" t="str">
            <v>Goyder (DC)</v>
          </cell>
          <cell r="C79">
            <v>5</v>
          </cell>
          <cell r="D79">
            <v>27</v>
          </cell>
          <cell r="E79">
            <v>296576.05</v>
          </cell>
          <cell r="F79">
            <v>78325.73</v>
          </cell>
          <cell r="G79" t="str">
            <v>2000/2001</v>
          </cell>
        </row>
        <row r="80">
          <cell r="A80" t="str">
            <v>2250</v>
          </cell>
          <cell r="B80" t="str">
            <v>Grant (DC)</v>
          </cell>
          <cell r="C80">
            <v>2</v>
          </cell>
          <cell r="D80">
            <v>20</v>
          </cell>
          <cell r="E80">
            <v>312770.84999999998</v>
          </cell>
          <cell r="F80">
            <v>82602.789999999994</v>
          </cell>
          <cell r="G80" t="str">
            <v>2000/2001</v>
          </cell>
        </row>
        <row r="81">
          <cell r="A81" t="str">
            <v>2750</v>
          </cell>
          <cell r="B81" t="str">
            <v>Kangaroo Island (DC)</v>
          </cell>
          <cell r="C81">
            <v>4</v>
          </cell>
          <cell r="D81">
            <v>50</v>
          </cell>
          <cell r="E81">
            <v>781402.2</v>
          </cell>
          <cell r="F81">
            <v>219588.97</v>
          </cell>
          <cell r="G81" t="str">
            <v>2000/2001</v>
          </cell>
        </row>
        <row r="82">
          <cell r="A82" t="str">
            <v>3080</v>
          </cell>
          <cell r="B82" t="str">
            <v>Karoonda East Murray (DC)</v>
          </cell>
          <cell r="C82">
            <v>1</v>
          </cell>
          <cell r="D82">
            <v>5</v>
          </cell>
          <cell r="E82">
            <v>74142.37</v>
          </cell>
          <cell r="F82">
            <v>19581.02</v>
          </cell>
          <cell r="G82" t="str">
            <v>2000/2001</v>
          </cell>
        </row>
        <row r="83">
          <cell r="A83" t="str">
            <v>3220</v>
          </cell>
          <cell r="B83" t="str">
            <v>Kimba(DC)</v>
          </cell>
          <cell r="C83">
            <v>1</v>
          </cell>
          <cell r="D83">
            <v>12</v>
          </cell>
          <cell r="E83">
            <v>247812.68</v>
          </cell>
          <cell r="F83">
            <v>53056.69</v>
          </cell>
          <cell r="G83" t="str">
            <v>2000/2001</v>
          </cell>
        </row>
        <row r="84">
          <cell r="A84" t="str">
            <v>3360</v>
          </cell>
          <cell r="B84" t="str">
            <v>Lacepede (DC)</v>
          </cell>
          <cell r="C84">
            <v>2</v>
          </cell>
          <cell r="D84">
            <v>35</v>
          </cell>
          <cell r="E84">
            <v>608103.06000000006</v>
          </cell>
          <cell r="F84">
            <v>160905.68</v>
          </cell>
          <cell r="G84" t="str">
            <v>2000/2001</v>
          </cell>
        </row>
        <row r="85">
          <cell r="A85" t="str">
            <v>3570</v>
          </cell>
          <cell r="B85" t="str">
            <v>Le Hunte (DC)</v>
          </cell>
          <cell r="C85">
            <v>2</v>
          </cell>
          <cell r="D85">
            <v>19</v>
          </cell>
          <cell r="E85">
            <v>197291.7</v>
          </cell>
          <cell r="F85">
            <v>52104.73</v>
          </cell>
          <cell r="G85" t="str">
            <v>2000/2001</v>
          </cell>
        </row>
        <row r="86">
          <cell r="A86" t="str">
            <v>3650</v>
          </cell>
          <cell r="B86" t="str">
            <v>Light (DC)</v>
          </cell>
          <cell r="C86">
            <v>7</v>
          </cell>
          <cell r="D86">
            <v>69</v>
          </cell>
          <cell r="E86">
            <v>1163761.1299999999</v>
          </cell>
          <cell r="F86">
            <v>332987.13</v>
          </cell>
          <cell r="G86" t="str">
            <v>2000/2001</v>
          </cell>
        </row>
        <row r="87">
          <cell r="A87" t="str">
            <v>3710</v>
          </cell>
          <cell r="B87" t="str">
            <v>Lower Eyre Peninsula (DC)</v>
          </cell>
          <cell r="C87">
            <v>3</v>
          </cell>
          <cell r="D87">
            <v>31</v>
          </cell>
          <cell r="E87">
            <v>393110.33</v>
          </cell>
          <cell r="F87">
            <v>95104.65</v>
          </cell>
          <cell r="G87" t="str">
            <v>2000/2001</v>
          </cell>
        </row>
        <row r="88">
          <cell r="A88" t="str">
            <v>3791</v>
          </cell>
          <cell r="B88" t="str">
            <v>Loxton Waikerie (DC) - East</v>
          </cell>
          <cell r="C88">
            <v>5</v>
          </cell>
          <cell r="D88">
            <v>88</v>
          </cell>
          <cell r="E88">
            <v>2138873.59</v>
          </cell>
          <cell r="F88">
            <v>544461.22</v>
          </cell>
          <cell r="G88" t="str">
            <v>2000/2001</v>
          </cell>
        </row>
        <row r="89">
          <cell r="A89" t="str">
            <v>3794</v>
          </cell>
          <cell r="B89" t="str">
            <v>Loxton Waikerie (DC) - West</v>
          </cell>
          <cell r="C89">
            <v>2</v>
          </cell>
          <cell r="D89">
            <v>54</v>
          </cell>
          <cell r="E89">
            <v>1490732.15</v>
          </cell>
          <cell r="F89">
            <v>377326.93</v>
          </cell>
          <cell r="G89" t="str">
            <v>2000/2001</v>
          </cell>
        </row>
        <row r="90">
          <cell r="A90" t="str">
            <v>3920</v>
          </cell>
          <cell r="B90" t="str">
            <v>Mallala (DC)</v>
          </cell>
          <cell r="C90">
            <v>5</v>
          </cell>
          <cell r="D90">
            <v>48</v>
          </cell>
          <cell r="E90">
            <v>959219.1</v>
          </cell>
          <cell r="F90">
            <v>278958.28000000003</v>
          </cell>
          <cell r="G90" t="str">
            <v>2000/2001</v>
          </cell>
        </row>
        <row r="91">
          <cell r="A91" t="str">
            <v>4210</v>
          </cell>
          <cell r="B91" t="str">
            <v>Mid Murray (DC)</v>
          </cell>
          <cell r="C91">
            <v>10</v>
          </cell>
          <cell r="D91">
            <v>142</v>
          </cell>
          <cell r="E91">
            <v>2097506.96</v>
          </cell>
          <cell r="F91">
            <v>540751.12</v>
          </cell>
          <cell r="G91" t="str">
            <v>2000/2001</v>
          </cell>
        </row>
        <row r="92">
          <cell r="A92" t="str">
            <v>4551</v>
          </cell>
          <cell r="B92" t="str">
            <v>Mount Barker (DC) - Central</v>
          </cell>
          <cell r="C92">
            <v>7</v>
          </cell>
          <cell r="D92">
            <v>221</v>
          </cell>
          <cell r="E92">
            <v>7072556.7300000004</v>
          </cell>
          <cell r="F92">
            <v>2400081.25</v>
          </cell>
          <cell r="G92" t="str">
            <v>2000/2001</v>
          </cell>
        </row>
        <row r="93">
          <cell r="A93" t="str">
            <v>4554</v>
          </cell>
          <cell r="B93" t="str">
            <v>Mount Barker (DC) - Bal</v>
          </cell>
          <cell r="C93">
            <v>4</v>
          </cell>
          <cell r="D93">
            <v>32</v>
          </cell>
          <cell r="E93">
            <v>554858.52</v>
          </cell>
          <cell r="F93">
            <v>146538.13</v>
          </cell>
          <cell r="G93" t="str">
            <v>2000/2001</v>
          </cell>
        </row>
        <row r="94">
          <cell r="A94" t="str">
            <v>4620</v>
          </cell>
          <cell r="B94" t="str">
            <v>Mount Gambier (C)</v>
          </cell>
          <cell r="C94">
            <v>13</v>
          </cell>
          <cell r="D94">
            <v>434</v>
          </cell>
          <cell r="E94">
            <v>12704013.619999999</v>
          </cell>
          <cell r="F94">
            <v>4078506.51</v>
          </cell>
          <cell r="G94" t="str">
            <v>2000/2001</v>
          </cell>
        </row>
        <row r="95">
          <cell r="A95" t="str">
            <v>4830</v>
          </cell>
          <cell r="B95" t="str">
            <v>Mount Remarkable (DC)</v>
          </cell>
          <cell r="C95">
            <v>2</v>
          </cell>
          <cell r="D95">
            <v>16</v>
          </cell>
          <cell r="E95">
            <v>205938.24</v>
          </cell>
          <cell r="F95">
            <v>54388.31</v>
          </cell>
          <cell r="G95" t="str">
            <v>2000/2001</v>
          </cell>
        </row>
        <row r="96">
          <cell r="A96" t="str">
            <v>5040</v>
          </cell>
          <cell r="B96" t="str">
            <v>Murray Bridge (RC)</v>
          </cell>
          <cell r="C96">
            <v>6</v>
          </cell>
          <cell r="D96">
            <v>160</v>
          </cell>
          <cell r="E96">
            <v>6848567.9400000004</v>
          </cell>
          <cell r="F96">
            <v>2420256.88</v>
          </cell>
          <cell r="G96" t="str">
            <v>2000/2001</v>
          </cell>
        </row>
        <row r="97">
          <cell r="A97" t="str">
            <v>5090</v>
          </cell>
          <cell r="B97" t="str">
            <v>Naracoorte and Lucindale (DC)</v>
          </cell>
          <cell r="C97">
            <v>5</v>
          </cell>
          <cell r="D97">
            <v>137</v>
          </cell>
          <cell r="E97">
            <v>2373386.81</v>
          </cell>
          <cell r="F97">
            <v>741368.45</v>
          </cell>
          <cell r="G97" t="str">
            <v>2000/2001</v>
          </cell>
        </row>
        <row r="98">
          <cell r="A98" t="str">
            <v>5120</v>
          </cell>
          <cell r="B98" t="str">
            <v>Northern Areas (DC)</v>
          </cell>
          <cell r="C98">
            <v>7</v>
          </cell>
          <cell r="D98">
            <v>47</v>
          </cell>
          <cell r="E98">
            <v>431880.47</v>
          </cell>
          <cell r="F98">
            <v>114018.47</v>
          </cell>
          <cell r="G98" t="str">
            <v>2000/2001</v>
          </cell>
        </row>
        <row r="99">
          <cell r="A99" t="str">
            <v>5400</v>
          </cell>
          <cell r="B99" t="str">
            <v>Orroroo Carrieton (DC)</v>
          </cell>
          <cell r="C99">
            <v>1</v>
          </cell>
          <cell r="D99">
            <v>5</v>
          </cell>
          <cell r="E99">
            <v>9614.7000000000007</v>
          </cell>
          <cell r="F99">
            <v>2539.2399999999998</v>
          </cell>
          <cell r="G99" t="str">
            <v>2000/2001</v>
          </cell>
        </row>
        <row r="100">
          <cell r="A100" t="str">
            <v>5540</v>
          </cell>
          <cell r="B100" t="str">
            <v>Peterborough (DC)</v>
          </cell>
          <cell r="C100">
            <v>4</v>
          </cell>
          <cell r="D100">
            <v>58</v>
          </cell>
          <cell r="E100">
            <v>738528.82</v>
          </cell>
          <cell r="F100">
            <v>195045.45</v>
          </cell>
          <cell r="G100" t="str">
            <v>2000/2001</v>
          </cell>
        </row>
        <row r="101">
          <cell r="A101" t="str">
            <v>6090</v>
          </cell>
          <cell r="B101" t="str">
            <v>Port Augusta (C)</v>
          </cell>
          <cell r="C101">
            <v>13</v>
          </cell>
          <cell r="D101">
            <v>315</v>
          </cell>
          <cell r="E101">
            <v>6147788.5300000003</v>
          </cell>
          <cell r="F101">
            <v>1899381.12</v>
          </cell>
          <cell r="G101" t="str">
            <v>2000/2001</v>
          </cell>
        </row>
        <row r="102">
          <cell r="A102" t="str">
            <v>6300</v>
          </cell>
          <cell r="B102" t="str">
            <v>Port Lincoln (C)</v>
          </cell>
          <cell r="C102">
            <v>7</v>
          </cell>
          <cell r="D102">
            <v>225</v>
          </cell>
          <cell r="E102">
            <v>6006197.1699999999</v>
          </cell>
          <cell r="F102">
            <v>2036394.34</v>
          </cell>
          <cell r="G102" t="str">
            <v>2000/2001</v>
          </cell>
        </row>
        <row r="103">
          <cell r="A103" t="str">
            <v>6451</v>
          </cell>
          <cell r="B103" t="str">
            <v>Port Pirie C, Districts (M) - City</v>
          </cell>
          <cell r="C103">
            <v>7</v>
          </cell>
          <cell r="D103">
            <v>247</v>
          </cell>
          <cell r="E103">
            <v>6473594.79</v>
          </cell>
          <cell r="F103">
            <v>2050285.8</v>
          </cell>
          <cell r="G103" t="str">
            <v>2000/2001</v>
          </cell>
        </row>
        <row r="104">
          <cell r="A104" t="str">
            <v>6671</v>
          </cell>
          <cell r="B104" t="str">
            <v>Renmark Paringa (DC) - Paringa</v>
          </cell>
          <cell r="C104">
            <v>2</v>
          </cell>
          <cell r="D104">
            <v>38</v>
          </cell>
          <cell r="E104">
            <v>706168.03</v>
          </cell>
          <cell r="F104">
            <v>202354.47</v>
          </cell>
          <cell r="G104" t="str">
            <v>2000/2001</v>
          </cell>
        </row>
        <row r="105">
          <cell r="A105" t="str">
            <v>6674</v>
          </cell>
          <cell r="B105" t="str">
            <v>Renmark Paringa (DC) - Renmark</v>
          </cell>
          <cell r="C105">
            <v>5</v>
          </cell>
          <cell r="D105">
            <v>110</v>
          </cell>
          <cell r="E105">
            <v>3333573.17</v>
          </cell>
          <cell r="F105">
            <v>900232.73</v>
          </cell>
          <cell r="G105" t="str">
            <v>2000/2001</v>
          </cell>
        </row>
        <row r="106">
          <cell r="A106" t="str">
            <v>6860</v>
          </cell>
          <cell r="B106" t="str">
            <v>Robe (DC)</v>
          </cell>
          <cell r="C106">
            <v>1</v>
          </cell>
          <cell r="D106">
            <v>21</v>
          </cell>
          <cell r="E106">
            <v>393125.7</v>
          </cell>
          <cell r="F106">
            <v>103824.5</v>
          </cell>
          <cell r="G106" t="str">
            <v>2000/2001</v>
          </cell>
        </row>
        <row r="107">
          <cell r="A107" t="str">
            <v>6970</v>
          </cell>
          <cell r="B107" t="str">
            <v>Roxby Downs (M)</v>
          </cell>
          <cell r="C107">
            <v>2</v>
          </cell>
          <cell r="D107">
            <v>60</v>
          </cell>
          <cell r="E107">
            <v>1945110.15</v>
          </cell>
          <cell r="F107">
            <v>623110.31000000006</v>
          </cell>
          <cell r="G107" t="str">
            <v>2000/2001</v>
          </cell>
        </row>
        <row r="108">
          <cell r="A108" t="str">
            <v>7290</v>
          </cell>
          <cell r="B108" t="str">
            <v>Southern Mallee (DC)</v>
          </cell>
          <cell r="C108">
            <v>3</v>
          </cell>
          <cell r="D108">
            <v>16</v>
          </cell>
          <cell r="E108">
            <v>344301.87</v>
          </cell>
          <cell r="F108">
            <v>90930.13</v>
          </cell>
          <cell r="G108" t="str">
            <v>2000/2001</v>
          </cell>
        </row>
        <row r="109">
          <cell r="A109" t="str">
            <v>7490</v>
          </cell>
          <cell r="B109" t="str">
            <v>Streaky Bay (DC)</v>
          </cell>
          <cell r="C109">
            <v>1</v>
          </cell>
          <cell r="D109">
            <v>30</v>
          </cell>
          <cell r="E109">
            <v>402772.65</v>
          </cell>
          <cell r="F109">
            <v>86422.25</v>
          </cell>
          <cell r="G109" t="str">
            <v>2000/2001</v>
          </cell>
        </row>
        <row r="110">
          <cell r="A110" t="str">
            <v>7630</v>
          </cell>
          <cell r="B110" t="str">
            <v>Tatiara (DC)</v>
          </cell>
          <cell r="C110">
            <v>4</v>
          </cell>
          <cell r="D110">
            <v>85</v>
          </cell>
          <cell r="E110">
            <v>1933873.71</v>
          </cell>
          <cell r="F110">
            <v>566241</v>
          </cell>
          <cell r="G110" t="str">
            <v>2000/2001</v>
          </cell>
        </row>
        <row r="111">
          <cell r="A111" t="str">
            <v>7800</v>
          </cell>
          <cell r="B111" t="str">
            <v>Coorong (DC)</v>
          </cell>
          <cell r="C111">
            <v>5</v>
          </cell>
          <cell r="D111">
            <v>68</v>
          </cell>
          <cell r="E111">
            <v>1039516.57</v>
          </cell>
          <cell r="F111">
            <v>274536.32000000001</v>
          </cell>
          <cell r="G111" t="str">
            <v>2000/2001</v>
          </cell>
        </row>
        <row r="112">
          <cell r="A112" t="str">
            <v>7910</v>
          </cell>
          <cell r="B112" t="str">
            <v>Tumby Bay (DC)</v>
          </cell>
          <cell r="C112">
            <v>2</v>
          </cell>
          <cell r="D112">
            <v>26</v>
          </cell>
          <cell r="E112">
            <v>427093.16</v>
          </cell>
          <cell r="F112">
            <v>112795.28</v>
          </cell>
          <cell r="G112" t="str">
            <v>2000/2001</v>
          </cell>
        </row>
        <row r="113">
          <cell r="A113" t="str">
            <v>8050</v>
          </cell>
          <cell r="B113" t="str">
            <v>Victor Harbour (DC)</v>
          </cell>
          <cell r="C113">
            <v>3</v>
          </cell>
          <cell r="D113">
            <v>108</v>
          </cell>
          <cell r="E113">
            <v>4902662.6399999997</v>
          </cell>
          <cell r="F113">
            <v>1744172.62</v>
          </cell>
          <cell r="G113" t="str">
            <v>2000/2001</v>
          </cell>
        </row>
        <row r="114">
          <cell r="A114" t="str">
            <v>8130</v>
          </cell>
          <cell r="B114" t="str">
            <v>Wakefield (DC)</v>
          </cell>
          <cell r="C114">
            <v>9</v>
          </cell>
          <cell r="D114">
            <v>64</v>
          </cell>
          <cell r="E114">
            <v>943629.09</v>
          </cell>
          <cell r="F114">
            <v>249212.47</v>
          </cell>
          <cell r="G114" t="str">
            <v>2000/2001</v>
          </cell>
        </row>
        <row r="115">
          <cell r="A115" t="str">
            <v>8341</v>
          </cell>
          <cell r="B115" t="str">
            <v>Wattle Range (DC) - East</v>
          </cell>
          <cell r="C115">
            <v>2</v>
          </cell>
          <cell r="D115">
            <v>22</v>
          </cell>
          <cell r="E115">
            <v>316207.09000000003</v>
          </cell>
          <cell r="F115">
            <v>83510.289999999994</v>
          </cell>
          <cell r="G115" t="str">
            <v>2000/2001</v>
          </cell>
        </row>
        <row r="116">
          <cell r="A116" t="str">
            <v>8344</v>
          </cell>
          <cell r="B116" t="str">
            <v>Wattle Range (DC) - West</v>
          </cell>
          <cell r="C116">
            <v>6</v>
          </cell>
          <cell r="D116">
            <v>129</v>
          </cell>
          <cell r="E116">
            <v>2198841.5</v>
          </cell>
          <cell r="F116">
            <v>621820.93999999994</v>
          </cell>
          <cell r="G116" t="str">
            <v>2000/2001</v>
          </cell>
        </row>
        <row r="117">
          <cell r="A117" t="str">
            <v>8540</v>
          </cell>
          <cell r="B117" t="str">
            <v>Whyalla (C)</v>
          </cell>
          <cell r="C117">
            <v>7</v>
          </cell>
          <cell r="D117">
            <v>216</v>
          </cell>
          <cell r="E117">
            <v>9646671.0199999996</v>
          </cell>
          <cell r="F117">
            <v>3379131.6</v>
          </cell>
          <cell r="G117" t="str">
            <v>2000/2001</v>
          </cell>
        </row>
        <row r="118">
          <cell r="A118" t="str">
            <v>8750</v>
          </cell>
          <cell r="B118" t="str">
            <v>Yankalilla (DC)</v>
          </cell>
          <cell r="C118">
            <v>4</v>
          </cell>
          <cell r="D118">
            <v>89</v>
          </cell>
          <cell r="E118">
            <v>1033265.19</v>
          </cell>
          <cell r="F118">
            <v>274632.11</v>
          </cell>
          <cell r="G118" t="str">
            <v>2000/2001</v>
          </cell>
        </row>
        <row r="119">
          <cell r="A119" t="str">
            <v>8831</v>
          </cell>
          <cell r="B119" t="str">
            <v>Yorke Peninsula (DC) - North</v>
          </cell>
          <cell r="C119">
            <v>11</v>
          </cell>
          <cell r="D119">
            <v>131</v>
          </cell>
          <cell r="E119">
            <v>2470954.17</v>
          </cell>
          <cell r="F119">
            <v>648011.56999999995</v>
          </cell>
          <cell r="G119" t="str">
            <v>2000/2001</v>
          </cell>
        </row>
        <row r="120">
          <cell r="A120" t="str">
            <v>8834</v>
          </cell>
          <cell r="B120" t="str">
            <v>Yorke Peninsula (DC) - South</v>
          </cell>
          <cell r="C120">
            <v>7</v>
          </cell>
          <cell r="D120">
            <v>94</v>
          </cell>
          <cell r="E120">
            <v>1873730.55</v>
          </cell>
          <cell r="F120">
            <v>510064.77</v>
          </cell>
          <cell r="G120" t="str">
            <v>2000/2001</v>
          </cell>
        </row>
        <row r="121">
          <cell r="A121" t="str">
            <v>9249</v>
          </cell>
          <cell r="B121" t="str">
            <v>Unicorp. West Coast</v>
          </cell>
          <cell r="C121">
            <v>1</v>
          </cell>
          <cell r="D121">
            <v>10</v>
          </cell>
          <cell r="E121">
            <v>136429.12</v>
          </cell>
          <cell r="F121">
            <v>36030.93</v>
          </cell>
          <cell r="G121" t="str">
            <v>2000/2001</v>
          </cell>
        </row>
        <row r="122">
          <cell r="A122" t="str">
            <v>9589</v>
          </cell>
          <cell r="B122" t="str">
            <v>Unicorp. Far North</v>
          </cell>
          <cell r="C122">
            <v>6</v>
          </cell>
          <cell r="D122">
            <v>53</v>
          </cell>
          <cell r="E122">
            <v>621163.84</v>
          </cell>
          <cell r="F122">
            <v>164050.82</v>
          </cell>
          <cell r="G122" t="str">
            <v>2000/2001</v>
          </cell>
        </row>
        <row r="123">
          <cell r="B123" t="str">
            <v>Port Pirie C, Dists (M) Bal</v>
          </cell>
        </row>
        <row r="124">
          <cell r="B124" t="str">
            <v>Unincorp. Flinders Ranges</v>
          </cell>
        </row>
        <row r="125">
          <cell r="B125" t="str">
            <v>Unincorp. Lincoln</v>
          </cell>
        </row>
        <row r="126">
          <cell r="B126" t="str">
            <v>Unincorp. Murray Mallee</v>
          </cell>
        </row>
        <row r="127">
          <cell r="B127" t="str">
            <v>Unincorp. Pirie</v>
          </cell>
        </row>
        <row r="128">
          <cell r="B128" t="str">
            <v>Unincorp. Riverland</v>
          </cell>
        </row>
        <row r="129">
          <cell r="B129" t="str">
            <v>Unincorp. Whyalla</v>
          </cell>
        </row>
        <row r="130">
          <cell r="B130" t="str">
            <v>Unincorp. Yorke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27"/>
  <sheetViews>
    <sheetView showGridLines="0" zoomScaleNormal="100" workbookViewId="0">
      <selection activeCell="B34" sqref="B34"/>
    </sheetView>
  </sheetViews>
  <sheetFormatPr defaultColWidth="0" defaultRowHeight="16.5" customHeight="1" zeroHeight="1" x14ac:dyDescent="0.25"/>
  <cols>
    <col min="1" max="1" width="1.140625" style="29" customWidth="1"/>
    <col min="2" max="2" width="23.85546875" style="29" customWidth="1"/>
    <col min="3" max="3" width="3.28515625" style="29" customWidth="1"/>
    <col min="4" max="4" width="60.42578125" style="29" customWidth="1"/>
    <col min="5" max="5" width="19.28515625" style="29" customWidth="1"/>
    <col min="6" max="6" width="1.140625" style="29" customWidth="1"/>
    <col min="7" max="16384" width="3.42578125" style="29" hidden="1"/>
  </cols>
  <sheetData>
    <row r="1" spans="1:5" ht="6" customHeight="1" x14ac:dyDescent="0.25">
      <c r="A1" s="16"/>
      <c r="B1" s="16"/>
      <c r="C1" s="16"/>
      <c r="D1" s="16"/>
      <c r="E1" s="16"/>
    </row>
    <row r="2" spans="1:5" ht="15" x14ac:dyDescent="0.25">
      <c r="A2" s="16"/>
      <c r="B2" s="16"/>
      <c r="C2" s="16"/>
      <c r="D2" s="16"/>
      <c r="E2" s="16"/>
    </row>
    <row r="3" spans="1:5" ht="15" x14ac:dyDescent="0.25">
      <c r="A3" s="16"/>
      <c r="B3" s="16"/>
      <c r="C3" s="16"/>
      <c r="D3" s="16"/>
      <c r="E3" s="16"/>
    </row>
    <row r="4" spans="1:5" ht="15" x14ac:dyDescent="0.25">
      <c r="A4" s="16"/>
      <c r="B4" s="16"/>
      <c r="C4" s="16"/>
      <c r="D4" s="16"/>
      <c r="E4" s="16"/>
    </row>
    <row r="5" spans="1:5" ht="15" x14ac:dyDescent="0.25">
      <c r="A5" s="16"/>
      <c r="B5" s="16"/>
      <c r="C5" s="16"/>
      <c r="D5" s="16"/>
      <c r="E5" s="16"/>
    </row>
    <row r="6" spans="1:5" ht="15" x14ac:dyDescent="0.25">
      <c r="A6" s="16"/>
      <c r="B6" s="16"/>
      <c r="C6" s="16"/>
      <c r="D6" s="16"/>
      <c r="E6" s="16"/>
    </row>
    <row r="7" spans="1:5" ht="15" x14ac:dyDescent="0.25">
      <c r="A7" s="16"/>
      <c r="B7" s="16"/>
      <c r="C7" s="16"/>
      <c r="D7" s="16"/>
      <c r="E7" s="16"/>
    </row>
    <row r="8" spans="1:5" ht="6" customHeight="1" x14ac:dyDescent="0.25">
      <c r="A8" s="16"/>
      <c r="B8" s="16"/>
      <c r="C8" s="16"/>
      <c r="D8" s="16"/>
      <c r="E8" s="16"/>
    </row>
    <row r="9" spans="1:5" ht="18.75" x14ac:dyDescent="0.3">
      <c r="A9" s="16"/>
      <c r="B9" s="99" t="s">
        <v>18</v>
      </c>
      <c r="C9" s="99"/>
      <c r="D9" s="99"/>
      <c r="E9" s="99"/>
    </row>
    <row r="10" spans="1:5" ht="15" x14ac:dyDescent="0.25"/>
    <row r="11" spans="1:5" s="36" customFormat="1" ht="13.5" customHeight="1" x14ac:dyDescent="0.25">
      <c r="B11" s="33" t="s">
        <v>144</v>
      </c>
      <c r="C11" s="33"/>
      <c r="D11" s="16"/>
      <c r="E11" s="16"/>
    </row>
    <row r="12" spans="1:5" s="36" customFormat="1" ht="13.5" customHeight="1" x14ac:dyDescent="0.25">
      <c r="B12" s="16" t="s">
        <v>146</v>
      </c>
      <c r="C12" s="16"/>
      <c r="D12" s="16"/>
      <c r="E12" s="16"/>
    </row>
    <row r="13" spans="1:5" s="36" customFormat="1" ht="13.5" customHeight="1" x14ac:dyDescent="0.25">
      <c r="B13" s="16" t="s">
        <v>304</v>
      </c>
      <c r="C13" s="16"/>
      <c r="D13" s="16"/>
      <c r="E13" s="16"/>
    </row>
    <row r="14" spans="1:5" s="36" customFormat="1" ht="13.5" customHeight="1" x14ac:dyDescent="0.25">
      <c r="B14" s="16" t="s">
        <v>305</v>
      </c>
      <c r="C14" s="16"/>
      <c r="D14" s="16"/>
      <c r="E14" s="16"/>
    </row>
    <row r="15" spans="1:5" s="36" customFormat="1" ht="13.5" customHeight="1" x14ac:dyDescent="0.25">
      <c r="B15" s="16" t="s">
        <v>306</v>
      </c>
      <c r="C15" s="16"/>
      <c r="D15" s="16"/>
      <c r="E15" s="16"/>
    </row>
    <row r="16" spans="1:5" s="36" customFormat="1" ht="13.5" customHeight="1" x14ac:dyDescent="0.25">
      <c r="B16" s="16" t="s">
        <v>308</v>
      </c>
      <c r="C16" s="16"/>
      <c r="D16" s="16"/>
      <c r="E16" s="16"/>
    </row>
    <row r="17" spans="2:5" s="36" customFormat="1" ht="13.5" customHeight="1" x14ac:dyDescent="0.25">
      <c r="B17" s="16"/>
      <c r="C17" s="16"/>
      <c r="D17" s="16"/>
      <c r="E17" s="16"/>
    </row>
    <row r="18" spans="2:5" s="36" customFormat="1" ht="13.5" customHeight="1" x14ac:dyDescent="0.25">
      <c r="B18" s="33" t="s">
        <v>26</v>
      </c>
      <c r="C18" s="16"/>
      <c r="D18" s="16"/>
      <c r="E18" s="16"/>
    </row>
    <row r="19" spans="2:5" s="36" customFormat="1" ht="13.5" customHeight="1" x14ac:dyDescent="0.25">
      <c r="B19" s="16" t="s">
        <v>339</v>
      </c>
      <c r="C19" s="16"/>
      <c r="D19" s="16"/>
      <c r="E19" s="16"/>
    </row>
    <row r="20" spans="2:5" s="36" customFormat="1" ht="13.5" customHeight="1" x14ac:dyDescent="0.25">
      <c r="B20" s="16" t="s">
        <v>28</v>
      </c>
      <c r="C20" s="16"/>
      <c r="D20" s="16"/>
      <c r="E20" s="16"/>
    </row>
    <row r="21" spans="2:5" s="36" customFormat="1" ht="13.5" customHeight="1" x14ac:dyDescent="0.25">
      <c r="B21" s="16"/>
      <c r="C21" s="16"/>
      <c r="D21" s="16"/>
      <c r="E21" s="16"/>
    </row>
    <row r="22" spans="2:5" s="36" customFormat="1" ht="13.5" customHeight="1" x14ac:dyDescent="0.25">
      <c r="B22" s="16" t="s">
        <v>340</v>
      </c>
      <c r="C22" s="16"/>
      <c r="D22" s="16"/>
      <c r="E22" s="16"/>
    </row>
    <row r="23" spans="2:5" s="36" customFormat="1" ht="13.5" customHeight="1" x14ac:dyDescent="0.25">
      <c r="B23" s="16" t="s">
        <v>27</v>
      </c>
      <c r="C23" s="16"/>
      <c r="D23" s="16"/>
      <c r="E23" s="16"/>
    </row>
    <row r="24" spans="2:5" s="36" customFormat="1" ht="13.5" customHeight="1" x14ac:dyDescent="0.25">
      <c r="B24" s="16"/>
      <c r="C24" s="16"/>
      <c r="D24" s="16"/>
      <c r="E24" s="16"/>
    </row>
    <row r="25" spans="2:5" s="36" customFormat="1" ht="13.5" customHeight="1" x14ac:dyDescent="0.25">
      <c r="B25" s="16" t="s">
        <v>341</v>
      </c>
      <c r="C25" s="16"/>
      <c r="D25" s="16"/>
      <c r="E25" s="16"/>
    </row>
    <row r="26" spans="2:5" s="36" customFormat="1" ht="13.5" customHeight="1" x14ac:dyDescent="0.25">
      <c r="B26" s="16" t="s">
        <v>29</v>
      </c>
      <c r="C26" s="16"/>
      <c r="D26" s="16"/>
      <c r="E26" s="16"/>
    </row>
    <row r="27" spans="2:5" s="36" customFormat="1" ht="13.5" customHeight="1" x14ac:dyDescent="0.25">
      <c r="B27" s="16"/>
      <c r="C27" s="16"/>
      <c r="D27" s="16"/>
      <c r="E27" s="16"/>
    </row>
    <row r="28" spans="2:5" s="36" customFormat="1" ht="13.5" customHeight="1" x14ac:dyDescent="0.25">
      <c r="B28" s="33" t="s">
        <v>129</v>
      </c>
      <c r="C28" s="33"/>
      <c r="D28" s="37"/>
      <c r="E28" s="16"/>
    </row>
    <row r="29" spans="2:5" s="36" customFormat="1" ht="13.5" customHeight="1" x14ac:dyDescent="0.25">
      <c r="B29" s="16" t="s">
        <v>19</v>
      </c>
      <c r="C29" s="16"/>
      <c r="D29" s="37"/>
      <c r="E29" s="16"/>
    </row>
    <row r="30" spans="2:5" s="36" customFormat="1" ht="13.5" customHeight="1" x14ac:dyDescent="0.25">
      <c r="B30" s="16" t="s">
        <v>307</v>
      </c>
      <c r="C30" s="16"/>
      <c r="D30" s="37"/>
      <c r="E30" s="16"/>
    </row>
    <row r="31" spans="2:5" s="36" customFormat="1" ht="13.5" customHeight="1" x14ac:dyDescent="0.25">
      <c r="B31" s="16" t="s">
        <v>23</v>
      </c>
      <c r="C31" s="16"/>
      <c r="D31" s="37"/>
      <c r="E31" s="16"/>
    </row>
    <row r="32" spans="2:5" s="36" customFormat="1" ht="13.5" customHeight="1" x14ac:dyDescent="0.25">
      <c r="B32" s="37"/>
      <c r="C32" s="37"/>
      <c r="D32" s="37"/>
      <c r="E32" s="16"/>
    </row>
    <row r="33" spans="2:15" s="36" customFormat="1" ht="13.5" customHeight="1" x14ac:dyDescent="0.25">
      <c r="B33" s="38" t="s">
        <v>127</v>
      </c>
      <c r="C33" s="38"/>
      <c r="D33" s="38" t="s">
        <v>128</v>
      </c>
      <c r="E33" s="16"/>
    </row>
    <row r="34" spans="2:15" s="36" customFormat="1" ht="13.5" customHeight="1" x14ac:dyDescent="0.25">
      <c r="B34" s="46" t="s">
        <v>164</v>
      </c>
      <c r="C34" s="39"/>
      <c r="D34" s="40" t="str">
        <f>LOOKUP(B34,N55:N127,O55:O127)</f>
        <v>Adelaide (C)</v>
      </c>
      <c r="E34" s="16"/>
    </row>
    <row r="35" spans="2:15" s="36" customFormat="1" ht="5.25" customHeight="1" x14ac:dyDescent="0.25">
      <c r="B35" s="37"/>
      <c r="C35" s="37"/>
      <c r="D35" s="16"/>
      <c r="E35" s="16"/>
      <c r="N35" s="29"/>
      <c r="O35" s="29"/>
    </row>
    <row r="36" spans="2:15" s="36" customFormat="1" ht="13.5" customHeight="1" x14ac:dyDescent="0.25">
      <c r="B36" s="41" t="s">
        <v>36</v>
      </c>
      <c r="C36" s="41"/>
      <c r="D36" s="16"/>
      <c r="E36" s="16"/>
    </row>
    <row r="37" spans="2:15" s="36" customFormat="1" ht="13.5" customHeight="1" x14ac:dyDescent="0.25">
      <c r="B37" s="37"/>
      <c r="C37" s="37"/>
      <c r="D37" s="16"/>
      <c r="E37" s="16"/>
    </row>
    <row r="38" spans="2:15" s="36" customFormat="1" ht="13.5" customHeight="1" x14ac:dyDescent="0.25">
      <c r="B38" s="33" t="s">
        <v>145</v>
      </c>
      <c r="C38" s="33"/>
      <c r="D38" s="37"/>
      <c r="E38" s="16"/>
    </row>
    <row r="39" spans="2:15" s="36" customFormat="1" ht="13.5" customHeight="1" x14ac:dyDescent="0.25">
      <c r="B39" s="16" t="s">
        <v>143</v>
      </c>
      <c r="C39" s="16"/>
      <c r="D39" s="29"/>
    </row>
    <row r="40" spans="2:15" s="36" customFormat="1" ht="13.5" customHeight="1" x14ac:dyDescent="0.25">
      <c r="B40" s="16" t="s">
        <v>147</v>
      </c>
      <c r="C40" s="16"/>
      <c r="D40" s="29"/>
    </row>
    <row r="41" spans="2:15" s="36" customFormat="1" ht="13.5" customHeight="1" x14ac:dyDescent="0.25">
      <c r="B41" s="16"/>
      <c r="C41" s="16"/>
      <c r="D41" s="29"/>
    </row>
    <row r="42" spans="2:15" s="36" customFormat="1" ht="13.5" customHeight="1" x14ac:dyDescent="0.25">
      <c r="B42" s="16" t="s">
        <v>43</v>
      </c>
      <c r="C42" s="16"/>
      <c r="D42" s="29"/>
    </row>
    <row r="43" spans="2:15" ht="13.5" customHeight="1" x14ac:dyDescent="0.25">
      <c r="B43" s="42" t="s">
        <v>349</v>
      </c>
      <c r="C43" s="42"/>
    </row>
    <row r="44" spans="2:15" ht="13.5" customHeight="1" x14ac:dyDescent="0.25">
      <c r="B44" s="16" t="s">
        <v>350</v>
      </c>
      <c r="C44" s="16"/>
    </row>
    <row r="45" spans="2:15" ht="13.5" customHeight="1" x14ac:dyDescent="0.25">
      <c r="B45" s="16" t="s">
        <v>351</v>
      </c>
      <c r="C45" s="16"/>
    </row>
    <row r="46" spans="2:15" ht="12" customHeight="1" x14ac:dyDescent="0.25">
      <c r="B46" s="16" t="s">
        <v>352</v>
      </c>
      <c r="C46" s="16"/>
    </row>
    <row r="47" spans="2:15" ht="12" customHeight="1" thickBot="1" x14ac:dyDescent="0.3">
      <c r="B47" s="43"/>
      <c r="C47" s="43"/>
      <c r="D47" s="44"/>
      <c r="E47" s="44"/>
    </row>
    <row r="48" spans="2:15" ht="8.1" customHeight="1" thickTop="1" x14ac:dyDescent="0.25">
      <c r="B48" s="37"/>
      <c r="C48" s="37"/>
      <c r="D48" s="37"/>
      <c r="E48" s="37"/>
    </row>
    <row r="49" spans="14:15" ht="16.5" hidden="1" customHeight="1" x14ac:dyDescent="0.25"/>
    <row r="50" spans="14:15" ht="16.5" hidden="1" customHeight="1" x14ac:dyDescent="0.25"/>
    <row r="51" spans="14:15" ht="16.5" hidden="1" customHeight="1" x14ac:dyDescent="0.25"/>
    <row r="52" spans="14:15" ht="16.5" hidden="1" customHeight="1" x14ac:dyDescent="0.25"/>
    <row r="53" spans="14:15" ht="16.5" hidden="1" customHeight="1" x14ac:dyDescent="0.25"/>
    <row r="54" spans="14:15" ht="16.5" hidden="1" customHeight="1" x14ac:dyDescent="0.25">
      <c r="N54" s="29" t="s">
        <v>125</v>
      </c>
      <c r="O54" s="29" t="s">
        <v>126</v>
      </c>
    </row>
    <row r="55" spans="14:15" ht="16.5" hidden="1" customHeight="1" x14ac:dyDescent="0.25">
      <c r="N55" s="45" t="s">
        <v>164</v>
      </c>
      <c r="O55" s="45" t="s">
        <v>164</v>
      </c>
    </row>
    <row r="56" spans="14:15" ht="16.5" hidden="1" customHeight="1" x14ac:dyDescent="0.25">
      <c r="N56" s="45" t="s">
        <v>188</v>
      </c>
      <c r="O56" s="45" t="s">
        <v>188</v>
      </c>
    </row>
    <row r="57" spans="14:15" ht="16.5" hidden="1" customHeight="1" x14ac:dyDescent="0.25">
      <c r="N57" s="45" t="s">
        <v>423</v>
      </c>
      <c r="O57" s="45" t="s">
        <v>422</v>
      </c>
    </row>
    <row r="58" spans="14:15" ht="16.5" hidden="1" customHeight="1" x14ac:dyDescent="0.25">
      <c r="N58" s="45" t="s">
        <v>189</v>
      </c>
      <c r="O58" s="45" t="s">
        <v>189</v>
      </c>
    </row>
    <row r="59" spans="14:15" ht="16.5" hidden="1" customHeight="1" x14ac:dyDescent="0.25">
      <c r="N59" s="45" t="s">
        <v>45</v>
      </c>
      <c r="O59" s="45" t="s">
        <v>44</v>
      </c>
    </row>
    <row r="60" spans="14:15" ht="16.5" hidden="1" customHeight="1" x14ac:dyDescent="0.25">
      <c r="N60" s="45" t="s">
        <v>190</v>
      </c>
      <c r="O60" s="45" t="s">
        <v>190</v>
      </c>
    </row>
    <row r="61" spans="14:15" ht="16.5" hidden="1" customHeight="1" x14ac:dyDescent="0.25">
      <c r="N61" s="45" t="s">
        <v>74</v>
      </c>
      <c r="O61" s="45" t="s">
        <v>156</v>
      </c>
    </row>
    <row r="62" spans="14:15" ht="16.5" hidden="1" customHeight="1" x14ac:dyDescent="0.25">
      <c r="N62" s="45" t="s">
        <v>191</v>
      </c>
      <c r="O62" s="45" t="s">
        <v>191</v>
      </c>
    </row>
    <row r="63" spans="14:15" ht="16.5" hidden="1" customHeight="1" x14ac:dyDescent="0.25">
      <c r="N63" s="45" t="s">
        <v>111</v>
      </c>
      <c r="O63" s="45" t="s">
        <v>162</v>
      </c>
    </row>
    <row r="64" spans="14:15" ht="16.5" hidden="1" customHeight="1" x14ac:dyDescent="0.25">
      <c r="N64" s="45" t="s">
        <v>112</v>
      </c>
      <c r="O64" s="45" t="s">
        <v>157</v>
      </c>
    </row>
    <row r="65" spans="14:15" ht="16.5" hidden="1" customHeight="1" x14ac:dyDescent="0.25">
      <c r="N65" s="45" t="s">
        <v>75</v>
      </c>
      <c r="O65" s="45" t="s">
        <v>158</v>
      </c>
    </row>
    <row r="66" spans="14:15" ht="16.5" hidden="1" customHeight="1" x14ac:dyDescent="0.25">
      <c r="N66" s="45" t="s">
        <v>192</v>
      </c>
      <c r="O66" s="45" t="s">
        <v>192</v>
      </c>
    </row>
    <row r="67" spans="14:15" ht="16.5" hidden="1" customHeight="1" x14ac:dyDescent="0.25">
      <c r="N67" s="45" t="s">
        <v>165</v>
      </c>
      <c r="O67" s="45" t="s">
        <v>165</v>
      </c>
    </row>
    <row r="68" spans="14:15" ht="16.5" hidden="1" customHeight="1" x14ac:dyDescent="0.25">
      <c r="N68" s="45" t="s">
        <v>76</v>
      </c>
      <c r="O68" s="45" t="s">
        <v>161</v>
      </c>
    </row>
    <row r="69" spans="14:15" ht="16.5" hidden="1" customHeight="1" x14ac:dyDescent="0.25">
      <c r="N69" s="45" t="s">
        <v>77</v>
      </c>
      <c r="O69" s="45" t="s">
        <v>63</v>
      </c>
    </row>
    <row r="70" spans="14:15" ht="16.5" hidden="1" customHeight="1" x14ac:dyDescent="0.25">
      <c r="N70" s="45" t="s">
        <v>78</v>
      </c>
      <c r="O70" s="45" t="s">
        <v>156</v>
      </c>
    </row>
    <row r="71" spans="14:15" ht="16.5" hidden="1" customHeight="1" x14ac:dyDescent="0.25">
      <c r="N71" s="45" t="s">
        <v>79</v>
      </c>
      <c r="O71" s="45" t="s">
        <v>158</v>
      </c>
    </row>
    <row r="72" spans="14:15" ht="16.5" hidden="1" customHeight="1" x14ac:dyDescent="0.25">
      <c r="N72" s="45" t="s">
        <v>80</v>
      </c>
      <c r="O72" s="45" t="s">
        <v>63</v>
      </c>
    </row>
    <row r="73" spans="14:15" ht="16.5" hidden="1" customHeight="1" x14ac:dyDescent="0.25">
      <c r="N73" s="45" t="s">
        <v>81</v>
      </c>
      <c r="O73" s="45" t="s">
        <v>161</v>
      </c>
    </row>
    <row r="74" spans="14:15" ht="16.5" hidden="1" customHeight="1" x14ac:dyDescent="0.25">
      <c r="N74" s="45" t="s">
        <v>186</v>
      </c>
      <c r="O74" s="45" t="s">
        <v>186</v>
      </c>
    </row>
    <row r="75" spans="14:15" ht="16.5" hidden="1" customHeight="1" x14ac:dyDescent="0.25">
      <c r="N75" s="45" t="s">
        <v>82</v>
      </c>
      <c r="O75" s="45" t="s">
        <v>159</v>
      </c>
    </row>
    <row r="76" spans="14:15" ht="16.5" hidden="1" customHeight="1" x14ac:dyDescent="0.25">
      <c r="N76" s="45" t="s">
        <v>83</v>
      </c>
      <c r="O76" s="45" t="s">
        <v>163</v>
      </c>
    </row>
    <row r="77" spans="14:15" ht="16.5" hidden="1" customHeight="1" x14ac:dyDescent="0.25">
      <c r="N77" s="45" t="s">
        <v>193</v>
      </c>
      <c r="O77" s="45" t="s">
        <v>193</v>
      </c>
    </row>
    <row r="78" spans="14:15" ht="16.5" hidden="1" customHeight="1" x14ac:dyDescent="0.25">
      <c r="N78" s="45" t="s">
        <v>84</v>
      </c>
      <c r="O78" s="45" t="s">
        <v>160</v>
      </c>
    </row>
    <row r="79" spans="14:15" ht="16.5" hidden="1" customHeight="1" x14ac:dyDescent="0.25">
      <c r="N79" s="45" t="s">
        <v>85</v>
      </c>
      <c r="O79" s="45" t="s">
        <v>60</v>
      </c>
    </row>
    <row r="80" spans="14:15" ht="16.5" hidden="1" customHeight="1" x14ac:dyDescent="0.25">
      <c r="N80" s="45" t="s">
        <v>86</v>
      </c>
      <c r="O80" s="45" t="s">
        <v>161</v>
      </c>
    </row>
    <row r="81" spans="14:15" ht="16.5" hidden="1" customHeight="1" x14ac:dyDescent="0.25">
      <c r="N81" s="45" t="s">
        <v>87</v>
      </c>
      <c r="O81" s="45" t="s">
        <v>61</v>
      </c>
    </row>
    <row r="82" spans="14:15" ht="16.5" hidden="1" customHeight="1" x14ac:dyDescent="0.25">
      <c r="N82" s="45" t="s">
        <v>88</v>
      </c>
      <c r="O82" s="45" t="s">
        <v>158</v>
      </c>
    </row>
    <row r="83" spans="14:15" ht="16.5" hidden="1" customHeight="1" x14ac:dyDescent="0.25">
      <c r="N83" s="45" t="s">
        <v>89</v>
      </c>
      <c r="O83" s="45" t="s">
        <v>422</v>
      </c>
    </row>
    <row r="84" spans="14:15" ht="16.5" hidden="1" customHeight="1" x14ac:dyDescent="0.25">
      <c r="N84" s="45" t="s">
        <v>90</v>
      </c>
      <c r="O84" s="45" t="s">
        <v>158</v>
      </c>
    </row>
    <row r="85" spans="14:15" ht="16.5" hidden="1" customHeight="1" x14ac:dyDescent="0.25">
      <c r="N85" s="45" t="s">
        <v>194</v>
      </c>
      <c r="O85" s="45" t="s">
        <v>194</v>
      </c>
    </row>
    <row r="86" spans="14:15" ht="16.5" hidden="1" customHeight="1" x14ac:dyDescent="0.25">
      <c r="N86" s="45" t="s">
        <v>46</v>
      </c>
      <c r="O86" s="45" t="s">
        <v>44</v>
      </c>
    </row>
    <row r="87" spans="14:15" ht="16.5" hidden="1" customHeight="1" x14ac:dyDescent="0.25">
      <c r="N87" s="45" t="s">
        <v>195</v>
      </c>
      <c r="O87" s="45" t="s">
        <v>195</v>
      </c>
    </row>
    <row r="88" spans="14:15" ht="16.5" hidden="1" customHeight="1" x14ac:dyDescent="0.25">
      <c r="N88" s="45" t="s">
        <v>166</v>
      </c>
      <c r="O88" s="45" t="s">
        <v>166</v>
      </c>
    </row>
    <row r="89" spans="14:15" ht="16.5" hidden="1" customHeight="1" x14ac:dyDescent="0.25">
      <c r="N89" s="45" t="s">
        <v>113</v>
      </c>
      <c r="O89" s="45" t="s">
        <v>162</v>
      </c>
    </row>
    <row r="90" spans="14:15" ht="16.5" hidden="1" customHeight="1" x14ac:dyDescent="0.25">
      <c r="N90" s="45" t="s">
        <v>196</v>
      </c>
      <c r="O90" s="45" t="s">
        <v>196</v>
      </c>
    </row>
    <row r="91" spans="14:15" ht="16.5" hidden="1" customHeight="1" x14ac:dyDescent="0.25">
      <c r="N91" s="45" t="s">
        <v>91</v>
      </c>
      <c r="O91" s="45" t="s">
        <v>163</v>
      </c>
    </row>
    <row r="92" spans="14:15" ht="16.5" hidden="1" customHeight="1" x14ac:dyDescent="0.25">
      <c r="N92" s="45" t="s">
        <v>92</v>
      </c>
      <c r="O92" s="45" t="s">
        <v>59</v>
      </c>
    </row>
    <row r="93" spans="14:15" ht="16.5" hidden="1" customHeight="1" x14ac:dyDescent="0.25">
      <c r="N93" s="45" t="s">
        <v>93</v>
      </c>
      <c r="O93" s="45" t="s">
        <v>60</v>
      </c>
    </row>
    <row r="94" spans="14:15" ht="16.5" hidden="1" customHeight="1" x14ac:dyDescent="0.25">
      <c r="N94" s="45" t="s">
        <v>94</v>
      </c>
      <c r="O94" s="45" t="s">
        <v>61</v>
      </c>
    </row>
    <row r="95" spans="14:15" ht="16.5" hidden="1" customHeight="1" x14ac:dyDescent="0.25">
      <c r="N95" s="45" t="s">
        <v>95</v>
      </c>
      <c r="O95" s="45" t="s">
        <v>159</v>
      </c>
    </row>
    <row r="96" spans="14:15" ht="16.5" hidden="1" customHeight="1" x14ac:dyDescent="0.25">
      <c r="N96" s="45" t="s">
        <v>197</v>
      </c>
      <c r="O96" s="45" t="s">
        <v>197</v>
      </c>
    </row>
    <row r="97" spans="14:15" ht="16.5" hidden="1" customHeight="1" x14ac:dyDescent="0.25">
      <c r="N97" s="45" t="s">
        <v>198</v>
      </c>
      <c r="O97" s="45" t="s">
        <v>198</v>
      </c>
    </row>
    <row r="98" spans="14:15" ht="16.5" hidden="1" customHeight="1" x14ac:dyDescent="0.25">
      <c r="N98" s="45" t="s">
        <v>96</v>
      </c>
      <c r="O98" s="45" t="s">
        <v>59</v>
      </c>
    </row>
    <row r="99" spans="14:15" ht="16.5" hidden="1" customHeight="1" x14ac:dyDescent="0.25">
      <c r="N99" s="45" t="s">
        <v>97</v>
      </c>
      <c r="O99" s="45" t="s">
        <v>59</v>
      </c>
    </row>
    <row r="100" spans="14:15" ht="16.5" hidden="1" customHeight="1" x14ac:dyDescent="0.25">
      <c r="N100" s="45" t="s">
        <v>199</v>
      </c>
      <c r="O100" s="45" t="s">
        <v>199</v>
      </c>
    </row>
    <row r="101" spans="14:15" ht="16.5" hidden="1" customHeight="1" x14ac:dyDescent="0.25">
      <c r="N101" s="45" t="s">
        <v>200</v>
      </c>
      <c r="O101" s="45" t="s">
        <v>200</v>
      </c>
    </row>
    <row r="102" spans="14:15" ht="16.5" hidden="1" customHeight="1" x14ac:dyDescent="0.25">
      <c r="N102" s="45" t="s">
        <v>167</v>
      </c>
      <c r="O102" s="45" t="s">
        <v>167</v>
      </c>
    </row>
    <row r="103" spans="14:15" ht="16.5" hidden="1" customHeight="1" x14ac:dyDescent="0.25">
      <c r="N103" s="45" t="s">
        <v>168</v>
      </c>
      <c r="O103" s="45" t="s">
        <v>168</v>
      </c>
    </row>
    <row r="104" spans="14:15" ht="16.5" hidden="1" customHeight="1" x14ac:dyDescent="0.25">
      <c r="N104" s="45" t="s">
        <v>201</v>
      </c>
      <c r="O104" s="45" t="s">
        <v>201</v>
      </c>
    </row>
    <row r="105" spans="14:15" ht="16.5" hidden="1" customHeight="1" x14ac:dyDescent="0.25">
      <c r="N105" s="45" t="s">
        <v>98</v>
      </c>
      <c r="O105" s="45" t="s">
        <v>62</v>
      </c>
    </row>
    <row r="106" spans="14:15" ht="16.5" hidden="1" customHeight="1" x14ac:dyDescent="0.25">
      <c r="N106" s="45" t="s">
        <v>202</v>
      </c>
      <c r="O106" s="45" t="s">
        <v>202</v>
      </c>
    </row>
    <row r="107" spans="14:15" ht="16.5" hidden="1" customHeight="1" x14ac:dyDescent="0.25">
      <c r="N107" s="45" t="s">
        <v>99</v>
      </c>
      <c r="O107" s="45" t="s">
        <v>61</v>
      </c>
    </row>
    <row r="108" spans="14:15" ht="16.5" hidden="1" customHeight="1" x14ac:dyDescent="0.25">
      <c r="N108" s="45" t="s">
        <v>100</v>
      </c>
      <c r="O108" s="45" t="s">
        <v>63</v>
      </c>
    </row>
    <row r="109" spans="14:15" ht="16.5" hidden="1" customHeight="1" x14ac:dyDescent="0.25">
      <c r="N109" s="45" t="s">
        <v>203</v>
      </c>
      <c r="O109" s="45" t="s">
        <v>203</v>
      </c>
    </row>
    <row r="110" spans="14:15" ht="16.5" hidden="1" customHeight="1" x14ac:dyDescent="0.25">
      <c r="N110" s="45" t="s">
        <v>101</v>
      </c>
      <c r="O110" s="45" t="s">
        <v>60</v>
      </c>
    </row>
    <row r="111" spans="14:15" ht="16.5" hidden="1" customHeight="1" x14ac:dyDescent="0.25">
      <c r="N111" s="45" t="s">
        <v>102</v>
      </c>
      <c r="O111" s="45" t="s">
        <v>158</v>
      </c>
    </row>
    <row r="112" spans="14:15" ht="16.5" hidden="1" customHeight="1" x14ac:dyDescent="0.25">
      <c r="N112" s="45" t="s">
        <v>103</v>
      </c>
      <c r="O112" s="45" t="s">
        <v>64</v>
      </c>
    </row>
    <row r="113" spans="14:15" ht="16.5" hidden="1" customHeight="1" x14ac:dyDescent="0.25">
      <c r="N113" s="45" t="s">
        <v>114</v>
      </c>
      <c r="O113" s="45" t="s">
        <v>157</v>
      </c>
    </row>
    <row r="114" spans="14:15" ht="16.5" hidden="1" customHeight="1" x14ac:dyDescent="0.25">
      <c r="N114" s="45" t="s">
        <v>104</v>
      </c>
      <c r="O114" s="45" t="s">
        <v>64</v>
      </c>
    </row>
    <row r="115" spans="14:15" ht="16.5" hidden="1" customHeight="1" x14ac:dyDescent="0.25">
      <c r="N115" s="45" t="s">
        <v>105</v>
      </c>
      <c r="O115" s="45" t="s">
        <v>161</v>
      </c>
    </row>
    <row r="116" spans="14:15" ht="16.5" hidden="1" customHeight="1" x14ac:dyDescent="0.25">
      <c r="N116" s="45" t="s">
        <v>110</v>
      </c>
      <c r="O116" s="45" t="s">
        <v>44</v>
      </c>
    </row>
    <row r="117" spans="14:15" ht="16.5" hidden="1" customHeight="1" x14ac:dyDescent="0.25">
      <c r="N117" s="45" t="s">
        <v>25</v>
      </c>
      <c r="O117" s="45" t="s">
        <v>44</v>
      </c>
    </row>
    <row r="118" spans="14:15" ht="16.5" hidden="1" customHeight="1" x14ac:dyDescent="0.25">
      <c r="N118" s="45" t="s">
        <v>109</v>
      </c>
      <c r="O118" s="45" t="s">
        <v>44</v>
      </c>
    </row>
    <row r="119" spans="14:15" ht="16.5" hidden="1" customHeight="1" x14ac:dyDescent="0.25">
      <c r="N119" s="45" t="s">
        <v>204</v>
      </c>
      <c r="O119" s="45" t="s">
        <v>204</v>
      </c>
    </row>
    <row r="120" spans="14:15" ht="16.5" hidden="1" customHeight="1" x14ac:dyDescent="0.25">
      <c r="N120" s="45" t="s">
        <v>106</v>
      </c>
      <c r="O120" s="45" t="s">
        <v>160</v>
      </c>
    </row>
    <row r="121" spans="14:15" ht="16.5" hidden="1" customHeight="1" x14ac:dyDescent="0.25">
      <c r="N121" s="45" t="s">
        <v>169</v>
      </c>
      <c r="O121" s="45" t="s">
        <v>169</v>
      </c>
    </row>
    <row r="122" spans="14:15" ht="16.5" hidden="1" customHeight="1" x14ac:dyDescent="0.25">
      <c r="N122" s="45" t="s">
        <v>107</v>
      </c>
      <c r="O122" s="45" t="s">
        <v>62</v>
      </c>
    </row>
    <row r="123" spans="14:15" ht="16.5" hidden="1" customHeight="1" x14ac:dyDescent="0.25">
      <c r="N123" s="45" t="s">
        <v>205</v>
      </c>
      <c r="O123" s="45" t="s">
        <v>205</v>
      </c>
    </row>
    <row r="124" spans="14:15" ht="16.5" hidden="1" customHeight="1" x14ac:dyDescent="0.25">
      <c r="N124" s="45" t="s">
        <v>206</v>
      </c>
      <c r="O124" s="45" t="s">
        <v>206</v>
      </c>
    </row>
    <row r="125" spans="14:15" ht="16.5" hidden="1" customHeight="1" x14ac:dyDescent="0.25">
      <c r="N125" s="45" t="s">
        <v>170</v>
      </c>
      <c r="O125" s="45" t="s">
        <v>170</v>
      </c>
    </row>
    <row r="126" spans="14:15" ht="16.5" hidden="1" customHeight="1" x14ac:dyDescent="0.25">
      <c r="N126" s="45" t="s">
        <v>108</v>
      </c>
      <c r="O126" s="45" t="s">
        <v>160</v>
      </c>
    </row>
    <row r="127" spans="14:15" ht="16.5" hidden="1" customHeight="1" x14ac:dyDescent="0.25">
      <c r="N127" s="45" t="s">
        <v>207</v>
      </c>
      <c r="O127" s="45" t="s">
        <v>207</v>
      </c>
    </row>
  </sheetData>
  <sheetProtection algorithmName="SHA-512" hashValue="wGSoLz1UyXKOOsmRQDMMeT0nyK0xO/8oFxPMUjfniMN/+anio/cAyC6qKLNgnxF5QyDfzv0nDMMExOhxBL+BIQ==" saltValue="zy0/b8eL0Kr6UR8nNbn84A==" spinCount="100000" sheet="1" selectLockedCells="1"/>
  <sortState ref="N55:O127">
    <sortCondition ref="N55:N127"/>
  </sortState>
  <mergeCells count="1">
    <mergeCell ref="B9:E9"/>
  </mergeCells>
  <phoneticPr fontId="3" type="noConversion"/>
  <dataValidations count="2">
    <dataValidation type="list" allowBlank="1" showInputMessage="1" showErrorMessage="1" sqref="B35:C35">
      <formula1>#REF!</formula1>
    </dataValidation>
    <dataValidation type="list" allowBlank="1" showInputMessage="1" showErrorMessage="1" sqref="B34:C34">
      <formula1>$N$55:$N$127</formula1>
    </dataValidation>
  </dataValidations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AI130"/>
  <sheetViews>
    <sheetView showGridLines="0" showRowColHeaders="0" tabSelected="1" zoomScaleNormal="100" zoomScaleSheetLayoutView="90" workbookViewId="0">
      <selection activeCell="B12" sqref="B12:E12"/>
    </sheetView>
  </sheetViews>
  <sheetFormatPr defaultColWidth="0" defaultRowHeight="15" zeroHeight="1" x14ac:dyDescent="0.25"/>
  <cols>
    <col min="1" max="1" width="1.140625" style="16" customWidth="1"/>
    <col min="2" max="2" width="42.7109375" style="16" customWidth="1"/>
    <col min="3" max="23" width="9.85546875" style="16" customWidth="1"/>
    <col min="24" max="24" width="1.140625" style="16" customWidth="1"/>
    <col min="25" max="16384" width="12.28515625" style="16" hidden="1"/>
  </cols>
  <sheetData>
    <row r="1" spans="2:23" ht="6" customHeight="1" x14ac:dyDescent="0.25"/>
    <row r="2" spans="2:23" x14ac:dyDescent="0.25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2:23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2:23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2:23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2:23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2:23" x14ac:dyDescent="0.2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2:23" ht="5.25" customHeight="1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2:23" ht="18.75" x14ac:dyDescent="0.3">
      <c r="B9" s="100" t="s">
        <v>20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81"/>
      <c r="U9" s="84"/>
      <c r="V9" s="90"/>
      <c r="W9" s="93"/>
    </row>
    <row r="10" spans="2:23" ht="3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  <c r="S10" s="19"/>
      <c r="T10" s="19"/>
      <c r="U10" s="19"/>
    </row>
    <row r="11" spans="2:23" x14ac:dyDescent="0.25">
      <c r="B11" s="20" t="s">
        <v>21</v>
      </c>
      <c r="C11" s="21"/>
      <c r="D11" s="1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  <c r="S11" s="22"/>
      <c r="T11" s="22"/>
      <c r="U11" s="22"/>
    </row>
    <row r="12" spans="2:23" ht="15" customHeight="1" x14ac:dyDescent="0.25">
      <c r="B12" s="101" t="s">
        <v>164</v>
      </c>
      <c r="C12" s="102"/>
      <c r="D12" s="102"/>
      <c r="E12" s="103"/>
      <c r="F12" s="17"/>
      <c r="G12" s="23" t="s">
        <v>24</v>
      </c>
      <c r="H12" s="17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22"/>
      <c r="T12" s="22"/>
      <c r="U12" s="22"/>
    </row>
    <row r="13" spans="2:23" ht="4.5" customHeight="1" x14ac:dyDescent="0.25">
      <c r="B13" s="67"/>
      <c r="C13" s="67"/>
      <c r="D13" s="67"/>
      <c r="E13" s="6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23" ht="18.75" x14ac:dyDescent="0.3">
      <c r="B14" s="100" t="str">
        <f>VLOOKUP(AE30,AG32:AH76,2)</f>
        <v>Adelaide (C)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81"/>
      <c r="U14" s="84"/>
      <c r="V14" s="90"/>
      <c r="W14" s="93"/>
    </row>
    <row r="15" spans="2:23" ht="14.25" customHeight="1" x14ac:dyDescent="0.25">
      <c r="B15" s="94" t="s">
        <v>136</v>
      </c>
      <c r="C15" s="91" t="s">
        <v>65</v>
      </c>
      <c r="D15" s="91" t="s">
        <v>66</v>
      </c>
      <c r="E15" s="91" t="s">
        <v>67</v>
      </c>
      <c r="F15" s="91" t="s">
        <v>68</v>
      </c>
      <c r="G15" s="91" t="s">
        <v>69</v>
      </c>
      <c r="H15" s="91" t="s">
        <v>70</v>
      </c>
      <c r="I15" s="91" t="s">
        <v>71</v>
      </c>
      <c r="J15" s="91" t="s">
        <v>72</v>
      </c>
      <c r="K15" s="91" t="s">
        <v>73</v>
      </c>
      <c r="L15" s="91" t="s">
        <v>50</v>
      </c>
      <c r="M15" s="91" t="s">
        <v>2</v>
      </c>
      <c r="N15" s="91" t="s">
        <v>3</v>
      </c>
      <c r="O15" s="91" t="s">
        <v>214</v>
      </c>
      <c r="P15" s="91" t="s">
        <v>220</v>
      </c>
      <c r="Q15" s="91" t="s">
        <v>302</v>
      </c>
      <c r="R15" s="91" t="s">
        <v>317</v>
      </c>
      <c r="S15" s="91" t="s">
        <v>329</v>
      </c>
      <c r="T15" s="91" t="s">
        <v>361</v>
      </c>
      <c r="U15" s="91" t="s">
        <v>363</v>
      </c>
      <c r="V15" s="91" t="s">
        <v>390</v>
      </c>
      <c r="W15" s="91" t="s">
        <v>412</v>
      </c>
    </row>
    <row r="16" spans="2:23" ht="14.25" customHeight="1" x14ac:dyDescent="0.25">
      <c r="B16" s="95" t="s">
        <v>209</v>
      </c>
      <c r="C16" s="96">
        <f>IF(Filter!C$9&lt;=4,"np",Filter!C9)</f>
        <v>53</v>
      </c>
      <c r="D16" s="96">
        <f>IF(Filter!D$9&lt;=4,"np",Filter!D9)</f>
        <v>55</v>
      </c>
      <c r="E16" s="96">
        <f>IF(Filter!E$9&lt;=4,"np",Filter!E9)</f>
        <v>64</v>
      </c>
      <c r="F16" s="96">
        <f>IF(Filter!F$9&lt;=4,"np",Filter!F9)</f>
        <v>62</v>
      </c>
      <c r="G16" s="96">
        <f>IF(Filter!G$9&lt;=4,"np",Filter!G9)</f>
        <v>58</v>
      </c>
      <c r="H16" s="96">
        <f>IF(Filter!H$9&lt;=4,"np",Filter!H9)</f>
        <v>57</v>
      </c>
      <c r="I16" s="96">
        <f>IF(Filter!I$9&lt;=4,"np",Filter!I9)</f>
        <v>57</v>
      </c>
      <c r="J16" s="96">
        <f>IF(Filter!J$9&lt;=4,"np",Filter!J9)</f>
        <v>54</v>
      </c>
      <c r="K16" s="96">
        <f>IF(Filter!K$9&lt;=4,"np",Filter!K9)</f>
        <v>53</v>
      </c>
      <c r="L16" s="96">
        <f>IF(Filter!L$9&lt;=4,"np",Filter!L9)</f>
        <v>54</v>
      </c>
      <c r="M16" s="96">
        <f>IF(Filter!M$9&lt;=4,"np",Filter!M9)</f>
        <v>56</v>
      </c>
      <c r="N16" s="96">
        <f>IF(Filter!N$9&lt;=4,"np",Filter!N9)</f>
        <v>55</v>
      </c>
      <c r="O16" s="96">
        <f>IF(Filter!O$9&lt;=4,"np",Filter!O9)</f>
        <v>55</v>
      </c>
      <c r="P16" s="96">
        <f>IF(Filter!P$9&lt;4,"np",Filter!P9)</f>
        <v>53</v>
      </c>
      <c r="Q16" s="96">
        <f>IF(Filter!Q$9&lt;4,"np",Filter!Q9)</f>
        <v>52</v>
      </c>
      <c r="R16" s="96">
        <f>IF(Filter!R$9&lt;4,"np",Filter!R9)</f>
        <v>51</v>
      </c>
      <c r="S16" s="96">
        <f>IF(Filter!S$9&lt;4,"np",Filter!S9)</f>
        <v>44</v>
      </c>
      <c r="T16" s="96">
        <f>IF(Filter!T$9&lt;4,"np",Filter!T9)</f>
        <v>42</v>
      </c>
      <c r="U16" s="96">
        <f>IF(Filter!U$9&lt;4,"np",Filter!U9)</f>
        <v>40</v>
      </c>
      <c r="V16" s="96">
        <f>IF(Filter!V$9&lt;4,"np",Filter!V9)</f>
        <v>36</v>
      </c>
      <c r="W16" s="96">
        <f>IF(Filter!W$9&lt;3,"np",Filter!W9)</f>
        <v>37</v>
      </c>
    </row>
    <row r="17" spans="2:35" ht="14.25" customHeight="1" x14ac:dyDescent="0.25">
      <c r="B17" s="95" t="s">
        <v>137</v>
      </c>
      <c r="C17" s="96">
        <f>IF(Filter!C$9&lt;=4,"np",Filter!C10)</f>
        <v>1004</v>
      </c>
      <c r="D17" s="96">
        <f>IF(Filter!D$9&lt;=4,"np",Filter!D10)</f>
        <v>1133</v>
      </c>
      <c r="E17" s="96">
        <f>IF(Filter!E$9&lt;=4,"np",Filter!E10)</f>
        <v>1368</v>
      </c>
      <c r="F17" s="96">
        <f>IF(Filter!F$9&lt;=4,"np",Filter!F10)</f>
        <v>1449</v>
      </c>
      <c r="G17" s="96">
        <f>IF(Filter!G$9&lt;=4,"np",Filter!G10)</f>
        <v>1398</v>
      </c>
      <c r="H17" s="96">
        <f>IF(Filter!H$9&lt;=4,"np",Filter!H10)</f>
        <v>1400</v>
      </c>
      <c r="I17" s="96">
        <f>IF(Filter!I$9&lt;=4,"np",Filter!I10)</f>
        <v>1305</v>
      </c>
      <c r="J17" s="96">
        <f>IF(Filter!J$9&lt;=4,"np",Filter!J10)</f>
        <v>1083</v>
      </c>
      <c r="K17" s="96">
        <f>IF(Filter!K$9&lt;=4,"np",Filter!K10)</f>
        <v>1075</v>
      </c>
      <c r="L17" s="96">
        <f>IF(Filter!L$9&lt;=4,"np",Filter!L10)</f>
        <v>1077</v>
      </c>
      <c r="M17" s="96">
        <f>IF(Filter!M$9&lt;=4,"np",Filter!M10)</f>
        <v>1138</v>
      </c>
      <c r="N17" s="96">
        <f>IF(Filter!N$9&lt;=4,"np",Filter!N10)</f>
        <v>1135</v>
      </c>
      <c r="O17" s="96">
        <f>IF(Filter!O$9&lt;=4,"np",Filter!O10)</f>
        <v>1136</v>
      </c>
      <c r="P17" s="96">
        <f>IF(Filter!P$9&lt;4,"np",Filter!P10)</f>
        <v>1098</v>
      </c>
      <c r="Q17" s="96">
        <f>IF(Filter!Q$9&lt;4,"np",Filter!Q10)</f>
        <v>1030</v>
      </c>
      <c r="R17" s="96">
        <f>IF(Filter!R$9&lt;4,"np",Filter!R10)</f>
        <v>1016</v>
      </c>
      <c r="S17" s="96">
        <f>IF(Filter!S$9&lt;4,"np",Filter!S10)</f>
        <v>918</v>
      </c>
      <c r="T17" s="96">
        <f>IF(Filter!T$9&lt;4,"np",Filter!T10)</f>
        <v>899</v>
      </c>
      <c r="U17" s="96">
        <f>IF(Filter!U$9&lt;4,"np",Filter!U10)</f>
        <v>851</v>
      </c>
      <c r="V17" s="96">
        <f>IF(Filter!V$9&lt;4,"np",Filter!V10)</f>
        <v>785</v>
      </c>
      <c r="W17" s="96">
        <f>IF(Filter!W$9&lt;3,"np",Filter!W10)</f>
        <v>790</v>
      </c>
    </row>
    <row r="18" spans="2:35" ht="14.25" customHeight="1" x14ac:dyDescent="0.25">
      <c r="B18" s="95" t="s">
        <v>330</v>
      </c>
      <c r="C18" s="96">
        <f>IF(Filter!C$9&lt;=4,"np",Filter!C11)</f>
        <v>22926.089199999999</v>
      </c>
      <c r="D18" s="96">
        <f>IF(Filter!D$9&lt;=4,"np",Filter!D11)</f>
        <v>28660.149879999997</v>
      </c>
      <c r="E18" s="96">
        <f>IF(Filter!E$9&lt;=4,"np",Filter!E11)</f>
        <v>33669.929680000001</v>
      </c>
      <c r="F18" s="96">
        <f>IF(Filter!F$9&lt;=4,"np",Filter!F11)</f>
        <v>37521.552619999995</v>
      </c>
      <c r="G18" s="96">
        <f>IF(Filter!G$9&lt;=4,"np",Filter!G11)</f>
        <v>39311.197180000003</v>
      </c>
      <c r="H18" s="96">
        <f>IF(Filter!H$9&lt;=4,"np",Filter!H11)</f>
        <v>40780.757880000005</v>
      </c>
      <c r="I18" s="96">
        <f>IF(Filter!I$9&lt;=4,"np",Filter!I11)</f>
        <v>41160.91042</v>
      </c>
      <c r="J18" s="96">
        <f>IF(Filter!J$9&lt;=4,"np",Filter!J11)</f>
        <v>38710.341260000001</v>
      </c>
      <c r="K18" s="96">
        <f>IF(Filter!K$9&lt;=4,"np",Filter!K11)</f>
        <v>40020.325109999998</v>
      </c>
      <c r="L18" s="96">
        <f>IF(Filter!L$9&lt;=4,"np",Filter!L11)</f>
        <v>36838.674950000001</v>
      </c>
      <c r="M18" s="96">
        <f>IF(Filter!M$9&lt;=4,"np",Filter!M11)</f>
        <v>35112.065020000002</v>
      </c>
      <c r="N18" s="96">
        <f>IF(Filter!N$9&lt;=4,"np",Filter!N11)</f>
        <v>33805.415679999998</v>
      </c>
      <c r="O18" s="96">
        <f>IF(Filter!O$9&lt;=4,"np",Filter!O11)</f>
        <v>32815.06192</v>
      </c>
      <c r="P18" s="96">
        <f>IF(Filter!P$9&lt;4,"np",Filter!P11)</f>
        <v>31893.48187</v>
      </c>
      <c r="Q18" s="96">
        <f>IF(Filter!Q$9&lt;4,"np",Filter!Q11)</f>
        <v>29543.79809</v>
      </c>
      <c r="R18" s="96">
        <f>IF(Filter!R$9&lt;4,"np",Filter!R11)</f>
        <v>28684.76859</v>
      </c>
      <c r="S18" s="96">
        <f>IF(Filter!S$9&lt;4,"np",Filter!S11)</f>
        <v>27754.690119999999</v>
      </c>
      <c r="T18" s="96">
        <f>IF(Filter!T$9&lt;4,"np",Filter!T11)</f>
        <v>26527.940329999998</v>
      </c>
      <c r="U18" s="96">
        <f>IF(Filter!U$9&lt;4,"np",Filter!U11)</f>
        <v>24221.672180000001</v>
      </c>
      <c r="V18" s="96">
        <f>IF(Filter!V$9&lt;4,"np",Filter!V11)</f>
        <v>23460.276010000001</v>
      </c>
      <c r="W18" s="96">
        <f>IF(Filter!W$9&lt;3,"np",Filter!W11)</f>
        <v>22031.14229</v>
      </c>
    </row>
    <row r="19" spans="2:35" ht="14.25" customHeight="1" x14ac:dyDescent="0.25">
      <c r="B19" s="95" t="s">
        <v>331</v>
      </c>
      <c r="C19" s="96">
        <f>IF(Filter!C$9&lt;=4,"np",Filter!C12)</f>
        <v>9410.4656899999991</v>
      </c>
      <c r="D19" s="96">
        <f>IF(Filter!D$9&lt;=4,"np",Filter!D12)</f>
        <v>12005.06963</v>
      </c>
      <c r="E19" s="96">
        <f>IF(Filter!E$9&lt;=4,"np",Filter!E12)</f>
        <v>11245.54025</v>
      </c>
      <c r="F19" s="96">
        <f>IF(Filter!F$9&lt;=4,"np",Filter!F12)</f>
        <v>12524.903490000001</v>
      </c>
      <c r="G19" s="96">
        <f>IF(Filter!G$9&lt;=4,"np",Filter!G12)</f>
        <v>12946.255090000001</v>
      </c>
      <c r="H19" s="96">
        <f>IF(Filter!H$9&lt;=4,"np",Filter!H12)</f>
        <v>13530.354869999999</v>
      </c>
      <c r="I19" s="96">
        <f>IF(Filter!I$9&lt;=4,"np",Filter!I12)</f>
        <v>13676.58331</v>
      </c>
      <c r="J19" s="96">
        <f>IF(Filter!J$9&lt;=4,"np",Filter!J12)</f>
        <v>12676.903880000002</v>
      </c>
      <c r="K19" s="96">
        <f>IF(Filter!K$9&lt;=4,"np",Filter!K12)</f>
        <v>13175.86814</v>
      </c>
      <c r="L19" s="96">
        <f>IF(Filter!L$9&lt;=4,"np",Filter!L12)</f>
        <v>11856.630349999999</v>
      </c>
      <c r="M19" s="96">
        <f>IF(Filter!M$9&lt;=4,"np",Filter!M12)</f>
        <v>11204.577310000001</v>
      </c>
      <c r="N19" s="96">
        <f>IF(Filter!N$9&lt;=4,"np",Filter!N12)</f>
        <v>10612.98474</v>
      </c>
      <c r="O19" s="96">
        <f>IF(Filter!O$9&lt;=4,"np",Filter!O12)</f>
        <v>10201.64588</v>
      </c>
      <c r="P19" s="96">
        <f>IF(Filter!P$9&lt;4,"np",Filter!P12)</f>
        <v>9879.6207400000003</v>
      </c>
      <c r="Q19" s="96">
        <f>IF(Filter!Q$9&lt;4,"np",Filter!Q12)</f>
        <v>9023.0329499999989</v>
      </c>
      <c r="R19" s="96">
        <f>IF(Filter!R$9&lt;4,"np",Filter!R12)</f>
        <v>8900.3786199999995</v>
      </c>
      <c r="S19" s="96">
        <f>IF(Filter!S$9&lt;4,"np",Filter!S12)</f>
        <v>8750.2156099999993</v>
      </c>
      <c r="T19" s="96">
        <f>IF(Filter!T$9&lt;4,"np",Filter!T12)</f>
        <v>8485.1089200000006</v>
      </c>
      <c r="U19" s="96">
        <f>IF(Filter!U$9&lt;4,"np",Filter!U12)</f>
        <v>7699.1899199999998</v>
      </c>
      <c r="V19" s="96">
        <f>IF(Filter!V$9&lt;4,"np",Filter!V12)</f>
        <v>7458.57942</v>
      </c>
      <c r="W19" s="96">
        <f>IF(Filter!W$9&lt;3,"np",Filter!W12)</f>
        <v>6938.9121500000001</v>
      </c>
    </row>
    <row r="20" spans="2:35" ht="14.25" customHeight="1" x14ac:dyDescent="0.25">
      <c r="B20" s="95" t="s">
        <v>332</v>
      </c>
      <c r="C20" s="96">
        <f>IF(Filter!C$9&lt;=4,"np",Filter!C13)</f>
        <v>1991.3458294587722</v>
      </c>
      <c r="D20" s="96">
        <f>IF(Filter!D$9&lt;=4,"np",Filter!D13)</f>
        <v>2466.1955189805108</v>
      </c>
      <c r="E20" s="96">
        <f>IF(Filter!E$9&lt;=4,"np",Filter!E13)</f>
        <v>2839.4212043342586</v>
      </c>
      <c r="F20" s="96">
        <f>IF(Filter!F$9&lt;=4,"np",Filter!F13)</f>
        <v>3041.6400457907748</v>
      </c>
      <c r="G20" s="96">
        <f>IF(Filter!G$9&lt;=4,"np",Filter!G13)</f>
        <v>3027.7271403309405</v>
      </c>
      <c r="H20" s="96">
        <f>IF(Filter!H$9&lt;=4,"np",Filter!H13)</f>
        <v>2947.6118932979789</v>
      </c>
      <c r="I20" s="96">
        <f>IF(Filter!I$9&lt;=4,"np",Filter!I13)</f>
        <v>2776.9008340908022</v>
      </c>
      <c r="J20" s="96">
        <f>IF(Filter!J$9&lt;=4,"np",Filter!J13)</f>
        <v>2459.9573658626291</v>
      </c>
      <c r="K20" s="96">
        <f>IF(Filter!K$9&lt;=4,"np",Filter!K13)</f>
        <v>2398.8968466705824</v>
      </c>
      <c r="L20" s="96">
        <f>IF(Filter!L$9&lt;=4,"np",Filter!L13)</f>
        <v>2105.2221393645718</v>
      </c>
      <c r="M20" s="96">
        <f>IF(Filter!M$9&lt;=4,"np",Filter!M13)</f>
        <v>1935.3193320318555</v>
      </c>
      <c r="N20" s="96">
        <f>IF(Filter!N$9&lt;=4,"np",Filter!N13)</f>
        <v>1801.8803300712327</v>
      </c>
      <c r="O20" s="96">
        <f>IF(Filter!O$9&lt;=4,"np",Filter!O13)</f>
        <v>1705.5505395083362</v>
      </c>
      <c r="P20" s="96">
        <f>IF(Filter!P$9&lt;4,"np",Filter!P13)</f>
        <v>1616.789654025599</v>
      </c>
      <c r="Q20" s="96">
        <f>IF(Filter!Q$9&lt;4,"np",Filter!Q13)</f>
        <v>1454.2559742624671</v>
      </c>
      <c r="R20" s="96">
        <f>IF(Filter!R$9&lt;4,"np",Filter!R13)</f>
        <v>1376.2831350876572</v>
      </c>
      <c r="S20" s="96">
        <f>IF(Filter!S$9&lt;4,"np",Filter!S13)</f>
        <v>1302.8855436724875</v>
      </c>
      <c r="T20" s="96">
        <f>IF(Filter!T$9&lt;4,"np",Filter!T13)</f>
        <v>1219.2759946482306</v>
      </c>
      <c r="U20" s="96">
        <f>IF(Filter!U$9&lt;4,"np",Filter!U13)</f>
        <v>1085.6415201821303</v>
      </c>
      <c r="V20" s="96">
        <f>IF(Filter!V$9&lt;4,"np",Filter!V13)</f>
        <v>1024.8850623716132</v>
      </c>
      <c r="W20" s="96">
        <f>IF(Filter!W$9&lt;3,"np",Filter!W13)</f>
        <v>939.62615832826259</v>
      </c>
    </row>
    <row r="21" spans="2:35" ht="14.25" customHeight="1" x14ac:dyDescent="0.25">
      <c r="B21" s="95" t="s">
        <v>333</v>
      </c>
      <c r="C21" s="96">
        <f>IF(Filter!C$9&lt;=4,"np",Filter!C14)</f>
        <v>817.38718896053001</v>
      </c>
      <c r="D21" s="96">
        <f>IF(Filter!D$9&lt;=4,"np",Filter!D14)</f>
        <v>1033.0318944778326</v>
      </c>
      <c r="E21" s="96">
        <f>IF(Filter!E$9&lt;=4,"np",Filter!E14)</f>
        <v>948.3484445472825</v>
      </c>
      <c r="F21" s="96">
        <f>IF(Filter!F$9&lt;=4,"np",Filter!F14)</f>
        <v>1015.316407896786</v>
      </c>
      <c r="G21" s="96">
        <f>IF(Filter!G$9&lt;=4,"np",Filter!G14)</f>
        <v>997.11356339925601</v>
      </c>
      <c r="H21" s="96">
        <f>IF(Filter!H$9&lt;=4,"np",Filter!H14)</f>
        <v>977.96698758542595</v>
      </c>
      <c r="I21" s="96">
        <f>IF(Filter!I$9&lt;=4,"np",Filter!I14)</f>
        <v>922.68405177446368</v>
      </c>
      <c r="J21" s="96">
        <f>IF(Filter!J$9&lt;=4,"np",Filter!J14)</f>
        <v>805.58946423347936</v>
      </c>
      <c r="K21" s="96">
        <f>IF(Filter!K$9&lt;=4,"np",Filter!K14)</f>
        <v>789.78740043507344</v>
      </c>
      <c r="L21" s="96">
        <f>IF(Filter!L$9&lt;=4,"np",Filter!L14)</f>
        <v>677.57162126380751</v>
      </c>
      <c r="M21" s="96">
        <f>IF(Filter!M$9&lt;=4,"np",Filter!M14)</f>
        <v>617.5778913298584</v>
      </c>
      <c r="N21" s="96">
        <f>IF(Filter!N$9&lt;=4,"np",Filter!N14)</f>
        <v>565.68830945232014</v>
      </c>
      <c r="O21" s="96">
        <f>IF(Filter!O$9&lt;=4,"np",Filter!O14)</f>
        <v>530.2267195754539</v>
      </c>
      <c r="P21" s="96">
        <f>IF(Filter!P$9&lt;4,"np",Filter!P14)</f>
        <v>500.83175813907246</v>
      </c>
      <c r="Q21" s="96">
        <f>IF(Filter!Q$9&lt;4,"np",Filter!Q14)</f>
        <v>444.14734806714188</v>
      </c>
      <c r="R21" s="96">
        <f>IF(Filter!R$9&lt;4,"np",Filter!R14)</f>
        <v>427.03642360465545</v>
      </c>
      <c r="S21" s="96">
        <f>IF(Filter!S$9&lt;4,"np",Filter!S14)</f>
        <v>410.76046509599206</v>
      </c>
      <c r="T21" s="96">
        <f>IF(Filter!T$9&lt;4,"np",Filter!T14)</f>
        <v>389.99219273845426</v>
      </c>
      <c r="U21" s="96">
        <f>IF(Filter!U$9&lt;4,"np",Filter!U14)</f>
        <v>345.08601168425747</v>
      </c>
      <c r="V21" s="96">
        <f>IF(Filter!V$9&lt;4,"np",Filter!V14)</f>
        <v>325.8353239668611</v>
      </c>
      <c r="W21" s="96">
        <f>IF(Filter!W$9&lt;3,"np",Filter!W14)</f>
        <v>295.94395427427497</v>
      </c>
    </row>
    <row r="22" spans="2:35" ht="14.25" customHeight="1" x14ac:dyDescent="0.25">
      <c r="B22" s="95" t="s">
        <v>124</v>
      </c>
      <c r="C22" s="97">
        <f>IF(Filter!C$9&lt;=4,"np",Filter!C15)</f>
        <v>86.954074978050286</v>
      </c>
      <c r="D22" s="97">
        <f>IF(Filter!D$9&lt;=4,"np",Filter!D15)</f>
        <v>96.870112904354215</v>
      </c>
      <c r="E22" s="97">
        <f>IF(Filter!E$9&lt;=4,"np",Filter!E15)</f>
        <v>113.81052881527206</v>
      </c>
      <c r="F22" s="97">
        <f>IF(Filter!F$9&lt;=4,"np",Filter!F15)</f>
        <v>114.52785234586511</v>
      </c>
      <c r="G22" s="97">
        <f>IF(Filter!G$9&lt;=4,"np",Filter!G15)</f>
        <v>104.99027178128422</v>
      </c>
      <c r="H22" s="97">
        <f>IF(Filter!H$9&lt;=4,"np",Filter!H15)</f>
        <v>97.527999708545224</v>
      </c>
      <c r="I22" s="97">
        <f>IF(Filter!I$9&lt;=4,"np",Filter!I15)</f>
        <v>85.347878411356191</v>
      </c>
      <c r="J22" s="97">
        <f>IF(Filter!J$9&lt;=4,"np",Filter!J15)</f>
        <v>66.92619320716426</v>
      </c>
      <c r="K22" s="97">
        <f>IF(Filter!K$9&lt;=4,"np",Filter!K15)</f>
        <v>62.559641777467952</v>
      </c>
      <c r="L22" s="97">
        <f>IF(Filter!L$9&lt;=4,"np",Filter!L15)</f>
        <v>60.458674687939777</v>
      </c>
      <c r="M22" s="97">
        <f>IF(Filter!M$9&lt;=4,"np",Filter!M15)</f>
        <v>61.607653230647166</v>
      </c>
      <c r="N22" s="97">
        <f>IF(Filter!N$9&lt;=4,"np",Filter!N15)</f>
        <v>59.578035197436314</v>
      </c>
      <c r="O22" s="97">
        <f>IF(Filter!O$9&lt;=4,"np",Filter!O15)</f>
        <v>58.467279107017227</v>
      </c>
      <c r="P22" s="97">
        <f>IF(Filter!P$9&lt;4,"np",Filter!P15)</f>
        <v>54.836440585005349</v>
      </c>
      <c r="Q22" s="97">
        <f>IF(Filter!Q$9&lt;4,"np",Filter!Q15)</f>
        <v>49.981494298623112</v>
      </c>
      <c r="R22" s="97">
        <f>IF(Filter!R$9&lt;4,"np",Filter!R15)</f>
        <v>48.204722423251681</v>
      </c>
      <c r="S22" s="97">
        <f>IF(Filter!S$9&lt;4,"np",Filter!S15)</f>
        <v>42.64177986881171</v>
      </c>
      <c r="T22" s="97">
        <f>IF(Filter!T$9&lt;4,"np",Filter!T15)</f>
        <v>40.889530363147934</v>
      </c>
      <c r="U22" s="97">
        <f>IF(Filter!U$9&lt;4,"np",Filter!U15)</f>
        <v>37.595326438860177</v>
      </c>
      <c r="V22" s="97">
        <f>IF(Filter!V$9&lt;4,"np",Filter!V15)</f>
        <v>33.915895095883528</v>
      </c>
      <c r="W22" s="97">
        <f>IF(Filter!W$9&lt;3,"np",Filter!W15)</f>
        <v>33.266056111661896</v>
      </c>
    </row>
    <row r="23" spans="2:35" ht="14.25" customHeight="1" x14ac:dyDescent="0.25">
      <c r="B23" s="95" t="s">
        <v>334</v>
      </c>
      <c r="C23" s="96">
        <f>IF(Filter!C$9&lt;=4,"np",Filter!C16)</f>
        <v>26022.802724177072</v>
      </c>
      <c r="D23" s="96">
        <f>IF(Filter!D$9&lt;=4,"np",Filter!D16)</f>
        <v>26822.788844174076</v>
      </c>
      <c r="E23" s="96">
        <f>IF(Filter!E$9&lt;=4,"np",Filter!E16)</f>
        <v>26925.173674530186</v>
      </c>
      <c r="F23" s="96">
        <f>IF(Filter!F$9&lt;=4,"np",Filter!F16)</f>
        <v>26639.369982250621</v>
      </c>
      <c r="G23" s="96">
        <f>IF(Filter!G$9&lt;=4,"np",Filter!G16)</f>
        <v>27615.874380049176</v>
      </c>
      <c r="H23" s="96">
        <f>IF(Filter!H$9&lt;=4,"np",Filter!H16)</f>
        <v>29149.934152966405</v>
      </c>
      <c r="I23" s="96">
        <f>IF(Filter!I$9&lt;=4,"np",Filter!I16)</f>
        <v>30433.205486136783</v>
      </c>
      <c r="J23" s="96">
        <f>IF(Filter!J$9&lt;=4,"np",Filter!J16)</f>
        <v>32420.72132328308</v>
      </c>
      <c r="K23" s="96">
        <f>IF(Filter!K$9&lt;=4,"np",Filter!K16)</f>
        <v>37090.199360519</v>
      </c>
      <c r="L23" s="96">
        <f>IF(Filter!L$9&lt;=4,"np",Filter!L16)</f>
        <v>34236.68675650558</v>
      </c>
      <c r="M23" s="96">
        <f>IF(Filter!M$9&lt;=4,"np",Filter!M16)</f>
        <v>31703.896180586911</v>
      </c>
      <c r="N23" s="96">
        <f>IF(Filter!N$9&lt;=4,"np",Filter!N16)</f>
        <v>29745.196374835021</v>
      </c>
      <c r="O23" s="96">
        <f>IF(Filter!O$9&lt;=4,"np",Filter!O16)</f>
        <v>28899.217895200352</v>
      </c>
      <c r="P23" s="96">
        <f>IF(Filter!P$9&lt;4,"np",Filter!P16)</f>
        <v>28552.803822739483</v>
      </c>
      <c r="Q23" s="96">
        <f>IF(Filter!Q$9&lt;4,"np",Filter!Q16)</f>
        <v>27766.72752819549</v>
      </c>
      <c r="R23" s="96">
        <f>IF(Filter!R$9&lt;4,"np",Filter!R16)</f>
        <v>28039.851994134897</v>
      </c>
      <c r="S23" s="96">
        <f>IF(Filter!S$9&lt;4,"np",Filter!S16)</f>
        <v>28701.851209927612</v>
      </c>
      <c r="T23" s="96">
        <f>IF(Filter!T$9&lt;4,"np",Filter!T16)</f>
        <v>29199.714177215188</v>
      </c>
      <c r="U23" s="96">
        <f>IF(Filter!U$9&lt;4,"np",Filter!U16)</f>
        <v>27681.911062857143</v>
      </c>
      <c r="V23" s="96">
        <f>IF(Filter!V$9&lt;4,"np",Filter!V16)</f>
        <v>28680.044022004891</v>
      </c>
      <c r="W23" s="96">
        <f>IF(Filter!W$9&lt;3,"np",Filter!W16)</f>
        <v>27976.053701587301</v>
      </c>
    </row>
    <row r="24" spans="2:35" ht="14.25" customHeight="1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35" ht="14.25" customHeight="1" x14ac:dyDescent="0.25">
      <c r="B25" s="92" t="s">
        <v>393</v>
      </c>
      <c r="C25" s="107"/>
      <c r="D25" s="107"/>
      <c r="E25" s="23" t="s">
        <v>142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35" ht="14.25" customHeight="1" x14ac:dyDescent="0.25">
      <c r="B26" s="94" t="s">
        <v>136</v>
      </c>
      <c r="C26" s="106" t="s">
        <v>135</v>
      </c>
      <c r="D26" s="106"/>
      <c r="E26" s="24" t="s">
        <v>335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2:35" ht="14.25" customHeight="1" x14ac:dyDescent="0.25">
      <c r="B27" s="98" t="s">
        <v>413</v>
      </c>
      <c r="C27" s="104">
        <f>Filter!C20</f>
        <v>10</v>
      </c>
      <c r="D27" s="104"/>
      <c r="E27" s="24" t="s">
        <v>336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 t="s">
        <v>221</v>
      </c>
      <c r="Q27" s="17"/>
    </row>
    <row r="28" spans="2:35" ht="14.25" customHeight="1" x14ac:dyDescent="0.25">
      <c r="B28" s="98" t="s">
        <v>414</v>
      </c>
      <c r="C28" s="104">
        <f>Filter!C21</f>
        <v>3</v>
      </c>
      <c r="D28" s="104"/>
      <c r="E28" s="24" t="s">
        <v>337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2:35" ht="14.25" customHeight="1" x14ac:dyDescent="0.25">
      <c r="B29" s="98" t="s">
        <v>415</v>
      </c>
      <c r="C29" s="104">
        <f>Filter!C22</f>
        <v>11</v>
      </c>
      <c r="D29" s="104"/>
      <c r="E29" s="21" t="s">
        <v>424</v>
      </c>
      <c r="F29" s="21"/>
      <c r="G29" s="17"/>
      <c r="H29" s="23"/>
      <c r="I29" s="21"/>
      <c r="J29" s="17"/>
      <c r="K29" s="17"/>
      <c r="L29" s="17"/>
      <c r="M29" s="17"/>
      <c r="N29" s="17"/>
      <c r="O29" s="17"/>
      <c r="P29" s="17"/>
      <c r="Q29" s="17"/>
    </row>
    <row r="30" spans="2:35" ht="14.25" customHeight="1" x14ac:dyDescent="0.25">
      <c r="B30" s="98" t="s">
        <v>416</v>
      </c>
      <c r="C30" s="104">
        <f>Filter!C23</f>
        <v>4</v>
      </c>
      <c r="D30" s="104"/>
      <c r="E30" s="24" t="s">
        <v>394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AD30" s="25" t="s">
        <v>141</v>
      </c>
      <c r="AE30" s="25">
        <f>VLOOKUP(B12,AE32:AF76,2)</f>
        <v>1</v>
      </c>
      <c r="AF30" s="26"/>
      <c r="AG30" s="26"/>
      <c r="AH30" s="26"/>
      <c r="AI30" s="26"/>
    </row>
    <row r="31" spans="2:35" ht="14.25" customHeight="1" x14ac:dyDescent="0.25">
      <c r="B31" s="98" t="s">
        <v>417</v>
      </c>
      <c r="C31" s="104">
        <f>Filter!C24</f>
        <v>1</v>
      </c>
      <c r="D31" s="104"/>
      <c r="E31" s="24" t="s">
        <v>338</v>
      </c>
      <c r="F31" s="17"/>
      <c r="G31" s="17"/>
      <c r="H31" s="27"/>
      <c r="I31" s="17"/>
      <c r="J31" s="17"/>
      <c r="K31" s="17"/>
      <c r="L31" s="17"/>
      <c r="M31" s="17"/>
      <c r="N31" s="17"/>
      <c r="O31" s="17"/>
      <c r="P31" s="17"/>
      <c r="Q31" s="17"/>
      <c r="AE31" s="16" t="s">
        <v>149</v>
      </c>
      <c r="AG31" s="16" t="s">
        <v>151</v>
      </c>
      <c r="AH31" s="16" t="s">
        <v>150</v>
      </c>
    </row>
    <row r="32" spans="2:35" ht="14.25" customHeight="1" x14ac:dyDescent="0.25">
      <c r="B32" s="98" t="s">
        <v>418</v>
      </c>
      <c r="C32" s="104">
        <f>Filter!C25</f>
        <v>31</v>
      </c>
      <c r="D32" s="104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AD32" s="28"/>
      <c r="AE32" s="29" t="s">
        <v>164</v>
      </c>
      <c r="AF32" s="28">
        <v>1</v>
      </c>
      <c r="AG32" s="28">
        <v>1</v>
      </c>
      <c r="AH32" s="29" t="s">
        <v>164</v>
      </c>
      <c r="AI32" s="28">
        <v>1</v>
      </c>
    </row>
    <row r="33" spans="2:35" ht="14.25" customHeight="1" x14ac:dyDescent="0.25">
      <c r="B33" s="17"/>
      <c r="C33" s="17"/>
      <c r="D33" s="17"/>
      <c r="E33" s="21" t="s">
        <v>39</v>
      </c>
      <c r="F33" s="17"/>
      <c r="G33" s="17"/>
      <c r="H33" s="21"/>
      <c r="I33" s="17"/>
      <c r="J33" s="17"/>
      <c r="K33" s="17"/>
      <c r="L33" s="17"/>
      <c r="M33" s="17"/>
      <c r="N33" s="17"/>
      <c r="O33" s="17"/>
      <c r="P33" s="17"/>
      <c r="Q33" s="17"/>
      <c r="AD33" s="28"/>
      <c r="AE33" s="29" t="s">
        <v>188</v>
      </c>
      <c r="AF33" s="28">
        <v>2</v>
      </c>
      <c r="AG33" s="28">
        <v>2</v>
      </c>
      <c r="AH33" s="29" t="s">
        <v>188</v>
      </c>
      <c r="AI33" s="28">
        <v>2</v>
      </c>
    </row>
    <row r="34" spans="2:35" ht="14.25" customHeight="1" x14ac:dyDescent="0.25">
      <c r="B34" s="92" t="s">
        <v>419</v>
      </c>
      <c r="C34" s="105"/>
      <c r="D34" s="105"/>
      <c r="E34" s="21" t="s">
        <v>40</v>
      </c>
      <c r="F34" s="17"/>
      <c r="G34" s="17"/>
      <c r="H34" s="30"/>
      <c r="I34" s="17"/>
      <c r="J34" s="17"/>
      <c r="K34" s="17"/>
      <c r="L34" s="17"/>
      <c r="M34" s="17"/>
      <c r="N34" s="17"/>
      <c r="O34" s="17"/>
      <c r="P34" s="17"/>
      <c r="Q34" s="17"/>
      <c r="AD34" s="28"/>
      <c r="AE34" s="29" t="s">
        <v>189</v>
      </c>
      <c r="AF34" s="28">
        <v>3</v>
      </c>
      <c r="AG34" s="28">
        <v>3</v>
      </c>
      <c r="AH34" s="29" t="s">
        <v>189</v>
      </c>
      <c r="AI34" s="28">
        <v>3</v>
      </c>
    </row>
    <row r="35" spans="2:35" ht="14.25" customHeight="1" x14ac:dyDescent="0.25">
      <c r="B35" s="94" t="s">
        <v>136</v>
      </c>
      <c r="C35" s="106" t="s">
        <v>133</v>
      </c>
      <c r="D35" s="106"/>
      <c r="E35" s="21" t="s">
        <v>425</v>
      </c>
      <c r="F35" s="17"/>
      <c r="G35" s="17"/>
      <c r="H35" s="30"/>
      <c r="I35" s="17"/>
      <c r="J35" s="17"/>
      <c r="K35" s="17"/>
      <c r="L35" s="17"/>
      <c r="M35" s="17"/>
      <c r="N35" s="17"/>
      <c r="O35" s="17"/>
      <c r="P35" s="17"/>
      <c r="Q35" s="17"/>
      <c r="AD35" s="28"/>
      <c r="AE35" s="29" t="s">
        <v>190</v>
      </c>
      <c r="AF35" s="28">
        <v>4</v>
      </c>
      <c r="AG35" s="28">
        <v>4</v>
      </c>
      <c r="AH35" s="29" t="s">
        <v>190</v>
      </c>
      <c r="AI35" s="28">
        <v>4</v>
      </c>
    </row>
    <row r="36" spans="2:35" ht="14.25" customHeight="1" x14ac:dyDescent="0.25">
      <c r="B36" s="98" t="s">
        <v>38</v>
      </c>
      <c r="C36" s="104">
        <f>Filter!C29</f>
        <v>742298.87121000013</v>
      </c>
      <c r="D36" s="104"/>
      <c r="E36" s="16" t="s">
        <v>426</v>
      </c>
      <c r="F36" s="21"/>
      <c r="G36" s="21"/>
      <c r="H36" s="31"/>
      <c r="I36" s="17"/>
      <c r="J36" s="17"/>
      <c r="K36" s="17"/>
      <c r="L36" s="17"/>
      <c r="M36" s="17"/>
      <c r="N36" s="17"/>
      <c r="O36" s="17"/>
      <c r="P36" s="17"/>
      <c r="Q36" s="17"/>
      <c r="AD36" s="28"/>
      <c r="AE36" s="29" t="s">
        <v>156</v>
      </c>
      <c r="AF36" s="28">
        <v>5</v>
      </c>
      <c r="AG36" s="28">
        <v>5</v>
      </c>
      <c r="AH36" s="29" t="s">
        <v>156</v>
      </c>
      <c r="AI36" s="28">
        <v>5</v>
      </c>
    </row>
    <row r="37" spans="2:35" ht="14.25" customHeight="1" x14ac:dyDescent="0.25">
      <c r="B37" s="98" t="s">
        <v>395</v>
      </c>
      <c r="C37" s="104">
        <f>Filter!C30</f>
        <v>246509.45962000001</v>
      </c>
      <c r="D37" s="104"/>
      <c r="E37" s="17" t="s">
        <v>41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AD37" s="28"/>
      <c r="AE37" s="29" t="s">
        <v>191</v>
      </c>
      <c r="AF37" s="28">
        <v>6</v>
      </c>
      <c r="AG37" s="28">
        <v>6</v>
      </c>
      <c r="AH37" s="29" t="s">
        <v>191</v>
      </c>
      <c r="AI37" s="28">
        <v>6</v>
      </c>
    </row>
    <row r="38" spans="2:35" ht="14.25" customHeight="1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AD38" s="28"/>
      <c r="AE38" s="29" t="s">
        <v>157</v>
      </c>
      <c r="AF38" s="28">
        <v>7</v>
      </c>
      <c r="AG38" s="28">
        <v>7</v>
      </c>
      <c r="AH38" s="29" t="s">
        <v>157</v>
      </c>
      <c r="AI38" s="28">
        <v>7</v>
      </c>
    </row>
    <row r="39" spans="2:35" ht="14.25" customHeight="1" x14ac:dyDescent="0.2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AD39" s="28"/>
      <c r="AE39" s="29" t="s">
        <v>158</v>
      </c>
      <c r="AF39" s="28">
        <v>8</v>
      </c>
      <c r="AG39" s="28">
        <v>8</v>
      </c>
      <c r="AH39" s="29" t="s">
        <v>158</v>
      </c>
      <c r="AI39" s="28">
        <v>8</v>
      </c>
    </row>
    <row r="40" spans="2:35" x14ac:dyDescent="0.25">
      <c r="B40" s="34" t="s">
        <v>348</v>
      </c>
      <c r="C40" s="35" t="str">
        <f>B14</f>
        <v>Adelaide (C)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AD40" s="28"/>
      <c r="AE40" s="29" t="s">
        <v>192</v>
      </c>
      <c r="AF40" s="28">
        <v>9</v>
      </c>
      <c r="AG40" s="28">
        <v>9</v>
      </c>
      <c r="AH40" s="29" t="s">
        <v>192</v>
      </c>
      <c r="AI40" s="28">
        <v>9</v>
      </c>
    </row>
    <row r="41" spans="2:35" x14ac:dyDescent="0.25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AD41" s="28"/>
      <c r="AE41" s="29" t="s">
        <v>165</v>
      </c>
      <c r="AF41" s="28">
        <v>10</v>
      </c>
      <c r="AG41" s="28">
        <v>10</v>
      </c>
      <c r="AH41" s="29" t="s">
        <v>165</v>
      </c>
      <c r="AI41" s="28">
        <v>10</v>
      </c>
    </row>
    <row r="42" spans="2:35" x14ac:dyDescent="0.25">
      <c r="B42" s="17" t="s">
        <v>345</v>
      </c>
      <c r="C42" s="17"/>
      <c r="D42" s="17"/>
      <c r="E42" s="17"/>
      <c r="F42" s="17"/>
      <c r="G42" s="17"/>
      <c r="H42" s="17" t="s">
        <v>344</v>
      </c>
      <c r="I42" s="17"/>
      <c r="J42" s="17"/>
      <c r="K42" s="17"/>
      <c r="L42" s="17"/>
      <c r="M42" s="17"/>
      <c r="N42" s="17"/>
      <c r="O42" s="17"/>
      <c r="P42" s="17"/>
      <c r="Q42" s="17"/>
      <c r="AD42" s="28"/>
      <c r="AE42" s="29" t="s">
        <v>186</v>
      </c>
      <c r="AF42" s="28">
        <v>11</v>
      </c>
      <c r="AG42" s="28">
        <v>11</v>
      </c>
      <c r="AH42" s="29" t="s">
        <v>186</v>
      </c>
      <c r="AI42" s="28">
        <v>11</v>
      </c>
    </row>
    <row r="43" spans="2:35" x14ac:dyDescent="0.25">
      <c r="AD43" s="28"/>
      <c r="AE43" s="29" t="s">
        <v>159</v>
      </c>
      <c r="AF43" s="28">
        <v>12</v>
      </c>
      <c r="AG43" s="28">
        <v>12</v>
      </c>
      <c r="AH43" s="29" t="s">
        <v>159</v>
      </c>
      <c r="AI43" s="28">
        <v>12</v>
      </c>
    </row>
    <row r="44" spans="2:35" x14ac:dyDescent="0.25">
      <c r="AD44" s="28"/>
      <c r="AE44" s="29" t="s">
        <v>193</v>
      </c>
      <c r="AF44" s="28">
        <v>13</v>
      </c>
      <c r="AG44" s="28">
        <v>13</v>
      </c>
      <c r="AH44" s="29" t="s">
        <v>193</v>
      </c>
      <c r="AI44" s="28">
        <v>13</v>
      </c>
    </row>
    <row r="45" spans="2:35" x14ac:dyDescent="0.25">
      <c r="AD45" s="28"/>
      <c r="AE45" s="29" t="s">
        <v>160</v>
      </c>
      <c r="AF45" s="28">
        <v>14</v>
      </c>
      <c r="AG45" s="28">
        <v>14</v>
      </c>
      <c r="AH45" s="29" t="s">
        <v>160</v>
      </c>
      <c r="AI45" s="28">
        <v>14</v>
      </c>
    </row>
    <row r="46" spans="2:35" x14ac:dyDescent="0.25">
      <c r="AD46" s="28"/>
      <c r="AE46" s="29" t="s">
        <v>161</v>
      </c>
      <c r="AF46" s="28">
        <v>15</v>
      </c>
      <c r="AG46" s="28">
        <v>15</v>
      </c>
      <c r="AH46" s="29" t="s">
        <v>161</v>
      </c>
      <c r="AI46" s="28">
        <v>15</v>
      </c>
    </row>
    <row r="47" spans="2:35" x14ac:dyDescent="0.25">
      <c r="AD47" s="28"/>
      <c r="AE47" s="29" t="s">
        <v>422</v>
      </c>
      <c r="AF47" s="28">
        <v>17</v>
      </c>
      <c r="AG47" s="28">
        <v>16</v>
      </c>
      <c r="AH47" s="29" t="s">
        <v>194</v>
      </c>
      <c r="AI47" s="28">
        <v>16</v>
      </c>
    </row>
    <row r="48" spans="2:35" x14ac:dyDescent="0.25">
      <c r="AD48" s="28"/>
      <c r="AE48" s="29" t="s">
        <v>194</v>
      </c>
      <c r="AF48" s="28">
        <v>16</v>
      </c>
      <c r="AG48" s="28">
        <v>17</v>
      </c>
      <c r="AH48" s="29" t="s">
        <v>422</v>
      </c>
      <c r="AI48" s="28">
        <v>17</v>
      </c>
    </row>
    <row r="49" spans="2:35" x14ac:dyDescent="0.25">
      <c r="AD49" s="28"/>
      <c r="AE49" s="29" t="s">
        <v>195</v>
      </c>
      <c r="AF49" s="28">
        <v>18</v>
      </c>
      <c r="AG49" s="28">
        <v>18</v>
      </c>
      <c r="AH49" s="29" t="s">
        <v>195</v>
      </c>
      <c r="AI49" s="28">
        <v>18</v>
      </c>
    </row>
    <row r="50" spans="2:35" x14ac:dyDescent="0.25">
      <c r="AD50" s="28"/>
      <c r="AE50" s="29" t="s">
        <v>166</v>
      </c>
      <c r="AF50" s="28">
        <v>19</v>
      </c>
      <c r="AG50" s="28">
        <v>19</v>
      </c>
      <c r="AH50" s="29" t="s">
        <v>166</v>
      </c>
      <c r="AI50" s="28">
        <v>19</v>
      </c>
    </row>
    <row r="51" spans="2:35" x14ac:dyDescent="0.25">
      <c r="AD51" s="28"/>
      <c r="AE51" s="29" t="s">
        <v>162</v>
      </c>
      <c r="AF51" s="28">
        <v>20</v>
      </c>
      <c r="AG51" s="28">
        <v>20</v>
      </c>
      <c r="AH51" s="29" t="s">
        <v>162</v>
      </c>
      <c r="AI51" s="28">
        <v>20</v>
      </c>
    </row>
    <row r="52" spans="2:35" x14ac:dyDescent="0.25">
      <c r="AD52" s="28"/>
      <c r="AE52" s="29" t="s">
        <v>196</v>
      </c>
      <c r="AF52" s="28">
        <v>21</v>
      </c>
      <c r="AG52" s="28">
        <v>21</v>
      </c>
      <c r="AH52" s="29" t="s">
        <v>196</v>
      </c>
      <c r="AI52" s="28">
        <v>21</v>
      </c>
    </row>
    <row r="53" spans="2:35" x14ac:dyDescent="0.25">
      <c r="AD53" s="28"/>
      <c r="AE53" s="29" t="s">
        <v>163</v>
      </c>
      <c r="AF53" s="28">
        <v>22</v>
      </c>
      <c r="AG53" s="28">
        <v>22</v>
      </c>
      <c r="AH53" s="29" t="s">
        <v>163</v>
      </c>
      <c r="AI53" s="28">
        <v>22</v>
      </c>
    </row>
    <row r="54" spans="2:35" x14ac:dyDescent="0.25">
      <c r="AD54" s="28"/>
      <c r="AE54" s="29" t="s">
        <v>59</v>
      </c>
      <c r="AF54" s="28">
        <v>23</v>
      </c>
      <c r="AG54" s="28">
        <v>23</v>
      </c>
      <c r="AH54" s="29" t="s">
        <v>59</v>
      </c>
      <c r="AI54" s="28">
        <v>23</v>
      </c>
    </row>
    <row r="55" spans="2:35" x14ac:dyDescent="0.25">
      <c r="AD55" s="28"/>
      <c r="AE55" s="29" t="s">
        <v>60</v>
      </c>
      <c r="AF55" s="28">
        <v>24</v>
      </c>
      <c r="AG55" s="28">
        <v>24</v>
      </c>
      <c r="AH55" s="29" t="s">
        <v>60</v>
      </c>
      <c r="AI55" s="28">
        <v>24</v>
      </c>
    </row>
    <row r="56" spans="2:35" x14ac:dyDescent="0.25">
      <c r="AD56" s="28"/>
      <c r="AE56" s="29" t="s">
        <v>61</v>
      </c>
      <c r="AF56" s="28">
        <v>25</v>
      </c>
      <c r="AG56" s="28">
        <v>25</v>
      </c>
      <c r="AH56" s="29" t="s">
        <v>61</v>
      </c>
      <c r="AI56" s="28">
        <v>25</v>
      </c>
    </row>
    <row r="57" spans="2:35" x14ac:dyDescent="0.25">
      <c r="AD57" s="28"/>
      <c r="AE57" s="29" t="s">
        <v>197</v>
      </c>
      <c r="AF57" s="28">
        <v>26</v>
      </c>
      <c r="AG57" s="28">
        <v>26</v>
      </c>
      <c r="AH57" s="29" t="s">
        <v>197</v>
      </c>
      <c r="AI57" s="28">
        <v>26</v>
      </c>
    </row>
    <row r="58" spans="2:35" x14ac:dyDescent="0.25">
      <c r="AD58" s="28"/>
      <c r="AE58" s="29" t="s">
        <v>198</v>
      </c>
      <c r="AF58" s="28">
        <v>27</v>
      </c>
      <c r="AG58" s="28">
        <v>27</v>
      </c>
      <c r="AH58" s="29" t="s">
        <v>198</v>
      </c>
      <c r="AI58" s="28">
        <v>27</v>
      </c>
    </row>
    <row r="59" spans="2:35" x14ac:dyDescent="0.25">
      <c r="AD59" s="28"/>
      <c r="AE59" s="29" t="s">
        <v>199</v>
      </c>
      <c r="AF59" s="28">
        <v>28</v>
      </c>
      <c r="AG59" s="28">
        <v>28</v>
      </c>
      <c r="AH59" s="29" t="s">
        <v>199</v>
      </c>
      <c r="AI59" s="28">
        <v>28</v>
      </c>
    </row>
    <row r="60" spans="2:35" x14ac:dyDescent="0.25">
      <c r="AD60" s="28"/>
      <c r="AE60" s="29" t="s">
        <v>200</v>
      </c>
      <c r="AF60" s="28">
        <v>29</v>
      </c>
      <c r="AG60" s="28">
        <v>29</v>
      </c>
      <c r="AH60" s="29" t="s">
        <v>200</v>
      </c>
      <c r="AI60" s="28">
        <v>29</v>
      </c>
    </row>
    <row r="61" spans="2:35" x14ac:dyDescent="0.25">
      <c r="AD61" s="28"/>
      <c r="AE61" s="29" t="s">
        <v>167</v>
      </c>
      <c r="AF61" s="28">
        <v>30</v>
      </c>
      <c r="AG61" s="28">
        <v>30</v>
      </c>
      <c r="AH61" s="29" t="s">
        <v>167</v>
      </c>
      <c r="AI61" s="28">
        <v>30</v>
      </c>
    </row>
    <row r="62" spans="2:35" x14ac:dyDescent="0.25">
      <c r="AD62" s="28"/>
      <c r="AE62" s="29" t="s">
        <v>168</v>
      </c>
      <c r="AF62" s="28">
        <v>31</v>
      </c>
      <c r="AG62" s="28">
        <v>31</v>
      </c>
      <c r="AH62" s="29" t="s">
        <v>168</v>
      </c>
      <c r="AI62" s="28">
        <v>31</v>
      </c>
    </row>
    <row r="63" spans="2:35" ht="17.25" x14ac:dyDescent="0.25">
      <c r="B63" s="16" t="s">
        <v>346</v>
      </c>
      <c r="H63" s="16" t="s">
        <v>347</v>
      </c>
      <c r="AD63" s="28"/>
      <c r="AE63" s="29" t="s">
        <v>201</v>
      </c>
      <c r="AF63" s="28">
        <v>32</v>
      </c>
      <c r="AG63" s="28">
        <v>32</v>
      </c>
      <c r="AH63" s="29" t="s">
        <v>201</v>
      </c>
      <c r="AI63" s="28">
        <v>32</v>
      </c>
    </row>
    <row r="64" spans="2:35" x14ac:dyDescent="0.25">
      <c r="AD64" s="28"/>
      <c r="AE64" s="29" t="s">
        <v>62</v>
      </c>
      <c r="AF64" s="28">
        <v>33</v>
      </c>
      <c r="AG64" s="28">
        <v>33</v>
      </c>
      <c r="AH64" s="29" t="s">
        <v>62</v>
      </c>
      <c r="AI64" s="28">
        <v>33</v>
      </c>
    </row>
    <row r="65" spans="30:35" x14ac:dyDescent="0.25">
      <c r="AD65" s="28"/>
      <c r="AE65" s="29" t="s">
        <v>202</v>
      </c>
      <c r="AF65" s="28">
        <v>34</v>
      </c>
      <c r="AG65" s="28">
        <v>34</v>
      </c>
      <c r="AH65" s="29" t="s">
        <v>202</v>
      </c>
      <c r="AI65" s="28">
        <v>34</v>
      </c>
    </row>
    <row r="66" spans="30:35" x14ac:dyDescent="0.25">
      <c r="AD66" s="28"/>
      <c r="AE66" s="29" t="s">
        <v>63</v>
      </c>
      <c r="AF66" s="28">
        <v>35</v>
      </c>
      <c r="AG66" s="28">
        <v>35</v>
      </c>
      <c r="AH66" s="29" t="s">
        <v>63</v>
      </c>
      <c r="AI66" s="28">
        <v>35</v>
      </c>
    </row>
    <row r="67" spans="30:35" x14ac:dyDescent="0.25">
      <c r="AD67" s="28"/>
      <c r="AE67" s="29" t="s">
        <v>203</v>
      </c>
      <c r="AF67" s="28">
        <v>36</v>
      </c>
      <c r="AG67" s="28">
        <v>36</v>
      </c>
      <c r="AH67" s="29" t="s">
        <v>203</v>
      </c>
      <c r="AI67" s="28">
        <v>36</v>
      </c>
    </row>
    <row r="68" spans="30:35" x14ac:dyDescent="0.25">
      <c r="AD68" s="28"/>
      <c r="AE68" s="29" t="s">
        <v>148</v>
      </c>
      <c r="AF68" s="28">
        <v>45</v>
      </c>
      <c r="AG68" s="28">
        <v>37</v>
      </c>
      <c r="AH68" s="29" t="s">
        <v>64</v>
      </c>
      <c r="AI68" s="28">
        <v>37</v>
      </c>
    </row>
    <row r="69" spans="30:35" x14ac:dyDescent="0.25">
      <c r="AD69" s="28"/>
      <c r="AE69" s="29" t="s">
        <v>64</v>
      </c>
      <c r="AF69" s="28">
        <v>37</v>
      </c>
      <c r="AG69" s="28">
        <v>38</v>
      </c>
      <c r="AH69" s="29" t="s">
        <v>44</v>
      </c>
      <c r="AI69" s="28">
        <v>38</v>
      </c>
    </row>
    <row r="70" spans="30:35" x14ac:dyDescent="0.25">
      <c r="AD70" s="28"/>
      <c r="AE70" s="29" t="s">
        <v>44</v>
      </c>
      <c r="AF70" s="28">
        <v>38</v>
      </c>
      <c r="AG70" s="28">
        <v>39</v>
      </c>
      <c r="AH70" s="29" t="s">
        <v>204</v>
      </c>
      <c r="AI70" s="28">
        <v>39</v>
      </c>
    </row>
    <row r="71" spans="30:35" x14ac:dyDescent="0.25">
      <c r="AD71" s="28"/>
      <c r="AE71" s="29" t="s">
        <v>204</v>
      </c>
      <c r="AF71" s="28">
        <v>39</v>
      </c>
      <c r="AG71" s="28">
        <v>40</v>
      </c>
      <c r="AH71" s="29" t="s">
        <v>169</v>
      </c>
      <c r="AI71" s="28">
        <v>40</v>
      </c>
    </row>
    <row r="72" spans="30:35" x14ac:dyDescent="0.25">
      <c r="AD72" s="28"/>
      <c r="AE72" s="29" t="s">
        <v>169</v>
      </c>
      <c r="AF72" s="28">
        <v>40</v>
      </c>
      <c r="AG72" s="28">
        <v>41</v>
      </c>
      <c r="AH72" s="29" t="s">
        <v>205</v>
      </c>
      <c r="AI72" s="28">
        <v>41</v>
      </c>
    </row>
    <row r="73" spans="30:35" x14ac:dyDescent="0.25">
      <c r="AD73" s="28"/>
      <c r="AE73" s="29" t="s">
        <v>205</v>
      </c>
      <c r="AF73" s="28">
        <v>41</v>
      </c>
      <c r="AG73" s="28">
        <v>42</v>
      </c>
      <c r="AH73" s="29" t="s">
        <v>206</v>
      </c>
      <c r="AI73" s="28">
        <v>42</v>
      </c>
    </row>
    <row r="74" spans="30:35" x14ac:dyDescent="0.25">
      <c r="AD74" s="28"/>
      <c r="AE74" s="29" t="s">
        <v>206</v>
      </c>
      <c r="AF74" s="28">
        <v>42</v>
      </c>
      <c r="AG74" s="28">
        <v>43</v>
      </c>
      <c r="AH74" s="29" t="s">
        <v>170</v>
      </c>
      <c r="AI74" s="28">
        <v>43</v>
      </c>
    </row>
    <row r="75" spans="30:35" x14ac:dyDescent="0.25">
      <c r="AD75" s="28"/>
      <c r="AE75" s="29" t="s">
        <v>170</v>
      </c>
      <c r="AF75" s="28">
        <v>43</v>
      </c>
      <c r="AG75" s="28">
        <v>44</v>
      </c>
      <c r="AH75" s="29" t="s">
        <v>207</v>
      </c>
      <c r="AI75" s="28">
        <v>44</v>
      </c>
    </row>
    <row r="76" spans="30:35" x14ac:dyDescent="0.25">
      <c r="AD76" s="28"/>
      <c r="AE76" s="29" t="s">
        <v>207</v>
      </c>
      <c r="AF76" s="28">
        <v>44</v>
      </c>
      <c r="AG76" s="28">
        <v>45</v>
      </c>
      <c r="AH76" s="29" t="s">
        <v>148</v>
      </c>
      <c r="AI76" s="28">
        <v>45</v>
      </c>
    </row>
    <row r="77" spans="30:35" x14ac:dyDescent="0.25">
      <c r="AD77" s="28"/>
      <c r="AE77" s="29"/>
      <c r="AF77" s="28"/>
      <c r="AG77" s="28"/>
      <c r="AH77" s="29"/>
      <c r="AI77" s="28"/>
    </row>
    <row r="78" spans="30:35" x14ac:dyDescent="0.25">
      <c r="AD78" s="28"/>
      <c r="AE78" s="29"/>
      <c r="AF78" s="28"/>
      <c r="AG78" s="28"/>
      <c r="AH78" s="29"/>
      <c r="AI78" s="28"/>
    </row>
    <row r="79" spans="30:35" x14ac:dyDescent="0.25">
      <c r="AD79" s="28"/>
      <c r="AE79" s="29"/>
      <c r="AF79" s="28"/>
      <c r="AG79" s="28"/>
      <c r="AH79" s="29"/>
      <c r="AI79" s="28"/>
    </row>
    <row r="80" spans="30:35" x14ac:dyDescent="0.25">
      <c r="AD80" s="28"/>
      <c r="AE80" s="29"/>
      <c r="AF80" s="28"/>
      <c r="AG80" s="28"/>
      <c r="AH80" s="29"/>
      <c r="AI80" s="28"/>
    </row>
    <row r="81" spans="30:35" ht="12.75" customHeight="1" x14ac:dyDescent="0.25">
      <c r="AD81" s="28"/>
      <c r="AE81" s="29"/>
      <c r="AF81" s="28"/>
      <c r="AG81" s="28"/>
      <c r="AH81" s="29"/>
      <c r="AI81" s="28"/>
    </row>
    <row r="82" spans="30:35" ht="13.5" customHeight="1" x14ac:dyDescent="0.25">
      <c r="AD82" s="28"/>
      <c r="AE82" s="29"/>
      <c r="AF82" s="28"/>
      <c r="AG82" s="28"/>
      <c r="AH82" s="29"/>
      <c r="AI82" s="28"/>
    </row>
    <row r="83" spans="30:35" ht="6" customHeight="1" x14ac:dyDescent="0.25">
      <c r="AD83" s="28"/>
      <c r="AE83" s="29"/>
      <c r="AF83" s="28"/>
      <c r="AG83" s="28"/>
      <c r="AH83" s="29"/>
      <c r="AI83" s="28"/>
    </row>
    <row r="84" spans="30:35" hidden="1" x14ac:dyDescent="0.25">
      <c r="AD84" s="28"/>
      <c r="AE84" s="29"/>
      <c r="AF84" s="28"/>
      <c r="AG84" s="28"/>
      <c r="AH84" s="29"/>
      <c r="AI84" s="28"/>
    </row>
    <row r="85" spans="30:35" hidden="1" x14ac:dyDescent="0.25">
      <c r="AD85" s="28"/>
      <c r="AE85" s="29"/>
      <c r="AF85" s="28"/>
      <c r="AG85" s="28"/>
      <c r="AH85" s="29"/>
      <c r="AI85" s="28"/>
    </row>
    <row r="86" spans="30:35" hidden="1" x14ac:dyDescent="0.25">
      <c r="AD86" s="28"/>
      <c r="AE86" s="29"/>
      <c r="AF86" s="28"/>
      <c r="AG86" s="28"/>
      <c r="AH86" s="29"/>
      <c r="AI86" s="28"/>
    </row>
    <row r="87" spans="30:35" hidden="1" x14ac:dyDescent="0.25">
      <c r="AD87" s="28"/>
      <c r="AE87" s="29"/>
      <c r="AF87" s="28"/>
      <c r="AG87" s="28"/>
      <c r="AH87" s="29"/>
      <c r="AI87" s="28"/>
    </row>
    <row r="88" spans="30:35" hidden="1" x14ac:dyDescent="0.25">
      <c r="AD88" s="25"/>
      <c r="AE88" s="29"/>
      <c r="AF88" s="28"/>
      <c r="AG88" s="28"/>
      <c r="AH88" s="29"/>
      <c r="AI88" s="28"/>
    </row>
    <row r="89" spans="30:35" hidden="1" x14ac:dyDescent="0.25"/>
    <row r="90" spans="30:35" hidden="1" x14ac:dyDescent="0.25"/>
    <row r="91" spans="30:35" hidden="1" x14ac:dyDescent="0.25"/>
    <row r="92" spans="30:35" hidden="1" x14ac:dyDescent="0.25"/>
    <row r="93" spans="30:35" hidden="1" x14ac:dyDescent="0.25"/>
    <row r="94" spans="30:35" hidden="1" x14ac:dyDescent="0.25"/>
    <row r="95" spans="30:35" hidden="1" x14ac:dyDescent="0.25"/>
    <row r="96" spans="30:35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ndhyRDH3pXRIXE0IvcZ/P7AV/jIOLo8oVJi4GIld+26EFMkM+mnPuCPz7u3//gAjF8fJuANAf6DDHUIMVU6wRg==" saltValue="RS7LJT14qU9i67hJBwaXVg==" spinCount="100000" sheet="1" selectLockedCells="1"/>
  <dataConsolidate>
    <dataRefs count="1">
      <dataRef ref="W5:W77" sheet="Output"/>
    </dataRefs>
  </dataConsolidate>
  <mergeCells count="15">
    <mergeCell ref="B14:S14"/>
    <mergeCell ref="B9:S9"/>
    <mergeCell ref="B12:E12"/>
    <mergeCell ref="C36:D36"/>
    <mergeCell ref="C37:D37"/>
    <mergeCell ref="C34:D34"/>
    <mergeCell ref="C35:D35"/>
    <mergeCell ref="C25:D25"/>
    <mergeCell ref="C26:D26"/>
    <mergeCell ref="C27:D27"/>
    <mergeCell ref="C28:D28"/>
    <mergeCell ref="C29:D29"/>
    <mergeCell ref="C30:D30"/>
    <mergeCell ref="C31:D31"/>
    <mergeCell ref="C32:D32"/>
  </mergeCells>
  <phoneticPr fontId="0" type="noConversion"/>
  <dataValidations count="1">
    <dataValidation type="list" allowBlank="1" showInputMessage="1" showErrorMessage="1" sqref="B12">
      <formula1>$AH$32:$AH$76</formula1>
    </dataValidation>
  </dataValidations>
  <pageMargins left="0.74803149606299213" right="0.74803149606299213" top="0.98425196850393704" bottom="0.98425196850393704" header="0.51181102362204722" footer="0.51181102362204722"/>
  <pageSetup paperSize="9" scale="53" orientation="landscape" r:id="rId1"/>
  <headerFooter alignWithMargins="0"/>
  <rowBreaks count="1" manualBreakCount="1">
    <brk id="39" max="16383" man="1"/>
  </rowBreaks>
  <ignoredErrors>
    <ignoredError sqref="C16 C23 C17:C22 D16:U23 C27:C32 C36:C37 V23 V16:V22 W16:W17 W18:W23" unlockedFormula="1"/>
  </ignoredErrors>
  <drawing r:id="rId2"/>
  <legacy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J76"/>
  <sheetViews>
    <sheetView showGridLines="0" workbookViewId="0">
      <selection activeCell="E18" sqref="E18"/>
    </sheetView>
  </sheetViews>
  <sheetFormatPr defaultColWidth="0" defaultRowHeight="15" x14ac:dyDescent="0.25"/>
  <cols>
    <col min="1" max="1" width="1.140625" style="47" customWidth="1"/>
    <col min="2" max="2" width="42.7109375" style="47" customWidth="1"/>
    <col min="3" max="3" width="11.140625" style="47" customWidth="1"/>
    <col min="4" max="15" width="9.28515625" style="47" customWidth="1"/>
    <col min="16" max="16" width="9.42578125" style="47" customWidth="1"/>
    <col min="17" max="23" width="8.85546875" style="47" customWidth="1"/>
    <col min="24" max="24" width="8.85546875" style="47" hidden="1" customWidth="1"/>
    <col min="25" max="25" width="24.7109375" style="47" hidden="1" customWidth="1"/>
    <col min="26" max="36" width="0" style="47" hidden="1" customWidth="1"/>
    <col min="37" max="16384" width="8.85546875" style="47" hidden="1"/>
  </cols>
  <sheetData>
    <row r="1" spans="2:36" ht="5.25" customHeight="1" x14ac:dyDescent="0.25"/>
    <row r="2" spans="2:36" x14ac:dyDescent="0.25">
      <c r="B2" s="89" t="s">
        <v>208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2:36" ht="3" customHeight="1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36" x14ac:dyDescent="0.25">
      <c r="B4" s="68" t="s">
        <v>22</v>
      </c>
      <c r="C4" s="22"/>
      <c r="D4" s="16"/>
      <c r="E4" s="22"/>
      <c r="F4" s="22"/>
      <c r="G4" s="22"/>
      <c r="H4" s="22"/>
      <c r="I4" s="22"/>
      <c r="J4" s="22"/>
      <c r="K4" s="22"/>
      <c r="L4" s="22"/>
      <c r="M4" s="16"/>
      <c r="N4" s="16"/>
      <c r="O4" s="16"/>
      <c r="P4" s="16"/>
      <c r="Q4" s="16"/>
      <c r="R4" s="16"/>
      <c r="S4" s="16"/>
      <c r="T4" s="16"/>
    </row>
    <row r="5" spans="2:36" x14ac:dyDescent="0.25">
      <c r="B5" s="108" t="str">
        <f>Output!B12</f>
        <v>Adelaide (C)</v>
      </c>
      <c r="C5" s="109"/>
      <c r="D5" s="109"/>
      <c r="E5" s="109"/>
      <c r="F5" s="110"/>
      <c r="G5" s="22"/>
      <c r="H5" s="22"/>
      <c r="I5" s="22"/>
      <c r="J5" s="22"/>
      <c r="K5" s="22"/>
      <c r="L5" s="22"/>
      <c r="M5" s="16"/>
      <c r="N5" s="16"/>
      <c r="O5" s="16"/>
      <c r="P5" s="16"/>
      <c r="Q5" s="16"/>
      <c r="R5" s="16"/>
      <c r="S5" s="16"/>
      <c r="T5" s="16"/>
    </row>
    <row r="6" spans="2:36" ht="3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2:36" x14ac:dyDescent="0.25">
      <c r="B7" s="88" t="str">
        <f>Output!B14</f>
        <v>Adelaide (C)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AB7" s="51"/>
      <c r="AC7" s="51"/>
      <c r="AD7" s="51"/>
      <c r="AE7" s="51"/>
      <c r="AF7" s="51"/>
      <c r="AG7" s="51"/>
      <c r="AH7" s="51"/>
      <c r="AI7" s="51"/>
      <c r="AJ7" s="51"/>
    </row>
    <row r="8" spans="2:36" x14ac:dyDescent="0.25">
      <c r="B8" s="82" t="s">
        <v>136</v>
      </c>
      <c r="C8" s="83" t="s">
        <v>65</v>
      </c>
      <c r="D8" s="83" t="s">
        <v>66</v>
      </c>
      <c r="E8" s="83" t="s">
        <v>67</v>
      </c>
      <c r="F8" s="83" t="s">
        <v>68</v>
      </c>
      <c r="G8" s="83" t="s">
        <v>69</v>
      </c>
      <c r="H8" s="83" t="s">
        <v>70</v>
      </c>
      <c r="I8" s="83" t="s">
        <v>71</v>
      </c>
      <c r="J8" s="83" t="s">
        <v>72</v>
      </c>
      <c r="K8" s="83" t="s">
        <v>73</v>
      </c>
      <c r="L8" s="83" t="s">
        <v>50</v>
      </c>
      <c r="M8" s="83" t="s">
        <v>2</v>
      </c>
      <c r="N8" s="83" t="s">
        <v>3</v>
      </c>
      <c r="O8" s="83" t="s">
        <v>214</v>
      </c>
      <c r="P8" s="83" t="s">
        <v>220</v>
      </c>
      <c r="Q8" s="83" t="s">
        <v>302</v>
      </c>
      <c r="R8" s="83" t="s">
        <v>317</v>
      </c>
      <c r="S8" s="83" t="s">
        <v>329</v>
      </c>
      <c r="T8" s="83" t="s">
        <v>361</v>
      </c>
      <c r="U8" s="83" t="s">
        <v>363</v>
      </c>
      <c r="V8" s="83" t="s">
        <v>390</v>
      </c>
      <c r="W8" s="83" t="s">
        <v>412</v>
      </c>
    </row>
    <row r="9" spans="2:36" x14ac:dyDescent="0.25">
      <c r="B9" s="69" t="s">
        <v>209</v>
      </c>
      <c r="C9" s="70">
        <f>VLOOKUP($Y$30,Source!$A$3:$FW$47,3)</f>
        <v>53</v>
      </c>
      <c r="D9" s="70">
        <f>VLOOKUP($Y$30,Source!$A$3:$FW$47,4)</f>
        <v>55</v>
      </c>
      <c r="E9" s="70">
        <f>VLOOKUP($Y$30,Source!$A$3:$FW$47,5)</f>
        <v>64</v>
      </c>
      <c r="F9" s="70">
        <f>VLOOKUP($Y$30,Source!$A$3:$FW$47,6)</f>
        <v>62</v>
      </c>
      <c r="G9" s="70">
        <f>VLOOKUP($Y$30,Source!$A$3:$FW$47,7)</f>
        <v>58</v>
      </c>
      <c r="H9" s="70">
        <f>VLOOKUP($Y$30,Source!$A$3:$FW$47,8)</f>
        <v>57</v>
      </c>
      <c r="I9" s="70">
        <f>VLOOKUP($Y$30,Source!$A$3:$FW$47,9)</f>
        <v>57</v>
      </c>
      <c r="J9" s="70">
        <f>VLOOKUP($Y$30,Source!$A$3:$FW$47,10)</f>
        <v>54</v>
      </c>
      <c r="K9" s="70">
        <f>VLOOKUP($Y$30,Source!$A$3:$FW$47,11)</f>
        <v>53</v>
      </c>
      <c r="L9" s="70">
        <f>VLOOKUP($Y$30,Source!$A$3:$FW$47,12)</f>
        <v>54</v>
      </c>
      <c r="M9" s="70">
        <f>VLOOKUP($Y$30,Source!$A$3:$FW$47,13)</f>
        <v>56</v>
      </c>
      <c r="N9" s="70">
        <f>VLOOKUP($Y$30,Source!$A$3:$FW$47,14)</f>
        <v>55</v>
      </c>
      <c r="O9" s="70">
        <f>VLOOKUP($Y$30,Source!$A$3:$FW$47,15)</f>
        <v>55</v>
      </c>
      <c r="P9" s="70">
        <f>VLOOKUP($Y$30,Source!$A$3:$FW$47,16)</f>
        <v>53</v>
      </c>
      <c r="Q9" s="70">
        <f>VLOOKUP($Y$30,Source!$A$3:$FW$47,17)</f>
        <v>52</v>
      </c>
      <c r="R9" s="70">
        <f>VLOOKUP($Y$30,Source!$A$3:$FW$47,18)</f>
        <v>51</v>
      </c>
      <c r="S9" s="70">
        <f>VLOOKUP($Y$30,Source!$A$3:$FW$47,19)</f>
        <v>44</v>
      </c>
      <c r="T9" s="70">
        <f>VLOOKUP($Y$30,Source!$A$3:$FW$47,20)</f>
        <v>42</v>
      </c>
      <c r="U9" s="70">
        <f>VLOOKUP($Y$30,Source!$A$3:$FW$47,21)</f>
        <v>40</v>
      </c>
      <c r="V9" s="70">
        <f>VLOOKUP($Y$30,Source!$A$3:$FW$47,22)</f>
        <v>36</v>
      </c>
      <c r="W9" s="70">
        <f>VLOOKUP($Y$30,Source!$A$3:$FW$47,23)</f>
        <v>37</v>
      </c>
    </row>
    <row r="10" spans="2:36" x14ac:dyDescent="0.25">
      <c r="B10" s="71" t="s">
        <v>137</v>
      </c>
      <c r="C10" s="72">
        <f>VLOOKUP($Y$30,Source!$A$3:$FW$47,25)</f>
        <v>1004</v>
      </c>
      <c r="D10" s="72">
        <f>VLOOKUP($Y$30,Source!$A$3:$FW$47,26)</f>
        <v>1133</v>
      </c>
      <c r="E10" s="72">
        <f>VLOOKUP($Y$30,Source!$A$3:$FW$47,27)</f>
        <v>1368</v>
      </c>
      <c r="F10" s="72">
        <f>VLOOKUP($Y$30,Source!$A$3:$FW$47,28)</f>
        <v>1449</v>
      </c>
      <c r="G10" s="72">
        <f>VLOOKUP($Y$30,Source!$A$3:$FW$47,29)</f>
        <v>1398</v>
      </c>
      <c r="H10" s="72">
        <f>VLOOKUP($Y$30,Source!$A$3:$FW$47,30)</f>
        <v>1400</v>
      </c>
      <c r="I10" s="72">
        <f>VLOOKUP($Y$30,Source!$A$3:$FW$47,31)</f>
        <v>1305</v>
      </c>
      <c r="J10" s="72">
        <f>VLOOKUP($Y$30,Source!$A$3:$FW$47,32)</f>
        <v>1083</v>
      </c>
      <c r="K10" s="72">
        <f>VLOOKUP($Y$30,Source!$A$3:$FW$47,33)</f>
        <v>1075</v>
      </c>
      <c r="L10" s="72">
        <f>VLOOKUP($Y$30,Source!$A$3:$FW$47,34)</f>
        <v>1077</v>
      </c>
      <c r="M10" s="72">
        <f>VLOOKUP($Y$30,Source!$A$3:$FW$47,35)</f>
        <v>1138</v>
      </c>
      <c r="N10" s="72">
        <f>VLOOKUP($Y$30,Source!$A$3:$FW$47,36)</f>
        <v>1135</v>
      </c>
      <c r="O10" s="72">
        <f>VLOOKUP($Y$30,Source!$A$3:$FW$47,37)</f>
        <v>1136</v>
      </c>
      <c r="P10" s="72">
        <f>VLOOKUP($Y$30,Source!$A$3:$FW$47,38)</f>
        <v>1098</v>
      </c>
      <c r="Q10" s="72">
        <f>VLOOKUP($Y$30,Source!$A$3:$FW$47,39)</f>
        <v>1030</v>
      </c>
      <c r="R10" s="72">
        <f>VLOOKUP($Y$30,Source!$A$3:$FW$47,40)</f>
        <v>1016</v>
      </c>
      <c r="S10" s="72">
        <f>VLOOKUP($Y$30,Source!$A$3:$FW$47,41)</f>
        <v>918</v>
      </c>
      <c r="T10" s="72">
        <f>VLOOKUP($Y$30,Source!$A$3:$FW$47,42)</f>
        <v>899</v>
      </c>
      <c r="U10" s="72">
        <f>VLOOKUP($Y$30,Source!$A$3:$FW$47,43)</f>
        <v>851</v>
      </c>
      <c r="V10" s="72">
        <f>VLOOKUP($Y$30,Source!$A$3:$FW$47,44)</f>
        <v>785</v>
      </c>
      <c r="W10" s="72">
        <f>VLOOKUP($Y$30,Source!$A$3:$FW$47,45)</f>
        <v>790</v>
      </c>
    </row>
    <row r="11" spans="2:36" x14ac:dyDescent="0.25">
      <c r="B11" s="73" t="s">
        <v>37</v>
      </c>
      <c r="C11" s="74">
        <f>VLOOKUP($Y$30,Source!$A$3:$FW$47,46)</f>
        <v>22926.089199999999</v>
      </c>
      <c r="D11" s="74">
        <f>VLOOKUP($Y$30,Source!$A$3:$FW$47,47)</f>
        <v>28660.149879999997</v>
      </c>
      <c r="E11" s="74">
        <f>VLOOKUP($Y$30,Source!$A$3:$FW$47,48)</f>
        <v>33669.929680000001</v>
      </c>
      <c r="F11" s="74">
        <f>VLOOKUP($Y$30,Source!$A$3:$FW$47,49)</f>
        <v>37521.552619999995</v>
      </c>
      <c r="G11" s="74">
        <f>VLOOKUP($Y$30,Source!$A$3:$FW$47,50)</f>
        <v>39311.197180000003</v>
      </c>
      <c r="H11" s="74">
        <f>VLOOKUP($Y$30,Source!$A$3:$FW$47,51)</f>
        <v>40780.757880000005</v>
      </c>
      <c r="I11" s="74">
        <f>VLOOKUP($Y$30,Source!$A$3:$FW$47,52)</f>
        <v>41160.91042</v>
      </c>
      <c r="J11" s="74">
        <f>VLOOKUP($Y$30,Source!$A$3:$FW$47,53)</f>
        <v>38710.341260000001</v>
      </c>
      <c r="K11" s="74">
        <f>VLOOKUP($Y$30,Source!$A$3:$FW$47,54)</f>
        <v>40020.325109999998</v>
      </c>
      <c r="L11" s="74">
        <f>VLOOKUP($Y$30,Source!$A$3:$FW$47,55)</f>
        <v>36838.674950000001</v>
      </c>
      <c r="M11" s="74">
        <f>VLOOKUP($Y$30,Source!$A$3:$FW$47,56)</f>
        <v>35112.065020000002</v>
      </c>
      <c r="N11" s="74">
        <f>VLOOKUP($Y$30,Source!$A$3:$FW$47,57)</f>
        <v>33805.415679999998</v>
      </c>
      <c r="O11" s="74">
        <f>VLOOKUP($Y$30,Source!$A$3:$FW$47,58)</f>
        <v>32815.06192</v>
      </c>
      <c r="P11" s="74">
        <f>VLOOKUP($Y$30,Source!$A$3:$FW$47,59)</f>
        <v>31893.48187</v>
      </c>
      <c r="Q11" s="74">
        <f>VLOOKUP($Y$30,Source!$A$3:$FW$47,60)</f>
        <v>29543.79809</v>
      </c>
      <c r="R11" s="74">
        <f>VLOOKUP($Y$30,Source!$A$3:$FW$47,61)</f>
        <v>28684.76859</v>
      </c>
      <c r="S11" s="74">
        <f>VLOOKUP($Y$30,Source!$A$3:$FW$47,62)</f>
        <v>27754.690119999999</v>
      </c>
      <c r="T11" s="74">
        <f>VLOOKUP($Y$30,Source!$A$3:$FW$47,63)</f>
        <v>26527.940329999998</v>
      </c>
      <c r="U11" s="74">
        <f>VLOOKUP($Y$30,Source!$A$3:$FW$47,64)</f>
        <v>24221.672180000001</v>
      </c>
      <c r="V11" s="74">
        <f>VLOOKUP($Y$30,Source!$A$3:$FW$47,65)</f>
        <v>23460.276010000001</v>
      </c>
      <c r="W11" s="74">
        <f>VLOOKUP($Y$30,Source!$A$3:$FW$47,66)</f>
        <v>22031.14229</v>
      </c>
    </row>
    <row r="12" spans="2:36" x14ac:dyDescent="0.25">
      <c r="B12" s="73" t="s">
        <v>130</v>
      </c>
      <c r="C12" s="74">
        <f>VLOOKUP($Y$30,Source!$A$3:$FW$47,68)</f>
        <v>9410.4656899999991</v>
      </c>
      <c r="D12" s="74">
        <f>VLOOKUP($Y$30,Source!$A$3:$FW$47,69)</f>
        <v>12005.06963</v>
      </c>
      <c r="E12" s="74">
        <f>VLOOKUP($Y$30,Source!$A$3:$FW$47,70)</f>
        <v>11245.54025</v>
      </c>
      <c r="F12" s="74">
        <f>VLOOKUP($Y$30,Source!$A$3:$FW$47,71)</f>
        <v>12524.903490000001</v>
      </c>
      <c r="G12" s="74">
        <f>VLOOKUP($Y$30,Source!$A$3:$FW$47,72)</f>
        <v>12946.255090000001</v>
      </c>
      <c r="H12" s="74">
        <f>VLOOKUP($Y$30,Source!$A$3:$FW$47,73)</f>
        <v>13530.354869999999</v>
      </c>
      <c r="I12" s="74">
        <f>VLOOKUP($Y$30,Source!$A$3:$FW$47,74)</f>
        <v>13676.58331</v>
      </c>
      <c r="J12" s="74">
        <f>VLOOKUP($Y$30,Source!$A$3:$FW$47,75)</f>
        <v>12676.903880000002</v>
      </c>
      <c r="K12" s="74">
        <f>VLOOKUP($Y$30,Source!$A$3:$FW$47,76)</f>
        <v>13175.86814</v>
      </c>
      <c r="L12" s="74">
        <f>VLOOKUP($Y$30,Source!$A$3:$FW$47,77)</f>
        <v>11856.630349999999</v>
      </c>
      <c r="M12" s="74">
        <f>VLOOKUP($Y$30,Source!$A$3:$FW$47,78)</f>
        <v>11204.577310000001</v>
      </c>
      <c r="N12" s="74">
        <f>VLOOKUP($Y$30,Source!$A$3:$FW$47,79)</f>
        <v>10612.98474</v>
      </c>
      <c r="O12" s="74">
        <f>VLOOKUP($Y$30,Source!$A$3:$FW$47,80)</f>
        <v>10201.64588</v>
      </c>
      <c r="P12" s="74">
        <f>VLOOKUP($Y$30,Source!$A$3:$FW$47,81)</f>
        <v>9879.6207400000003</v>
      </c>
      <c r="Q12" s="74">
        <f>VLOOKUP($Y$30,Source!$A$3:$FW$47,82)</f>
        <v>9023.0329499999989</v>
      </c>
      <c r="R12" s="74">
        <f>VLOOKUP($Y$30,Source!$A$3:$FW$47,83)</f>
        <v>8900.3786199999995</v>
      </c>
      <c r="S12" s="74">
        <f>VLOOKUP($Y$30,Source!$A$3:$FW$47,84)</f>
        <v>8750.2156099999993</v>
      </c>
      <c r="T12" s="74">
        <f>VLOOKUP($Y$30,Source!$A$3:$FW$47,85)</f>
        <v>8485.1089200000006</v>
      </c>
      <c r="U12" s="74">
        <f>VLOOKUP($Y$30,Source!$A$3:$FW$47,86)</f>
        <v>7699.1899199999998</v>
      </c>
      <c r="V12" s="74">
        <f>VLOOKUP($Y$30,Source!$A$3:$FW$47,87)</f>
        <v>7458.57942</v>
      </c>
      <c r="W12" s="74">
        <f>VLOOKUP($Y$30,Source!$A$3:$FW$47,88)</f>
        <v>6938.9121500000001</v>
      </c>
    </row>
    <row r="13" spans="2:36" x14ac:dyDescent="0.25">
      <c r="B13" s="73" t="s">
        <v>131</v>
      </c>
      <c r="C13" s="74">
        <f>VLOOKUP($Y$30,Source!$A$3:$FW$47,90)</f>
        <v>1991.3458294587722</v>
      </c>
      <c r="D13" s="74">
        <f>VLOOKUP($Y$30,Source!$A$3:$FW$47,91)</f>
        <v>2466.1955189805108</v>
      </c>
      <c r="E13" s="74">
        <f>VLOOKUP($Y$30,Source!$A$3:$FW$47,92)</f>
        <v>2839.4212043342586</v>
      </c>
      <c r="F13" s="74">
        <f>VLOOKUP($Y$30,Source!$A$3:$FW$47,93)</f>
        <v>3041.6400457907748</v>
      </c>
      <c r="G13" s="74">
        <f>VLOOKUP($Y$30,Source!$A$3:$FW$47,94)</f>
        <v>3027.7271403309405</v>
      </c>
      <c r="H13" s="74">
        <f>VLOOKUP($Y$30,Source!$A$3:$FW$47,95)</f>
        <v>2947.6118932979789</v>
      </c>
      <c r="I13" s="74">
        <f>VLOOKUP($Y$30,Source!$A$3:$FW$47,96)</f>
        <v>2776.9008340908022</v>
      </c>
      <c r="J13" s="74">
        <f>VLOOKUP($Y$30,Source!$A$3:$FW$47,97)</f>
        <v>2459.9573658626291</v>
      </c>
      <c r="K13" s="74">
        <f>VLOOKUP($Y$30,Source!$A$3:$FW$47,98)</f>
        <v>2398.8968466705824</v>
      </c>
      <c r="L13" s="74">
        <f>VLOOKUP($Y$30,Source!$A$3:$FW$47,99)</f>
        <v>2105.2221393645718</v>
      </c>
      <c r="M13" s="74">
        <f>VLOOKUP($Y$30,Source!$A$3:$FW$47,100)</f>
        <v>1935.3193320318555</v>
      </c>
      <c r="N13" s="74">
        <f>VLOOKUP($Y$30,Source!$A$3:$FW$47,101)</f>
        <v>1801.8803300712327</v>
      </c>
      <c r="O13" s="74">
        <f>VLOOKUP($Y$30,Source!$A$3:$FW$47,102)</f>
        <v>1705.5505395083362</v>
      </c>
      <c r="P13" s="74">
        <f>VLOOKUP($Y$30,Source!$A$3:$FW$47,103)</f>
        <v>1616.789654025599</v>
      </c>
      <c r="Q13" s="74">
        <f>VLOOKUP($Y$30,Source!$A$3:$FW$47,104)</f>
        <v>1454.2559742624671</v>
      </c>
      <c r="R13" s="74">
        <f>VLOOKUP($Y$30,Source!$A$3:$FW$47,105)</f>
        <v>1376.2831350876572</v>
      </c>
      <c r="S13" s="74">
        <f>VLOOKUP($Y$30,Source!$A$3:$FW$47,106)</f>
        <v>1302.8855436724875</v>
      </c>
      <c r="T13" s="74">
        <f>VLOOKUP($Y$30,Source!$A$3:$FW$47,107)</f>
        <v>1219.2759946482306</v>
      </c>
      <c r="U13" s="74">
        <f>VLOOKUP($Y$30,Source!$A$3:$FW$47,108)</f>
        <v>1085.6415201821303</v>
      </c>
      <c r="V13" s="74">
        <f>VLOOKUP($Y$30,Source!$A$3:$FW$47,109)</f>
        <v>1024.8850623716132</v>
      </c>
      <c r="W13" s="74">
        <f>VLOOKUP($Y$30,Source!$A$3:$FW$47,110)</f>
        <v>939.62615832826259</v>
      </c>
    </row>
    <row r="14" spans="2:36" x14ac:dyDescent="0.25">
      <c r="B14" s="73" t="s">
        <v>132</v>
      </c>
      <c r="C14" s="74">
        <f>VLOOKUP($Y$30,Source!$A$3:$FW$47,111)</f>
        <v>817.38718896053001</v>
      </c>
      <c r="D14" s="74">
        <f>VLOOKUP($Y$30,Source!$A$3:$FW$47,112)</f>
        <v>1033.0318944778326</v>
      </c>
      <c r="E14" s="74">
        <f>VLOOKUP($Y$30,Source!$A$3:$FW$47,113)</f>
        <v>948.3484445472825</v>
      </c>
      <c r="F14" s="74">
        <f>VLOOKUP($Y$30,Source!$A$3:$FW$47,114)</f>
        <v>1015.316407896786</v>
      </c>
      <c r="G14" s="74">
        <f>VLOOKUP($Y$30,Source!$A$3:$FW$47,115)</f>
        <v>997.11356339925601</v>
      </c>
      <c r="H14" s="74">
        <f>VLOOKUP($Y$30,Source!$A$3:$FW$47,116)</f>
        <v>977.96698758542595</v>
      </c>
      <c r="I14" s="74">
        <f>VLOOKUP($Y$30,Source!$A$3:$FW$47,117)</f>
        <v>922.68405177446368</v>
      </c>
      <c r="J14" s="74">
        <f>VLOOKUP($Y$30,Source!$A$3:$FW$47,118)</f>
        <v>805.58946423347936</v>
      </c>
      <c r="K14" s="74">
        <f>VLOOKUP($Y$30,Source!$A$3:$FW$47,119)</f>
        <v>789.78740043507344</v>
      </c>
      <c r="L14" s="74">
        <f>VLOOKUP($Y$30,Source!$A$3:$FW$47,120)</f>
        <v>677.57162126380751</v>
      </c>
      <c r="M14" s="74">
        <f>VLOOKUP($Y$30,Source!$A$3:$FW$47,121)</f>
        <v>617.5778913298584</v>
      </c>
      <c r="N14" s="74">
        <f>VLOOKUP($Y$30,Source!$A$3:$FW$47,122)</f>
        <v>565.68830945232014</v>
      </c>
      <c r="O14" s="74">
        <f>VLOOKUP($Y$30,Source!$A$3:$FW$47,123)</f>
        <v>530.2267195754539</v>
      </c>
      <c r="P14" s="74">
        <f>VLOOKUP($Y$30,Source!$A$3:$FW$47,124)</f>
        <v>500.83175813907246</v>
      </c>
      <c r="Q14" s="74">
        <f>VLOOKUP($Y$30,Source!$A$3:$FW$47,125)</f>
        <v>444.14734806714188</v>
      </c>
      <c r="R14" s="74">
        <f>VLOOKUP($Y$30,Source!$A$3:$FW$47,126)</f>
        <v>427.03642360465545</v>
      </c>
      <c r="S14" s="74">
        <f>VLOOKUP($Y$30,Source!$A$3:$FW$47,127)</f>
        <v>410.76046509599206</v>
      </c>
      <c r="T14" s="74">
        <f>VLOOKUP($Y$30,Source!$A$3:$FW$47,128)</f>
        <v>389.99219273845426</v>
      </c>
      <c r="U14" s="74">
        <f>VLOOKUP($Y$30,Source!$A$3:$FW$47,129)</f>
        <v>345.08601168425747</v>
      </c>
      <c r="V14" s="74">
        <f>VLOOKUP($Y$30,Source!$A$3:$FW$47,130)</f>
        <v>325.8353239668611</v>
      </c>
      <c r="W14" s="74">
        <f>VLOOKUP($Y$30,Source!$A$3:$FW$47,131)</f>
        <v>295.94395427427497</v>
      </c>
    </row>
    <row r="15" spans="2:36" ht="15" customHeight="1" x14ac:dyDescent="0.25">
      <c r="B15" s="73" t="s">
        <v>124</v>
      </c>
      <c r="C15" s="80">
        <f>VLOOKUP($Y$30,Source!$A$3:$FW$47,132)</f>
        <v>86.954074978050286</v>
      </c>
      <c r="D15" s="80">
        <f>VLOOKUP($Y$30,Source!$A$3:$FW$47,133)</f>
        <v>96.870112904354215</v>
      </c>
      <c r="E15" s="80">
        <f>VLOOKUP($Y$30,Source!$A$3:$FW$47,134)</f>
        <v>113.81052881527206</v>
      </c>
      <c r="F15" s="80">
        <f>VLOOKUP($Y$30,Source!$A$3:$FW$47,135)</f>
        <v>114.52785234586511</v>
      </c>
      <c r="G15" s="80">
        <f>VLOOKUP($Y$30,Source!$A$3:$FW$47,136)</f>
        <v>104.99027178128422</v>
      </c>
      <c r="H15" s="80">
        <f>VLOOKUP($Y$30,Source!$A$3:$FW$47,137)</f>
        <v>97.527999708545224</v>
      </c>
      <c r="I15" s="80">
        <f>VLOOKUP($Y$30,Source!$A$3:$FW$47,138)</f>
        <v>85.347878411356191</v>
      </c>
      <c r="J15" s="80">
        <f>VLOOKUP($Y$30,Source!$A$3:$FW$47,139)</f>
        <v>66.92619320716426</v>
      </c>
      <c r="K15" s="80">
        <f>VLOOKUP($Y$30,Source!$A$3:$FW$47,140)</f>
        <v>62.559641777467952</v>
      </c>
      <c r="L15" s="80">
        <f>VLOOKUP($Y$30,Source!$A$3:$FW$47,141)</f>
        <v>60.458674687939777</v>
      </c>
      <c r="M15" s="80">
        <f>VLOOKUP($Y$30,Source!$A$3:$FW$47,142)</f>
        <v>61.607653230647166</v>
      </c>
      <c r="N15" s="80">
        <f>VLOOKUP($Y$30,Source!$A$3:$FW$47,143)</f>
        <v>59.578035197436314</v>
      </c>
      <c r="O15" s="80">
        <f>VLOOKUP($Y$30,Source!$A$3:$FW$47,144)</f>
        <v>58.467279107017227</v>
      </c>
      <c r="P15" s="80">
        <f>VLOOKUP($Y$30,Source!$A$3:$FW$47,145)</f>
        <v>54.836440585005349</v>
      </c>
      <c r="Q15" s="80">
        <f>VLOOKUP($Y$30,Source!$A$3:$FW$47,146)</f>
        <v>49.981494298623112</v>
      </c>
      <c r="R15" s="80">
        <f>VLOOKUP($Y$30,Source!$A$3:$FW$47,147)</f>
        <v>48.204722423251681</v>
      </c>
      <c r="S15" s="80">
        <f>VLOOKUP($Y$30,Source!$A$3:$FW$47,148)</f>
        <v>42.64177986881171</v>
      </c>
      <c r="T15" s="80">
        <f>VLOOKUP($Y$30,Source!$A$3:$FW$47,149)</f>
        <v>40.889530363147934</v>
      </c>
      <c r="U15" s="80">
        <f>VLOOKUP($Y$30,Source!$A$3:$FW$47,150)</f>
        <v>37.595326438860177</v>
      </c>
      <c r="V15" s="80">
        <f>VLOOKUP($Y$30,Source!$A$3:$FW$47,151)</f>
        <v>33.915895095883528</v>
      </c>
      <c r="W15" s="80">
        <f>VLOOKUP($Y$30,Source!$A$3:$FW$47,152)</f>
        <v>33.266056111661896</v>
      </c>
    </row>
    <row r="16" spans="2:36" x14ac:dyDescent="0.25">
      <c r="B16" s="75" t="s">
        <v>138</v>
      </c>
      <c r="C16" s="74">
        <f>VLOOKUP($Y$30,Source!$A$3:$FW$47,153)</f>
        <v>26022.802724177072</v>
      </c>
      <c r="D16" s="74">
        <f>VLOOKUP($Y$30,Source!$A$3:$FW$47,154)</f>
        <v>26822.788844174076</v>
      </c>
      <c r="E16" s="74">
        <f>VLOOKUP($Y$30,Source!$A$3:$FW$47,155)</f>
        <v>26925.173674530186</v>
      </c>
      <c r="F16" s="74">
        <f>VLOOKUP($Y$30,Source!$A$3:$FW$47,156)</f>
        <v>26639.369982250621</v>
      </c>
      <c r="G16" s="74">
        <f>VLOOKUP($Y$30,Source!$A$3:$FW$47,157)</f>
        <v>27615.874380049176</v>
      </c>
      <c r="H16" s="74">
        <f>VLOOKUP($Y$30,Source!$A$3:$FW$47,158)</f>
        <v>29149.934152966405</v>
      </c>
      <c r="I16" s="74">
        <f>VLOOKUP($Y$30,Source!$A$3:$FW$47,159)</f>
        <v>30433.205486136783</v>
      </c>
      <c r="J16" s="74">
        <f>VLOOKUP($Y$30,Source!$A$3:$FW$47,160)</f>
        <v>32420.72132328308</v>
      </c>
      <c r="K16" s="74">
        <f>VLOOKUP($Y$30,Source!$A$3:$FW$47,161)</f>
        <v>37090.199360519</v>
      </c>
      <c r="L16" s="74">
        <f>VLOOKUP($Y$30,Source!$A$3:$FW$47,162)</f>
        <v>34236.68675650558</v>
      </c>
      <c r="M16" s="74">
        <f>VLOOKUP($Y$30,Source!$A$3:$FW$47,163)</f>
        <v>31703.896180586911</v>
      </c>
      <c r="N16" s="74">
        <f>VLOOKUP($Y$30,Source!$A$3:$FW$47,164)</f>
        <v>29745.196374835021</v>
      </c>
      <c r="O16" s="74">
        <f>VLOOKUP($Y$30,Source!$A$3:$FW$47,165)</f>
        <v>28899.217895200352</v>
      </c>
      <c r="P16" s="74">
        <f>VLOOKUP($Y$30,Source!$A$3:$FW$47,166)</f>
        <v>28552.803822739483</v>
      </c>
      <c r="Q16" s="74">
        <f>VLOOKUP($Y$30,Source!$A$3:$FW$47,167)</f>
        <v>27766.72752819549</v>
      </c>
      <c r="R16" s="74">
        <f>VLOOKUP($Y$30,Source!$A$3:$FW$47,168)</f>
        <v>28039.851994134897</v>
      </c>
      <c r="S16" s="74">
        <f>VLOOKUP($Y$30,Source!$A$3:$FW$47,169)</f>
        <v>28701.851209927612</v>
      </c>
      <c r="T16" s="74">
        <f>VLOOKUP($Y$30,Source!$A$3:$FW$47,170)</f>
        <v>29199.714177215188</v>
      </c>
      <c r="U16" s="74">
        <f>VLOOKUP($Y$30,Source!$A$3:$FW$47,171)</f>
        <v>27681.911062857143</v>
      </c>
      <c r="V16" s="74">
        <f>VLOOKUP($Y$30,Source!$A$3:$FW$47,172)</f>
        <v>28680.044022004891</v>
      </c>
      <c r="W16" s="74">
        <f>VLOOKUP($Y$30,Source!$A$3:$FW$47,173)</f>
        <v>27976.053701587301</v>
      </c>
    </row>
    <row r="18" spans="2:27" x14ac:dyDescent="0.25">
      <c r="B18" s="35" t="s">
        <v>42</v>
      </c>
      <c r="C18" s="32"/>
      <c r="D18" s="52"/>
    </row>
    <row r="19" spans="2:27" x14ac:dyDescent="0.25">
      <c r="B19" s="78" t="s">
        <v>136</v>
      </c>
      <c r="C19" s="79" t="s">
        <v>135</v>
      </c>
    </row>
    <row r="20" spans="2:27" x14ac:dyDescent="0.25">
      <c r="B20" s="76" t="s">
        <v>373</v>
      </c>
      <c r="C20" s="77">
        <f>VLOOKUP($Y$30,Source!$A$3:$FW$47,174)</f>
        <v>10</v>
      </c>
    </row>
    <row r="21" spans="2:27" ht="17.25" x14ac:dyDescent="0.25">
      <c r="B21" s="76" t="s">
        <v>374</v>
      </c>
      <c r="C21" s="77">
        <f>VLOOKUP($Y$30,Source!$A$3:$FW$47,175)</f>
        <v>3</v>
      </c>
    </row>
    <row r="22" spans="2:27" x14ac:dyDescent="0.25">
      <c r="B22" s="76" t="s">
        <v>375</v>
      </c>
      <c r="C22" s="77">
        <f>VLOOKUP($Y$30,Source!$A$3:$FW$47,176)</f>
        <v>11</v>
      </c>
    </row>
    <row r="23" spans="2:27" ht="17.25" x14ac:dyDescent="0.25">
      <c r="B23" s="76" t="s">
        <v>376</v>
      </c>
      <c r="C23" s="77">
        <f>VLOOKUP($Y$30,Source!$A$3:$FW$47,177)</f>
        <v>4</v>
      </c>
      <c r="E23" s="53"/>
      <c r="H23" s="54"/>
      <c r="I23" s="52"/>
    </row>
    <row r="24" spans="2:27" x14ac:dyDescent="0.25">
      <c r="B24" s="76" t="s">
        <v>377</v>
      </c>
      <c r="C24" s="77">
        <f>VLOOKUP($Y$30,Source!$A$3:$FW$47,178)</f>
        <v>1</v>
      </c>
      <c r="E24" s="55"/>
      <c r="F24" s="56"/>
      <c r="G24" s="56"/>
      <c r="H24" s="56"/>
      <c r="I24" s="56"/>
      <c r="J24" s="56"/>
      <c r="K24" s="56"/>
      <c r="L24" s="56"/>
      <c r="M24" s="56"/>
      <c r="N24" s="56"/>
      <c r="O24" s="56"/>
    </row>
    <row r="25" spans="2:27" x14ac:dyDescent="0.25">
      <c r="B25" s="76" t="s">
        <v>378</v>
      </c>
      <c r="C25" s="77">
        <f>VLOOKUP($Y$30,Source!$A$3:$FW$47,179)</f>
        <v>31</v>
      </c>
      <c r="E25" s="55"/>
      <c r="F25" s="56"/>
      <c r="G25" s="56"/>
      <c r="H25" s="57"/>
      <c r="I25" s="56"/>
      <c r="J25" s="56"/>
      <c r="K25" s="56"/>
      <c r="L25" s="56"/>
      <c r="M25" s="56"/>
      <c r="N25" s="56"/>
      <c r="O25" s="56"/>
    </row>
    <row r="26" spans="2:27" x14ac:dyDescent="0.25">
      <c r="E26" s="55"/>
      <c r="F26" s="56"/>
      <c r="G26" s="56"/>
      <c r="H26" s="57"/>
      <c r="I26" s="56"/>
      <c r="J26" s="56"/>
      <c r="K26" s="56"/>
      <c r="L26" s="56"/>
      <c r="M26" s="56"/>
      <c r="N26" s="56"/>
      <c r="O26" s="56"/>
    </row>
    <row r="27" spans="2:27" x14ac:dyDescent="0.25">
      <c r="B27" s="35" t="s">
        <v>134</v>
      </c>
      <c r="C27" s="32"/>
      <c r="D27" s="52"/>
      <c r="E27" s="55"/>
      <c r="F27" s="56"/>
      <c r="G27" s="56"/>
      <c r="H27" s="57"/>
      <c r="I27" s="56"/>
      <c r="J27" s="56"/>
      <c r="K27" s="56"/>
      <c r="L27" s="56"/>
      <c r="M27" s="56"/>
      <c r="N27" s="56"/>
      <c r="O27" s="56"/>
    </row>
    <row r="28" spans="2:27" x14ac:dyDescent="0.25">
      <c r="B28" s="78" t="s">
        <v>136</v>
      </c>
      <c r="C28" s="79" t="s">
        <v>133</v>
      </c>
      <c r="D28" s="58"/>
      <c r="E28" s="59"/>
      <c r="F28" s="60"/>
      <c r="G28" s="60"/>
      <c r="H28" s="61"/>
      <c r="I28" s="56"/>
      <c r="J28" s="56"/>
      <c r="K28" s="56"/>
      <c r="L28" s="56"/>
      <c r="M28" s="56"/>
      <c r="N28" s="56"/>
      <c r="O28" s="56"/>
    </row>
    <row r="29" spans="2:27" x14ac:dyDescent="0.25">
      <c r="B29" s="76" t="s">
        <v>38</v>
      </c>
      <c r="C29" s="77">
        <f>VLOOKUP($Y$30,Source!$A$3:$FW$47,67)</f>
        <v>742298.87121000013</v>
      </c>
      <c r="D29" s="58"/>
      <c r="E29" s="59"/>
      <c r="G29" s="60"/>
      <c r="H29" s="61"/>
      <c r="I29" s="56"/>
      <c r="J29" s="56"/>
      <c r="K29" s="56"/>
      <c r="L29" s="56"/>
      <c r="M29" s="56"/>
      <c r="N29" s="56"/>
      <c r="O29" s="56"/>
    </row>
    <row r="30" spans="2:27" x14ac:dyDescent="0.25">
      <c r="B30" s="76" t="s">
        <v>171</v>
      </c>
      <c r="C30" s="77">
        <f>VLOOKUP($Y$30,Source!$A$3:$FW$47,89)</f>
        <v>246509.45962000001</v>
      </c>
      <c r="D30" s="58"/>
      <c r="E30" s="59"/>
      <c r="F30" s="56"/>
      <c r="G30" s="56"/>
      <c r="H30" s="56"/>
      <c r="I30" s="56"/>
      <c r="J30" s="56"/>
      <c r="K30" s="56"/>
      <c r="L30" s="56"/>
      <c r="M30" s="56"/>
      <c r="N30" s="56"/>
      <c r="O30" s="56"/>
      <c r="X30" s="62" t="s">
        <v>141</v>
      </c>
      <c r="Y30" s="62">
        <f>Output!AE30</f>
        <v>1</v>
      </c>
      <c r="Z30" s="51" t="s">
        <v>139</v>
      </c>
      <c r="AA30" s="51" t="s">
        <v>140</v>
      </c>
    </row>
    <row r="32" spans="2:27" x14ac:dyDescent="0.25">
      <c r="C32" s="47" t="s">
        <v>237</v>
      </c>
      <c r="X32" s="63">
        <v>1</v>
      </c>
      <c r="Y32" s="64" t="s">
        <v>164</v>
      </c>
      <c r="Z32" s="63">
        <v>1</v>
      </c>
      <c r="AA32" s="47" t="b">
        <f>Y32=Source!B3</f>
        <v>1</v>
      </c>
    </row>
    <row r="33" spans="3:27" x14ac:dyDescent="0.25">
      <c r="C33" s="65" t="s">
        <v>223</v>
      </c>
      <c r="D33" s="65" t="s">
        <v>224</v>
      </c>
      <c r="E33" s="65" t="s">
        <v>225</v>
      </c>
      <c r="F33" s="65" t="s">
        <v>226</v>
      </c>
      <c r="G33" s="65" t="s">
        <v>227</v>
      </c>
      <c r="H33" s="65" t="s">
        <v>228</v>
      </c>
      <c r="I33" s="65" t="s">
        <v>229</v>
      </c>
      <c r="J33" s="65" t="s">
        <v>230</v>
      </c>
      <c r="K33" s="65" t="s">
        <v>231</v>
      </c>
      <c r="L33" s="65" t="s">
        <v>232</v>
      </c>
      <c r="M33" s="65" t="s">
        <v>233</v>
      </c>
      <c r="N33" s="65" t="s">
        <v>234</v>
      </c>
      <c r="O33" s="65" t="s">
        <v>235</v>
      </c>
      <c r="P33" s="65" t="s">
        <v>236</v>
      </c>
      <c r="Q33" s="62">
        <v>13</v>
      </c>
      <c r="R33" s="65" t="s">
        <v>318</v>
      </c>
      <c r="S33" s="65" t="s">
        <v>342</v>
      </c>
      <c r="T33" s="65" t="s">
        <v>362</v>
      </c>
      <c r="U33" s="65" t="s">
        <v>379</v>
      </c>
      <c r="V33" s="65" t="s">
        <v>391</v>
      </c>
      <c r="W33" s="65" t="s">
        <v>420</v>
      </c>
      <c r="X33" s="63">
        <v>2</v>
      </c>
      <c r="Y33" s="64" t="s">
        <v>188</v>
      </c>
      <c r="Z33" s="63">
        <v>2</v>
      </c>
      <c r="AA33" s="47" t="b">
        <f>Y33=Source!B4</f>
        <v>1</v>
      </c>
    </row>
    <row r="34" spans="3:27" x14ac:dyDescent="0.25"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3">
        <v>3</v>
      </c>
      <c r="Y34" s="64" t="s">
        <v>189</v>
      </c>
      <c r="Z34" s="63">
        <v>3</v>
      </c>
      <c r="AA34" s="47" t="b">
        <f>Y34=Source!B5</f>
        <v>1</v>
      </c>
    </row>
    <row r="35" spans="3:27" x14ac:dyDescent="0.25">
      <c r="C35" s="65" t="s">
        <v>223</v>
      </c>
      <c r="D35" s="65" t="s">
        <v>224</v>
      </c>
      <c r="E35" s="65" t="s">
        <v>225</v>
      </c>
      <c r="F35" s="65" t="s">
        <v>226</v>
      </c>
      <c r="G35" s="65" t="s">
        <v>227</v>
      </c>
      <c r="H35" s="65" t="s">
        <v>228</v>
      </c>
      <c r="I35" s="65" t="s">
        <v>229</v>
      </c>
      <c r="J35" s="65" t="s">
        <v>230</v>
      </c>
      <c r="K35" s="65" t="s">
        <v>231</v>
      </c>
      <c r="L35" s="65" t="s">
        <v>232</v>
      </c>
      <c r="M35" s="65" t="s">
        <v>233</v>
      </c>
      <c r="N35" s="65" t="s">
        <v>234</v>
      </c>
      <c r="O35" s="65" t="s">
        <v>235</v>
      </c>
      <c r="P35" s="65" t="s">
        <v>236</v>
      </c>
      <c r="Q35" s="62">
        <v>13</v>
      </c>
      <c r="R35" s="65" t="s">
        <v>318</v>
      </c>
      <c r="S35" s="65" t="s">
        <v>342</v>
      </c>
      <c r="T35" s="65" t="s">
        <v>362</v>
      </c>
      <c r="U35" s="65" t="s">
        <v>379</v>
      </c>
      <c r="V35" s="65" t="s">
        <v>391</v>
      </c>
      <c r="W35" s="65" t="s">
        <v>420</v>
      </c>
      <c r="X35" s="63">
        <v>4</v>
      </c>
      <c r="Y35" s="64" t="s">
        <v>190</v>
      </c>
      <c r="Z35" s="63">
        <v>4</v>
      </c>
      <c r="AA35" s="47" t="b">
        <f>Y35=Source!B6</f>
        <v>1</v>
      </c>
    </row>
    <row r="36" spans="3:27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X36" s="63">
        <v>5</v>
      </c>
      <c r="Y36" s="64" t="s">
        <v>156</v>
      </c>
      <c r="Z36" s="63">
        <v>5</v>
      </c>
      <c r="AA36" s="47" t="b">
        <f>Y36=Source!B7</f>
        <v>1</v>
      </c>
    </row>
    <row r="37" spans="3:27" x14ac:dyDescent="0.25">
      <c r="C37" s="62" t="s">
        <v>4</v>
      </c>
      <c r="D37" s="62" t="s">
        <v>5</v>
      </c>
      <c r="E37" s="62" t="s">
        <v>6</v>
      </c>
      <c r="F37" s="62" t="s">
        <v>7</v>
      </c>
      <c r="G37" s="62" t="s">
        <v>8</v>
      </c>
      <c r="H37" s="62" t="s">
        <v>9</v>
      </c>
      <c r="I37" s="62" t="s">
        <v>10</v>
      </c>
      <c r="J37" s="62" t="s">
        <v>11</v>
      </c>
      <c r="K37" s="62" t="s">
        <v>12</v>
      </c>
      <c r="L37" s="62" t="s">
        <v>13</v>
      </c>
      <c r="M37" s="62" t="s">
        <v>14</v>
      </c>
      <c r="N37" s="62" t="s">
        <v>15</v>
      </c>
      <c r="O37" s="65" t="s">
        <v>215</v>
      </c>
      <c r="P37" s="65" t="s">
        <v>222</v>
      </c>
      <c r="Q37" s="66" t="s">
        <v>303</v>
      </c>
      <c r="R37" s="66" t="s">
        <v>319</v>
      </c>
      <c r="S37" s="66" t="s">
        <v>343</v>
      </c>
      <c r="T37" s="66" t="s">
        <v>380</v>
      </c>
      <c r="U37" s="66" t="s">
        <v>381</v>
      </c>
      <c r="V37" s="66" t="s">
        <v>392</v>
      </c>
      <c r="W37" s="66" t="s">
        <v>421</v>
      </c>
      <c r="X37" s="63">
        <v>6</v>
      </c>
      <c r="Y37" s="64" t="s">
        <v>191</v>
      </c>
      <c r="Z37" s="63">
        <v>6</v>
      </c>
      <c r="AA37" s="47" t="b">
        <f>Y37=Source!B8</f>
        <v>1</v>
      </c>
    </row>
    <row r="38" spans="3:27" x14ac:dyDescent="0.25">
      <c r="X38" s="63">
        <v>7</v>
      </c>
      <c r="Y38" s="64" t="s">
        <v>157</v>
      </c>
      <c r="Z38" s="63">
        <v>7</v>
      </c>
      <c r="AA38" s="47" t="b">
        <f>Y38=Source!B9</f>
        <v>1</v>
      </c>
    </row>
    <row r="39" spans="3:27" x14ac:dyDescent="0.25">
      <c r="X39" s="63">
        <v>8</v>
      </c>
      <c r="Y39" s="64" t="s">
        <v>309</v>
      </c>
      <c r="Z39" s="63">
        <v>8</v>
      </c>
      <c r="AA39" s="47" t="b">
        <f>Y39=Source!B10</f>
        <v>1</v>
      </c>
    </row>
    <row r="40" spans="3:27" x14ac:dyDescent="0.25">
      <c r="X40" s="63">
        <v>9</v>
      </c>
      <c r="Y40" s="64" t="s">
        <v>192</v>
      </c>
      <c r="Z40" s="63">
        <v>9</v>
      </c>
      <c r="AA40" s="47" t="b">
        <f>Y40=Source!B11</f>
        <v>1</v>
      </c>
    </row>
    <row r="41" spans="3:27" x14ac:dyDescent="0.25">
      <c r="X41" s="63">
        <v>10</v>
      </c>
      <c r="Y41" s="64" t="s">
        <v>165</v>
      </c>
      <c r="Z41" s="63">
        <v>10</v>
      </c>
      <c r="AA41" s="47" t="b">
        <f>Y41=Source!B12</f>
        <v>1</v>
      </c>
    </row>
    <row r="42" spans="3:27" x14ac:dyDescent="0.25">
      <c r="X42" s="63">
        <v>11</v>
      </c>
      <c r="Y42" s="64" t="s">
        <v>186</v>
      </c>
      <c r="Z42" s="63">
        <v>11</v>
      </c>
      <c r="AA42" s="47" t="b">
        <f>Y42=Source!B13</f>
        <v>1</v>
      </c>
    </row>
    <row r="43" spans="3:27" x14ac:dyDescent="0.25">
      <c r="X43" s="63">
        <v>12</v>
      </c>
      <c r="Y43" s="64" t="s">
        <v>159</v>
      </c>
      <c r="Z43" s="63">
        <v>12</v>
      </c>
      <c r="AA43" s="47" t="b">
        <f>Y43=Source!B14</f>
        <v>1</v>
      </c>
    </row>
    <row r="44" spans="3:27" x14ac:dyDescent="0.25">
      <c r="X44" s="63">
        <v>13</v>
      </c>
      <c r="Y44" s="64" t="s">
        <v>193</v>
      </c>
      <c r="Z44" s="63">
        <v>13</v>
      </c>
      <c r="AA44" s="47" t="b">
        <f>Y44=Source!B15</f>
        <v>1</v>
      </c>
    </row>
    <row r="45" spans="3:27" x14ac:dyDescent="0.25">
      <c r="X45" s="63">
        <v>14</v>
      </c>
      <c r="Y45" s="64" t="s">
        <v>160</v>
      </c>
      <c r="Z45" s="63">
        <v>14</v>
      </c>
      <c r="AA45" s="47" t="b">
        <f>Y45=Source!B16</f>
        <v>1</v>
      </c>
    </row>
    <row r="46" spans="3:27" x14ac:dyDescent="0.25">
      <c r="X46" s="63">
        <v>15</v>
      </c>
      <c r="Y46" s="64" t="s">
        <v>161</v>
      </c>
      <c r="Z46" s="63">
        <v>15</v>
      </c>
      <c r="AA46" s="47" t="b">
        <f>Y46=Source!B17</f>
        <v>1</v>
      </c>
    </row>
    <row r="47" spans="3:27" x14ac:dyDescent="0.25">
      <c r="X47" s="63">
        <v>16</v>
      </c>
      <c r="Y47" s="64" t="s">
        <v>194</v>
      </c>
      <c r="Z47" s="63">
        <v>16</v>
      </c>
      <c r="AA47" s="47" t="b">
        <f>Y47=Source!B18</f>
        <v>1</v>
      </c>
    </row>
    <row r="48" spans="3:27" x14ac:dyDescent="0.25">
      <c r="X48" s="63">
        <v>17</v>
      </c>
      <c r="Y48" s="64" t="s">
        <v>422</v>
      </c>
      <c r="Z48" s="63">
        <v>17</v>
      </c>
      <c r="AA48" s="47" t="b">
        <f>Y48=Source!B19</f>
        <v>1</v>
      </c>
    </row>
    <row r="49" spans="24:27" x14ac:dyDescent="0.25">
      <c r="X49" s="63">
        <v>18</v>
      </c>
      <c r="Y49" s="64" t="s">
        <v>195</v>
      </c>
      <c r="Z49" s="63">
        <v>18</v>
      </c>
      <c r="AA49" s="47" t="b">
        <f>Y49=Source!B20</f>
        <v>1</v>
      </c>
    </row>
    <row r="50" spans="24:27" x14ac:dyDescent="0.25">
      <c r="X50" s="63">
        <v>19</v>
      </c>
      <c r="Y50" s="64" t="s">
        <v>166</v>
      </c>
      <c r="Z50" s="63">
        <v>19</v>
      </c>
      <c r="AA50" s="47" t="b">
        <f>Y50=Source!B21</f>
        <v>1</v>
      </c>
    </row>
    <row r="51" spans="24:27" x14ac:dyDescent="0.25">
      <c r="X51" s="63">
        <v>20</v>
      </c>
      <c r="Y51" s="64" t="s">
        <v>162</v>
      </c>
      <c r="Z51" s="63">
        <v>20</v>
      </c>
      <c r="AA51" s="47" t="b">
        <f>Y51=Source!B22</f>
        <v>1</v>
      </c>
    </row>
    <row r="52" spans="24:27" x14ac:dyDescent="0.25">
      <c r="X52" s="63">
        <v>21</v>
      </c>
      <c r="Y52" s="64" t="s">
        <v>196</v>
      </c>
      <c r="Z52" s="63">
        <v>21</v>
      </c>
      <c r="AA52" s="47" t="b">
        <f>Y52=Source!B23</f>
        <v>1</v>
      </c>
    </row>
    <row r="53" spans="24:27" x14ac:dyDescent="0.25">
      <c r="X53" s="63">
        <v>22</v>
      </c>
      <c r="Y53" s="64" t="s">
        <v>163</v>
      </c>
      <c r="Z53" s="63">
        <v>22</v>
      </c>
      <c r="AA53" s="47" t="b">
        <f>Y53=Source!B24</f>
        <v>1</v>
      </c>
    </row>
    <row r="54" spans="24:27" x14ac:dyDescent="0.25">
      <c r="X54" s="63">
        <v>23</v>
      </c>
      <c r="Y54" s="64" t="s">
        <v>59</v>
      </c>
      <c r="Z54" s="63">
        <v>23</v>
      </c>
      <c r="AA54" s="47" t="b">
        <f>Y54=Source!B25</f>
        <v>1</v>
      </c>
    </row>
    <row r="55" spans="24:27" x14ac:dyDescent="0.25">
      <c r="X55" s="63">
        <v>24</v>
      </c>
      <c r="Y55" s="64" t="s">
        <v>60</v>
      </c>
      <c r="Z55" s="63">
        <v>24</v>
      </c>
      <c r="AA55" s="47" t="b">
        <f>Y55=Source!B26</f>
        <v>1</v>
      </c>
    </row>
    <row r="56" spans="24:27" x14ac:dyDescent="0.25">
      <c r="X56" s="63">
        <v>25</v>
      </c>
      <c r="Y56" s="64" t="s">
        <v>61</v>
      </c>
      <c r="Z56" s="63">
        <v>25</v>
      </c>
      <c r="AA56" s="47" t="b">
        <f>Y56=Source!B27</f>
        <v>1</v>
      </c>
    </row>
    <row r="57" spans="24:27" x14ac:dyDescent="0.25">
      <c r="X57" s="63">
        <v>26</v>
      </c>
      <c r="Y57" s="64" t="s">
        <v>197</v>
      </c>
      <c r="Z57" s="63">
        <v>26</v>
      </c>
      <c r="AA57" s="47" t="b">
        <f>Y57=Source!B28</f>
        <v>1</v>
      </c>
    </row>
    <row r="58" spans="24:27" x14ac:dyDescent="0.25">
      <c r="X58" s="63">
        <v>27</v>
      </c>
      <c r="Y58" s="64" t="s">
        <v>198</v>
      </c>
      <c r="Z58" s="63">
        <v>27</v>
      </c>
      <c r="AA58" s="47" t="b">
        <f>Y58=Source!B29</f>
        <v>1</v>
      </c>
    </row>
    <row r="59" spans="24:27" x14ac:dyDescent="0.25">
      <c r="X59" s="63">
        <v>28</v>
      </c>
      <c r="Y59" s="64" t="s">
        <v>199</v>
      </c>
      <c r="Z59" s="63">
        <v>28</v>
      </c>
      <c r="AA59" s="47" t="b">
        <f>Y59=Source!B30</f>
        <v>1</v>
      </c>
    </row>
    <row r="60" spans="24:27" x14ac:dyDescent="0.25">
      <c r="X60" s="63">
        <v>29</v>
      </c>
      <c r="Y60" s="64" t="s">
        <v>200</v>
      </c>
      <c r="Z60" s="63">
        <v>29</v>
      </c>
      <c r="AA60" s="47" t="b">
        <f>Y60=Source!B31</f>
        <v>1</v>
      </c>
    </row>
    <row r="61" spans="24:27" x14ac:dyDescent="0.25">
      <c r="X61" s="63">
        <v>30</v>
      </c>
      <c r="Y61" s="64" t="s">
        <v>167</v>
      </c>
      <c r="Z61" s="63">
        <v>30</v>
      </c>
      <c r="AA61" s="47" t="b">
        <f>Y61=Source!B32</f>
        <v>1</v>
      </c>
    </row>
    <row r="62" spans="24:27" x14ac:dyDescent="0.25">
      <c r="X62" s="63">
        <v>31</v>
      </c>
      <c r="Y62" s="64" t="s">
        <v>168</v>
      </c>
      <c r="Z62" s="63">
        <v>31</v>
      </c>
      <c r="AA62" s="47" t="b">
        <f>Y62=Source!B33</f>
        <v>1</v>
      </c>
    </row>
    <row r="63" spans="24:27" x14ac:dyDescent="0.25">
      <c r="X63" s="63">
        <v>32</v>
      </c>
      <c r="Y63" s="64" t="s">
        <v>201</v>
      </c>
      <c r="Z63" s="63">
        <v>32</v>
      </c>
      <c r="AA63" s="47" t="b">
        <f>Y63=Source!B34</f>
        <v>1</v>
      </c>
    </row>
    <row r="64" spans="24:27" x14ac:dyDescent="0.25">
      <c r="X64" s="63">
        <v>33</v>
      </c>
      <c r="Y64" s="64" t="s">
        <v>62</v>
      </c>
      <c r="Z64" s="63">
        <v>33</v>
      </c>
      <c r="AA64" s="47" t="b">
        <f>Y64=Source!B35</f>
        <v>1</v>
      </c>
    </row>
    <row r="65" spans="24:27" x14ac:dyDescent="0.25">
      <c r="X65" s="63">
        <v>34</v>
      </c>
      <c r="Y65" s="64" t="s">
        <v>202</v>
      </c>
      <c r="Z65" s="63">
        <v>34</v>
      </c>
      <c r="AA65" s="47" t="b">
        <f>Y65=Source!B36</f>
        <v>1</v>
      </c>
    </row>
    <row r="66" spans="24:27" x14ac:dyDescent="0.25">
      <c r="X66" s="63">
        <v>35</v>
      </c>
      <c r="Y66" s="64" t="s">
        <v>63</v>
      </c>
      <c r="Z66" s="63">
        <v>35</v>
      </c>
      <c r="AA66" s="47" t="b">
        <f>Y66=Source!B37</f>
        <v>1</v>
      </c>
    </row>
    <row r="67" spans="24:27" x14ac:dyDescent="0.25">
      <c r="X67" s="63">
        <v>36</v>
      </c>
      <c r="Y67" s="64" t="s">
        <v>203</v>
      </c>
      <c r="Z67" s="63">
        <v>36</v>
      </c>
      <c r="AA67" s="47" t="b">
        <f>Y67=Source!B38</f>
        <v>1</v>
      </c>
    </row>
    <row r="68" spans="24:27" x14ac:dyDescent="0.25">
      <c r="X68" s="63">
        <v>37</v>
      </c>
      <c r="Y68" s="64" t="s">
        <v>64</v>
      </c>
      <c r="Z68" s="63">
        <v>37</v>
      </c>
      <c r="AA68" s="47" t="b">
        <f>Y68=Source!B39</f>
        <v>1</v>
      </c>
    </row>
    <row r="69" spans="24:27" x14ac:dyDescent="0.25">
      <c r="X69" s="63">
        <v>38</v>
      </c>
      <c r="Y69" s="64" t="s">
        <v>44</v>
      </c>
      <c r="Z69" s="63">
        <v>38</v>
      </c>
      <c r="AA69" s="47" t="b">
        <f>Y69=Source!B40</f>
        <v>1</v>
      </c>
    </row>
    <row r="70" spans="24:27" x14ac:dyDescent="0.25">
      <c r="X70" s="63">
        <v>39</v>
      </c>
      <c r="Y70" s="64" t="s">
        <v>204</v>
      </c>
      <c r="Z70" s="63">
        <v>39</v>
      </c>
      <c r="AA70" s="47" t="b">
        <f>Y70=Source!B41</f>
        <v>1</v>
      </c>
    </row>
    <row r="71" spans="24:27" x14ac:dyDescent="0.25">
      <c r="X71" s="63">
        <v>40</v>
      </c>
      <c r="Y71" s="64" t="s">
        <v>169</v>
      </c>
      <c r="Z71" s="63">
        <v>40</v>
      </c>
      <c r="AA71" s="47" t="b">
        <f>Y71=Source!B42</f>
        <v>1</v>
      </c>
    </row>
    <row r="72" spans="24:27" x14ac:dyDescent="0.25">
      <c r="X72" s="63">
        <v>41</v>
      </c>
      <c r="Y72" s="64" t="s">
        <v>205</v>
      </c>
      <c r="Z72" s="63">
        <v>41</v>
      </c>
      <c r="AA72" s="47" t="b">
        <f>Y72=Source!B43</f>
        <v>1</v>
      </c>
    </row>
    <row r="73" spans="24:27" x14ac:dyDescent="0.25">
      <c r="X73" s="63">
        <v>42</v>
      </c>
      <c r="Y73" s="64" t="s">
        <v>206</v>
      </c>
      <c r="Z73" s="63">
        <v>42</v>
      </c>
      <c r="AA73" s="47" t="b">
        <f>Y73=Source!B44</f>
        <v>1</v>
      </c>
    </row>
    <row r="74" spans="24:27" x14ac:dyDescent="0.25">
      <c r="X74" s="63">
        <v>43</v>
      </c>
      <c r="Y74" s="64" t="s">
        <v>170</v>
      </c>
      <c r="Z74" s="63">
        <v>43</v>
      </c>
      <c r="AA74" s="47" t="b">
        <f>Y74=Source!B45</f>
        <v>1</v>
      </c>
    </row>
    <row r="75" spans="24:27" x14ac:dyDescent="0.25">
      <c r="X75" s="63">
        <v>44</v>
      </c>
      <c r="Y75" s="64" t="s">
        <v>207</v>
      </c>
      <c r="Z75" s="63">
        <v>44</v>
      </c>
      <c r="AA75" s="47" t="b">
        <f>Y75=Source!B46</f>
        <v>1</v>
      </c>
    </row>
    <row r="76" spans="24:27" x14ac:dyDescent="0.25">
      <c r="X76" s="63">
        <v>45</v>
      </c>
      <c r="Y76" s="64" t="s">
        <v>148</v>
      </c>
      <c r="Z76" s="63">
        <v>45</v>
      </c>
      <c r="AA76" s="47" t="b">
        <f>Y76=Source!B47</f>
        <v>1</v>
      </c>
    </row>
  </sheetData>
  <sheetProtection algorithmName="SHA-512" hashValue="acB9Me2xE7mmgr6Jn5ZlSLA9g1nWxv0K3fEKJUhSzSqlBDUXS0RlwCkKjkmXRlSsa8QjbSrfxPays7RM+j9GeQ==" saltValue="aMuKZgUHHJn96sn25jytwg==" spinCount="100000" sheet="1" objects="1" scenarios="1"/>
  <dataConsolidate>
    <dataRefs count="1">
      <dataRef ref="W5:W77" sheet="Output"/>
    </dataRefs>
  </dataConsolidate>
  <mergeCells count="1">
    <mergeCell ref="B5:F5"/>
  </mergeCells>
  <phoneticPr fontId="0" type="noConversion"/>
  <dataValidations count="1">
    <dataValidation type="list" allowBlank="1" showInputMessage="1" showErrorMessage="1" sqref="B6">
      <formula1>$R$9:$R$31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102" r:id="rId4">
          <objectPr defaultSize="0" autoPict="0" r:id="rId5">
            <anchor moveWithCells="1" sizeWithCells="1">
              <from>
                <xdr:col>1</xdr:col>
                <xdr:colOff>114300</xdr:colOff>
                <xdr:row>0</xdr:row>
                <xdr:rowOff>0</xdr:rowOff>
              </from>
              <to>
                <xdr:col>1</xdr:col>
                <xdr:colOff>762000</xdr:colOff>
                <xdr:row>0</xdr:row>
                <xdr:rowOff>0</xdr:rowOff>
              </to>
            </anchor>
          </objectPr>
        </oleObject>
      </mc:Choice>
      <mc:Fallback>
        <oleObject progId="Word.Picture.8" shapeId="4102" r:id="rId4"/>
      </mc:Fallback>
    </mc:AlternateContent>
    <mc:AlternateContent xmlns:mc="http://schemas.openxmlformats.org/markup-compatibility/2006">
      <mc:Choice Requires="x14">
        <oleObject progId="PBrush" shapeId="4103" r:id="rId6">
          <objectPr defaultSize="0" autoPict="0" r:id="rId7">
            <anchor moveWithCells="1" sizeWithCells="1">
              <from>
                <xdr:col>12</xdr:col>
                <xdr:colOff>9525</xdr:colOff>
                <xdr:row>0</xdr:row>
                <xdr:rowOff>0</xdr:rowOff>
              </from>
              <to>
                <xdr:col>12</xdr:col>
                <xdr:colOff>504825</xdr:colOff>
                <xdr:row>0</xdr:row>
                <xdr:rowOff>0</xdr:rowOff>
              </to>
            </anchor>
          </objectPr>
        </oleObject>
      </mc:Choice>
      <mc:Fallback>
        <oleObject progId="PBrush" shapeId="4103" r:id="rId6"/>
      </mc:Fallback>
    </mc:AlternateContent>
  </oleObject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FX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12.7109375" defaultRowHeight="12" x14ac:dyDescent="0.2"/>
  <cols>
    <col min="1" max="1" width="12" style="5" customWidth="1"/>
    <col min="2" max="2" width="37.140625" style="5" customWidth="1"/>
    <col min="3" max="176" width="11.42578125" style="5" customWidth="1"/>
    <col min="177" max="16384" width="12.7109375" style="5"/>
  </cols>
  <sheetData>
    <row r="1" spans="1:180" s="4" customFormat="1" x14ac:dyDescent="0.2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  <c r="BG1" s="4">
        <v>59</v>
      </c>
      <c r="BH1" s="4">
        <v>60</v>
      </c>
      <c r="BI1" s="4">
        <v>61</v>
      </c>
      <c r="BJ1" s="4">
        <v>62</v>
      </c>
      <c r="BK1" s="4">
        <v>63</v>
      </c>
      <c r="BL1" s="4">
        <v>64</v>
      </c>
      <c r="BM1" s="4">
        <v>65</v>
      </c>
      <c r="BN1" s="4">
        <v>66</v>
      </c>
      <c r="BO1" s="4">
        <v>67</v>
      </c>
      <c r="BP1" s="4">
        <v>68</v>
      </c>
      <c r="BQ1" s="4">
        <v>69</v>
      </c>
      <c r="BR1" s="4">
        <v>70</v>
      </c>
      <c r="BS1" s="4">
        <v>71</v>
      </c>
      <c r="BT1" s="4">
        <v>72</v>
      </c>
      <c r="BU1" s="4">
        <v>73</v>
      </c>
      <c r="BV1" s="4">
        <v>74</v>
      </c>
      <c r="BW1" s="4">
        <v>75</v>
      </c>
      <c r="BX1" s="4">
        <v>76</v>
      </c>
      <c r="BY1" s="4">
        <v>77</v>
      </c>
      <c r="BZ1" s="4">
        <v>78</v>
      </c>
      <c r="CA1" s="4">
        <v>79</v>
      </c>
      <c r="CB1" s="4">
        <v>80</v>
      </c>
      <c r="CC1" s="4">
        <v>81</v>
      </c>
      <c r="CD1" s="4">
        <v>82</v>
      </c>
      <c r="CE1" s="4">
        <v>83</v>
      </c>
      <c r="CF1" s="4">
        <v>84</v>
      </c>
      <c r="CG1" s="4">
        <v>85</v>
      </c>
      <c r="CH1" s="4">
        <v>86</v>
      </c>
      <c r="CI1" s="4">
        <v>87</v>
      </c>
      <c r="CJ1" s="4">
        <v>88</v>
      </c>
      <c r="CK1" s="4">
        <v>89</v>
      </c>
      <c r="CL1" s="4">
        <v>90</v>
      </c>
      <c r="CM1" s="4">
        <v>91</v>
      </c>
      <c r="CN1" s="4">
        <v>92</v>
      </c>
      <c r="CO1" s="4">
        <v>93</v>
      </c>
      <c r="CP1" s="4">
        <v>94</v>
      </c>
      <c r="CQ1" s="4">
        <v>95</v>
      </c>
      <c r="CR1" s="4">
        <v>96</v>
      </c>
      <c r="CS1" s="4">
        <v>97</v>
      </c>
      <c r="CT1" s="4">
        <v>98</v>
      </c>
      <c r="CU1" s="4">
        <v>99</v>
      </c>
      <c r="CV1" s="4">
        <v>100</v>
      </c>
      <c r="CW1" s="4">
        <v>101</v>
      </c>
      <c r="CX1" s="4">
        <v>102</v>
      </c>
      <c r="CY1" s="4">
        <v>103</v>
      </c>
      <c r="CZ1" s="4">
        <v>104</v>
      </c>
      <c r="DA1" s="4">
        <v>105</v>
      </c>
      <c r="DB1" s="4">
        <v>106</v>
      </c>
      <c r="DC1" s="4">
        <v>107</v>
      </c>
      <c r="DD1" s="4">
        <v>108</v>
      </c>
      <c r="DE1" s="4">
        <v>109</v>
      </c>
      <c r="DF1" s="4">
        <v>110</v>
      </c>
      <c r="DG1" s="4">
        <v>111</v>
      </c>
      <c r="DH1" s="4">
        <v>112</v>
      </c>
      <c r="DI1" s="4">
        <v>113</v>
      </c>
      <c r="DJ1" s="4">
        <v>114</v>
      </c>
      <c r="DK1" s="4">
        <v>115</v>
      </c>
      <c r="DL1" s="4">
        <v>116</v>
      </c>
      <c r="DM1" s="4">
        <v>117</v>
      </c>
      <c r="DN1" s="4">
        <v>118</v>
      </c>
      <c r="DO1" s="4">
        <v>119</v>
      </c>
      <c r="DP1" s="4">
        <v>120</v>
      </c>
      <c r="DQ1" s="4">
        <v>121</v>
      </c>
      <c r="DR1" s="4">
        <v>122</v>
      </c>
      <c r="DS1" s="4">
        <v>123</v>
      </c>
      <c r="DT1" s="4">
        <v>124</v>
      </c>
      <c r="DU1" s="4">
        <v>125</v>
      </c>
      <c r="DV1" s="4">
        <v>126</v>
      </c>
      <c r="DW1" s="4">
        <v>127</v>
      </c>
      <c r="DX1" s="4">
        <v>128</v>
      </c>
      <c r="DY1" s="4">
        <v>129</v>
      </c>
      <c r="DZ1" s="4">
        <v>130</v>
      </c>
      <c r="EA1" s="4">
        <v>131</v>
      </c>
      <c r="EB1" s="4">
        <v>132</v>
      </c>
      <c r="EC1" s="4">
        <v>133</v>
      </c>
      <c r="ED1" s="4">
        <v>134</v>
      </c>
      <c r="EE1" s="4">
        <v>135</v>
      </c>
      <c r="EF1" s="4">
        <v>136</v>
      </c>
      <c r="EG1" s="4">
        <v>137</v>
      </c>
      <c r="EH1" s="4">
        <v>138</v>
      </c>
      <c r="EI1" s="4">
        <v>139</v>
      </c>
      <c r="EJ1" s="4">
        <v>140</v>
      </c>
      <c r="EK1" s="4">
        <v>141</v>
      </c>
      <c r="EL1" s="4">
        <v>142</v>
      </c>
      <c r="EM1" s="4">
        <v>143</v>
      </c>
      <c r="EN1" s="4">
        <v>144</v>
      </c>
      <c r="EO1" s="4">
        <v>145</v>
      </c>
      <c r="EP1" s="4">
        <v>146</v>
      </c>
      <c r="EQ1" s="4">
        <v>147</v>
      </c>
      <c r="ER1" s="4">
        <v>148</v>
      </c>
      <c r="ES1" s="4">
        <v>149</v>
      </c>
      <c r="ET1" s="4">
        <v>150</v>
      </c>
      <c r="EU1" s="4">
        <v>151</v>
      </c>
      <c r="EV1" s="4">
        <v>152</v>
      </c>
      <c r="EW1" s="4">
        <v>153</v>
      </c>
      <c r="EX1" s="4">
        <v>154</v>
      </c>
      <c r="EY1" s="4">
        <v>155</v>
      </c>
      <c r="EZ1" s="4">
        <v>156</v>
      </c>
      <c r="FA1" s="4">
        <v>157</v>
      </c>
      <c r="FB1" s="4">
        <v>158</v>
      </c>
      <c r="FC1" s="4">
        <v>159</v>
      </c>
      <c r="FD1" s="4">
        <v>160</v>
      </c>
      <c r="FE1" s="4">
        <v>161</v>
      </c>
      <c r="FF1" s="4">
        <v>162</v>
      </c>
      <c r="FG1" s="4">
        <v>163</v>
      </c>
      <c r="FH1" s="4">
        <v>164</v>
      </c>
      <c r="FI1" s="4">
        <v>165</v>
      </c>
      <c r="FJ1" s="4">
        <v>166</v>
      </c>
      <c r="FK1" s="4">
        <v>167</v>
      </c>
      <c r="FL1" s="4">
        <v>168</v>
      </c>
      <c r="FM1" s="4">
        <v>169</v>
      </c>
      <c r="FN1" s="4">
        <v>170</v>
      </c>
      <c r="FO1" s="4">
        <v>171</v>
      </c>
      <c r="FP1" s="4">
        <v>172</v>
      </c>
      <c r="FQ1" s="4">
        <v>173</v>
      </c>
      <c r="FR1" s="4">
        <v>174</v>
      </c>
      <c r="FS1" s="4">
        <v>175</v>
      </c>
      <c r="FT1" s="4">
        <v>176</v>
      </c>
      <c r="FU1" s="4">
        <v>177</v>
      </c>
      <c r="FV1" s="4">
        <v>178</v>
      </c>
      <c r="FW1" s="4">
        <v>179</v>
      </c>
    </row>
    <row r="2" spans="1:180" ht="48" x14ac:dyDescent="0.2">
      <c r="B2" s="12"/>
      <c r="C2" s="13" t="s">
        <v>180</v>
      </c>
      <c r="D2" s="13" t="s">
        <v>181</v>
      </c>
      <c r="E2" s="13" t="s">
        <v>182</v>
      </c>
      <c r="F2" s="13" t="s">
        <v>183</v>
      </c>
      <c r="G2" s="13" t="s">
        <v>184</v>
      </c>
      <c r="H2" s="13" t="s">
        <v>187</v>
      </c>
      <c r="I2" s="13" t="s">
        <v>185</v>
      </c>
      <c r="J2" s="13" t="s">
        <v>152</v>
      </c>
      <c r="K2" s="13" t="s">
        <v>153</v>
      </c>
      <c r="L2" s="13" t="s">
        <v>47</v>
      </c>
      <c r="M2" s="13" t="s">
        <v>30</v>
      </c>
      <c r="N2" s="13" t="s">
        <v>31</v>
      </c>
      <c r="O2" s="13" t="s">
        <v>210</v>
      </c>
      <c r="P2" s="13" t="s">
        <v>216</v>
      </c>
      <c r="Q2" s="13" t="s">
        <v>238</v>
      </c>
      <c r="R2" s="13" t="s">
        <v>310</v>
      </c>
      <c r="S2" s="13" t="s">
        <v>321</v>
      </c>
      <c r="T2" s="13" t="s">
        <v>353</v>
      </c>
      <c r="U2" s="13" t="s">
        <v>364</v>
      </c>
      <c r="V2" s="13" t="s">
        <v>382</v>
      </c>
      <c r="W2" s="13" t="s">
        <v>396</v>
      </c>
      <c r="X2" s="13" t="s">
        <v>172</v>
      </c>
      <c r="Y2" s="13" t="s">
        <v>173</v>
      </c>
      <c r="Z2" s="13" t="s">
        <v>174</v>
      </c>
      <c r="AA2" s="13" t="s">
        <v>175</v>
      </c>
      <c r="AB2" s="13" t="s">
        <v>176</v>
      </c>
      <c r="AC2" s="13" t="s">
        <v>177</v>
      </c>
      <c r="AD2" s="13" t="s">
        <v>178</v>
      </c>
      <c r="AE2" s="13" t="s">
        <v>179</v>
      </c>
      <c r="AF2" s="13" t="s">
        <v>154</v>
      </c>
      <c r="AG2" s="13" t="s">
        <v>155</v>
      </c>
      <c r="AH2" s="13" t="s">
        <v>48</v>
      </c>
      <c r="AI2" s="13" t="s">
        <v>32</v>
      </c>
      <c r="AJ2" s="13" t="s">
        <v>33</v>
      </c>
      <c r="AK2" s="13" t="s">
        <v>211</v>
      </c>
      <c r="AL2" s="13" t="s">
        <v>217</v>
      </c>
      <c r="AM2" s="13" t="s">
        <v>239</v>
      </c>
      <c r="AN2" s="13" t="s">
        <v>311</v>
      </c>
      <c r="AO2" s="13" t="s">
        <v>322</v>
      </c>
      <c r="AP2" s="13" t="s">
        <v>354</v>
      </c>
      <c r="AQ2" s="13" t="s">
        <v>365</v>
      </c>
      <c r="AR2" s="13" t="s">
        <v>383</v>
      </c>
      <c r="AS2" s="13" t="s">
        <v>397</v>
      </c>
      <c r="AT2" s="13" t="s">
        <v>240</v>
      </c>
      <c r="AU2" s="13" t="s">
        <v>241</v>
      </c>
      <c r="AV2" s="13" t="s">
        <v>242</v>
      </c>
      <c r="AW2" s="13" t="s">
        <v>243</v>
      </c>
      <c r="AX2" s="13" t="s">
        <v>244</v>
      </c>
      <c r="AY2" s="13" t="s">
        <v>245</v>
      </c>
      <c r="AZ2" s="13" t="s">
        <v>246</v>
      </c>
      <c r="BA2" s="13" t="s">
        <v>247</v>
      </c>
      <c r="BB2" s="13" t="s">
        <v>248</v>
      </c>
      <c r="BC2" s="13" t="s">
        <v>249</v>
      </c>
      <c r="BD2" s="13" t="s">
        <v>250</v>
      </c>
      <c r="BE2" s="13" t="s">
        <v>251</v>
      </c>
      <c r="BF2" s="13" t="s">
        <v>252</v>
      </c>
      <c r="BG2" s="13" t="s">
        <v>253</v>
      </c>
      <c r="BH2" s="13" t="s">
        <v>254</v>
      </c>
      <c r="BI2" s="13" t="s">
        <v>312</v>
      </c>
      <c r="BJ2" s="13" t="s">
        <v>323</v>
      </c>
      <c r="BK2" s="13" t="s">
        <v>355</v>
      </c>
      <c r="BL2" s="13" t="s">
        <v>366</v>
      </c>
      <c r="BM2" s="13" t="s">
        <v>384</v>
      </c>
      <c r="BN2" s="13" t="s">
        <v>398</v>
      </c>
      <c r="BO2" s="13" t="s">
        <v>399</v>
      </c>
      <c r="BP2" s="13" t="s">
        <v>255</v>
      </c>
      <c r="BQ2" s="13" t="s">
        <v>256</v>
      </c>
      <c r="BR2" s="13" t="s">
        <v>257</v>
      </c>
      <c r="BS2" s="13" t="s">
        <v>258</v>
      </c>
      <c r="BT2" s="13" t="s">
        <v>259</v>
      </c>
      <c r="BU2" s="13" t="s">
        <v>260</v>
      </c>
      <c r="BV2" s="13" t="s">
        <v>261</v>
      </c>
      <c r="BW2" s="13" t="s">
        <v>262</v>
      </c>
      <c r="BX2" s="13" t="s">
        <v>263</v>
      </c>
      <c r="BY2" s="13" t="s">
        <v>264</v>
      </c>
      <c r="BZ2" s="13" t="s">
        <v>265</v>
      </c>
      <c r="CA2" s="13" t="s">
        <v>266</v>
      </c>
      <c r="CB2" s="13" t="s">
        <v>267</v>
      </c>
      <c r="CC2" s="13" t="s">
        <v>268</v>
      </c>
      <c r="CD2" s="13" t="s">
        <v>269</v>
      </c>
      <c r="CE2" s="13" t="s">
        <v>313</v>
      </c>
      <c r="CF2" s="13" t="s">
        <v>324</v>
      </c>
      <c r="CG2" s="13" t="s">
        <v>356</v>
      </c>
      <c r="CH2" s="13" t="s">
        <v>367</v>
      </c>
      <c r="CI2" s="13" t="s">
        <v>385</v>
      </c>
      <c r="CJ2" s="13" t="s">
        <v>400</v>
      </c>
      <c r="CK2" s="13" t="s">
        <v>401</v>
      </c>
      <c r="CL2" s="13" t="s">
        <v>270</v>
      </c>
      <c r="CM2" s="13" t="s">
        <v>271</v>
      </c>
      <c r="CN2" s="13" t="s">
        <v>272</v>
      </c>
      <c r="CO2" s="13" t="s">
        <v>273</v>
      </c>
      <c r="CP2" s="13" t="s">
        <v>274</v>
      </c>
      <c r="CQ2" s="13" t="s">
        <v>275</v>
      </c>
      <c r="CR2" s="13" t="s">
        <v>276</v>
      </c>
      <c r="CS2" s="13" t="s">
        <v>277</v>
      </c>
      <c r="CT2" s="13" t="s">
        <v>278</v>
      </c>
      <c r="CU2" s="13" t="s">
        <v>279</v>
      </c>
      <c r="CV2" s="13" t="s">
        <v>280</v>
      </c>
      <c r="CW2" s="13" t="s">
        <v>281</v>
      </c>
      <c r="CX2" s="13" t="s">
        <v>282</v>
      </c>
      <c r="CY2" s="13" t="s">
        <v>283</v>
      </c>
      <c r="CZ2" s="13" t="s">
        <v>284</v>
      </c>
      <c r="DA2" s="13" t="s">
        <v>320</v>
      </c>
      <c r="DB2" s="13" t="s">
        <v>325</v>
      </c>
      <c r="DC2" s="13" t="s">
        <v>357</v>
      </c>
      <c r="DD2" s="13" t="s">
        <v>368</v>
      </c>
      <c r="DE2" s="13" t="s">
        <v>386</v>
      </c>
      <c r="DF2" s="13" t="s">
        <v>402</v>
      </c>
      <c r="DG2" s="3" t="s">
        <v>285</v>
      </c>
      <c r="DH2" s="3" t="s">
        <v>286</v>
      </c>
      <c r="DI2" s="3" t="s">
        <v>287</v>
      </c>
      <c r="DJ2" s="3" t="s">
        <v>288</v>
      </c>
      <c r="DK2" s="3" t="s">
        <v>289</v>
      </c>
      <c r="DL2" s="3" t="s">
        <v>290</v>
      </c>
      <c r="DM2" s="3" t="s">
        <v>291</v>
      </c>
      <c r="DN2" s="3" t="s">
        <v>292</v>
      </c>
      <c r="DO2" s="3" t="s">
        <v>293</v>
      </c>
      <c r="DP2" s="3" t="s">
        <v>294</v>
      </c>
      <c r="DQ2" s="3" t="s">
        <v>295</v>
      </c>
      <c r="DR2" s="3" t="s">
        <v>296</v>
      </c>
      <c r="DS2" s="3" t="s">
        <v>297</v>
      </c>
      <c r="DT2" s="3" t="s">
        <v>298</v>
      </c>
      <c r="DU2" s="3" t="s">
        <v>299</v>
      </c>
      <c r="DV2" s="3" t="s">
        <v>314</v>
      </c>
      <c r="DW2" s="3" t="s">
        <v>326</v>
      </c>
      <c r="DX2" s="3" t="s">
        <v>358</v>
      </c>
      <c r="DY2" s="3" t="s">
        <v>369</v>
      </c>
      <c r="DZ2" s="3" t="s">
        <v>387</v>
      </c>
      <c r="EA2" s="3" t="s">
        <v>403</v>
      </c>
      <c r="EB2" s="3" t="s">
        <v>115</v>
      </c>
      <c r="EC2" s="3" t="s">
        <v>116</v>
      </c>
      <c r="ED2" s="3" t="s">
        <v>117</v>
      </c>
      <c r="EE2" s="3" t="s">
        <v>118</v>
      </c>
      <c r="EF2" s="3" t="s">
        <v>119</v>
      </c>
      <c r="EG2" s="3" t="s">
        <v>120</v>
      </c>
      <c r="EH2" s="3" t="s">
        <v>121</v>
      </c>
      <c r="EI2" s="3" t="s">
        <v>122</v>
      </c>
      <c r="EJ2" s="3" t="s">
        <v>123</v>
      </c>
      <c r="EK2" s="3" t="s">
        <v>49</v>
      </c>
      <c r="EL2" s="3" t="s">
        <v>34</v>
      </c>
      <c r="EM2" s="3" t="s">
        <v>35</v>
      </c>
      <c r="EN2" s="3" t="s">
        <v>212</v>
      </c>
      <c r="EO2" s="3" t="s">
        <v>219</v>
      </c>
      <c r="EP2" s="3" t="s">
        <v>300</v>
      </c>
      <c r="EQ2" s="3" t="s">
        <v>315</v>
      </c>
      <c r="ER2" s="3" t="s">
        <v>327</v>
      </c>
      <c r="ES2" s="3" t="s">
        <v>359</v>
      </c>
      <c r="ET2" s="3" t="s">
        <v>370</v>
      </c>
      <c r="EU2" s="3" t="s">
        <v>388</v>
      </c>
      <c r="EV2" s="3" t="s">
        <v>404</v>
      </c>
      <c r="EW2" s="14" t="s">
        <v>51</v>
      </c>
      <c r="EX2" s="14" t="s">
        <v>52</v>
      </c>
      <c r="EY2" s="14" t="s">
        <v>53</v>
      </c>
      <c r="EZ2" s="14" t="s">
        <v>54</v>
      </c>
      <c r="FA2" s="14" t="s">
        <v>55</v>
      </c>
      <c r="FB2" s="14" t="s">
        <v>56</v>
      </c>
      <c r="FC2" s="14" t="s">
        <v>57</v>
      </c>
      <c r="FD2" s="14" t="s">
        <v>58</v>
      </c>
      <c r="FE2" s="14" t="s">
        <v>16</v>
      </c>
      <c r="FF2" s="14" t="s">
        <v>17</v>
      </c>
      <c r="FG2" s="14" t="s">
        <v>0</v>
      </c>
      <c r="FH2" s="14" t="s">
        <v>1</v>
      </c>
      <c r="FI2" s="14" t="s">
        <v>213</v>
      </c>
      <c r="FJ2" s="14" t="s">
        <v>218</v>
      </c>
      <c r="FK2" s="14" t="s">
        <v>301</v>
      </c>
      <c r="FL2" s="14" t="s">
        <v>316</v>
      </c>
      <c r="FM2" s="14" t="s">
        <v>328</v>
      </c>
      <c r="FN2" s="14" t="s">
        <v>360</v>
      </c>
      <c r="FO2" s="14" t="s">
        <v>371</v>
      </c>
      <c r="FP2" s="14" t="s">
        <v>389</v>
      </c>
      <c r="FQ2" s="14" t="s">
        <v>405</v>
      </c>
      <c r="FR2" s="14" t="s">
        <v>406</v>
      </c>
      <c r="FS2" s="14" t="s">
        <v>407</v>
      </c>
      <c r="FT2" s="14" t="s">
        <v>408</v>
      </c>
      <c r="FU2" s="14" t="s">
        <v>409</v>
      </c>
      <c r="FV2" s="14" t="s">
        <v>410</v>
      </c>
      <c r="FW2" s="14" t="s">
        <v>411</v>
      </c>
      <c r="FX2" s="14"/>
    </row>
    <row r="3" spans="1:180" x14ac:dyDescent="0.2">
      <c r="A3" s="5">
        <v>1</v>
      </c>
      <c r="B3" s="6" t="s">
        <v>164</v>
      </c>
      <c r="C3" s="7">
        <v>53</v>
      </c>
      <c r="D3" s="7">
        <v>55</v>
      </c>
      <c r="E3" s="7">
        <v>64</v>
      </c>
      <c r="F3" s="7">
        <v>62</v>
      </c>
      <c r="G3" s="7">
        <v>58</v>
      </c>
      <c r="H3" s="7">
        <v>57</v>
      </c>
      <c r="I3" s="7">
        <v>57</v>
      </c>
      <c r="J3" s="7">
        <v>54</v>
      </c>
      <c r="K3" s="7">
        <v>53</v>
      </c>
      <c r="L3" s="8">
        <v>54</v>
      </c>
      <c r="M3" s="8">
        <v>56</v>
      </c>
      <c r="N3" s="8">
        <v>55</v>
      </c>
      <c r="O3" s="11">
        <v>55</v>
      </c>
      <c r="P3" s="11">
        <v>53</v>
      </c>
      <c r="Q3" s="7">
        <v>52</v>
      </c>
      <c r="R3" s="7">
        <v>51</v>
      </c>
      <c r="S3" s="7">
        <v>44</v>
      </c>
      <c r="T3" s="7">
        <v>42</v>
      </c>
      <c r="U3" s="7">
        <v>40</v>
      </c>
      <c r="V3" s="7">
        <v>36</v>
      </c>
      <c r="W3" s="1">
        <v>37</v>
      </c>
      <c r="X3" s="7">
        <v>758</v>
      </c>
      <c r="Y3" s="7">
        <v>1004</v>
      </c>
      <c r="Z3" s="7">
        <v>1133</v>
      </c>
      <c r="AA3" s="7">
        <v>1368</v>
      </c>
      <c r="AB3" s="7">
        <v>1449</v>
      </c>
      <c r="AC3" s="7">
        <v>1398</v>
      </c>
      <c r="AD3" s="8">
        <v>1400</v>
      </c>
      <c r="AE3" s="8">
        <v>1305</v>
      </c>
      <c r="AF3" s="8">
        <v>1083</v>
      </c>
      <c r="AG3" s="8">
        <v>1075</v>
      </c>
      <c r="AH3" s="8">
        <v>1077</v>
      </c>
      <c r="AI3" s="7">
        <v>1138</v>
      </c>
      <c r="AJ3" s="7">
        <v>1135</v>
      </c>
      <c r="AK3" s="7">
        <v>1136</v>
      </c>
      <c r="AL3" s="7">
        <v>1098</v>
      </c>
      <c r="AM3" s="7">
        <v>1030</v>
      </c>
      <c r="AN3" s="7">
        <v>1016</v>
      </c>
      <c r="AO3" s="7">
        <v>918</v>
      </c>
      <c r="AP3" s="7">
        <v>899</v>
      </c>
      <c r="AQ3" s="7">
        <v>851</v>
      </c>
      <c r="AR3" s="7">
        <v>785</v>
      </c>
      <c r="AS3" s="7">
        <v>790</v>
      </c>
      <c r="AT3" s="7">
        <v>22926.089199999999</v>
      </c>
      <c r="AU3" s="8">
        <v>28660.149879999997</v>
      </c>
      <c r="AV3" s="7">
        <v>33669.929680000001</v>
      </c>
      <c r="AW3" s="8">
        <v>37521.552619999995</v>
      </c>
      <c r="AX3" s="8">
        <v>39311.197180000003</v>
      </c>
      <c r="AY3" s="8">
        <v>40780.757880000005</v>
      </c>
      <c r="AZ3" s="15">
        <v>41160.91042</v>
      </c>
      <c r="BA3" s="7">
        <v>38710.341260000001</v>
      </c>
      <c r="BB3" s="7">
        <v>40020.325109999998</v>
      </c>
      <c r="BC3" s="7">
        <v>36838.674950000001</v>
      </c>
      <c r="BD3" s="7">
        <v>35112.065020000002</v>
      </c>
      <c r="BE3" s="7">
        <v>33805.415679999998</v>
      </c>
      <c r="BF3" s="7">
        <v>32815.06192</v>
      </c>
      <c r="BG3" s="7">
        <v>31893.48187</v>
      </c>
      <c r="BH3" s="7">
        <v>29543.79809</v>
      </c>
      <c r="BI3" s="7">
        <v>28684.76859</v>
      </c>
      <c r="BJ3" s="7">
        <v>27754.690119999999</v>
      </c>
      <c r="BK3" s="7">
        <v>26527.940329999998</v>
      </c>
      <c r="BL3" s="7">
        <v>24221.672180000001</v>
      </c>
      <c r="BM3" s="2">
        <v>23460.276010000001</v>
      </c>
      <c r="BN3" s="2">
        <v>22031.14229</v>
      </c>
      <c r="BO3" s="2">
        <v>742298.87121000013</v>
      </c>
      <c r="BP3" s="2">
        <v>9410.4656899999991</v>
      </c>
      <c r="BQ3" s="2">
        <v>12005.06963</v>
      </c>
      <c r="BR3" s="7">
        <v>11245.54025</v>
      </c>
      <c r="BS3" s="7">
        <v>12524.903490000001</v>
      </c>
      <c r="BT3" s="7">
        <v>12946.255090000001</v>
      </c>
      <c r="BU3" s="7">
        <v>13530.354869999999</v>
      </c>
      <c r="BV3" s="7">
        <v>13676.58331</v>
      </c>
      <c r="BW3" s="7">
        <v>12676.903880000002</v>
      </c>
      <c r="BX3" s="7">
        <v>13175.86814</v>
      </c>
      <c r="BY3" s="7">
        <v>11856.630349999999</v>
      </c>
      <c r="BZ3" s="7">
        <v>11204.577310000001</v>
      </c>
      <c r="CA3" s="7">
        <v>10612.98474</v>
      </c>
      <c r="CB3" s="7">
        <v>10201.64588</v>
      </c>
      <c r="CC3" s="7">
        <v>9879.6207400000003</v>
      </c>
      <c r="CD3" s="8">
        <v>9023.0329499999989</v>
      </c>
      <c r="CE3" s="8">
        <v>8900.3786199999995</v>
      </c>
      <c r="CF3" s="8">
        <v>8750.2156099999993</v>
      </c>
      <c r="CG3" s="8">
        <v>8485.1089200000006</v>
      </c>
      <c r="CH3" s="8">
        <v>7699.1899199999998</v>
      </c>
      <c r="CI3" s="8">
        <v>7458.57942</v>
      </c>
      <c r="CJ3" s="7">
        <v>6938.9121500000001</v>
      </c>
      <c r="CK3" s="7">
        <v>246509.45962000001</v>
      </c>
      <c r="CL3" s="7">
        <v>1991.3458294587722</v>
      </c>
      <c r="CM3" s="7">
        <v>2466.1955189805108</v>
      </c>
      <c r="CN3" s="7">
        <v>2839.4212043342586</v>
      </c>
      <c r="CO3" s="7">
        <v>3041.6400457907748</v>
      </c>
      <c r="CP3" s="7">
        <v>3027.7271403309405</v>
      </c>
      <c r="CQ3" s="7">
        <v>2947.6118932979789</v>
      </c>
      <c r="CR3" s="7">
        <v>2776.9008340908022</v>
      </c>
      <c r="CS3" s="9">
        <v>2459.9573658626291</v>
      </c>
      <c r="CT3" s="9">
        <v>2398.8968466705824</v>
      </c>
      <c r="CU3" s="9">
        <v>2105.2221393645718</v>
      </c>
      <c r="CV3" s="9">
        <v>1935.3193320318555</v>
      </c>
      <c r="CW3" s="9">
        <v>1801.8803300712327</v>
      </c>
      <c r="CX3" s="9">
        <v>1705.5505395083362</v>
      </c>
      <c r="CY3" s="9">
        <v>1616.789654025599</v>
      </c>
      <c r="CZ3" s="7">
        <v>1454.2559742624671</v>
      </c>
      <c r="DA3" s="7">
        <v>1376.2831350876572</v>
      </c>
      <c r="DB3" s="7">
        <v>1302.8855436724875</v>
      </c>
      <c r="DC3" s="7">
        <v>1219.2759946482306</v>
      </c>
      <c r="DD3" s="7">
        <v>1085.6415201821303</v>
      </c>
      <c r="DE3" s="7">
        <v>1024.8850623716132</v>
      </c>
      <c r="DF3" s="7">
        <v>939.62615832826259</v>
      </c>
      <c r="DG3" s="7">
        <v>817.38718896053001</v>
      </c>
      <c r="DH3" s="7">
        <v>1033.0318944778326</v>
      </c>
      <c r="DI3" s="7">
        <v>948.3484445472825</v>
      </c>
      <c r="DJ3" s="1">
        <v>1015.316407896786</v>
      </c>
      <c r="DK3" s="2">
        <v>997.11356339925601</v>
      </c>
      <c r="DL3" s="2">
        <v>977.96698758542595</v>
      </c>
      <c r="DM3" s="2">
        <v>922.68405177446368</v>
      </c>
      <c r="DN3" s="2">
        <v>805.58946423347936</v>
      </c>
      <c r="DO3" s="2">
        <v>789.78740043507344</v>
      </c>
      <c r="DP3" s="2">
        <v>677.57162126380751</v>
      </c>
      <c r="DQ3" s="1">
        <v>617.5778913298584</v>
      </c>
      <c r="DR3" s="1">
        <v>565.68830945232014</v>
      </c>
      <c r="DS3" s="2">
        <v>530.2267195754539</v>
      </c>
      <c r="DT3" s="2">
        <v>500.83175813907246</v>
      </c>
      <c r="DU3" s="2">
        <v>444.14734806714188</v>
      </c>
      <c r="DV3" s="2">
        <v>427.03642360465545</v>
      </c>
      <c r="DW3" s="2">
        <v>410.76046509599206</v>
      </c>
      <c r="DX3" s="2">
        <v>389.99219273845426</v>
      </c>
      <c r="DY3" s="2">
        <v>345.08601168425747</v>
      </c>
      <c r="DZ3" s="2">
        <v>325.8353239668611</v>
      </c>
      <c r="EA3" s="1">
        <v>295.94395427427497</v>
      </c>
      <c r="EB3" s="2">
        <v>86.954074978050286</v>
      </c>
      <c r="EC3" s="2">
        <v>96.870112904354215</v>
      </c>
      <c r="ED3" s="2">
        <v>113.81052881527206</v>
      </c>
      <c r="EE3" s="2">
        <v>114.52785234586511</v>
      </c>
      <c r="EF3" s="2">
        <v>104.99027178128422</v>
      </c>
      <c r="EG3" s="2">
        <v>97.527999708545224</v>
      </c>
      <c r="EH3" s="2">
        <v>85.347878411356191</v>
      </c>
      <c r="EI3" s="2">
        <v>66.92619320716426</v>
      </c>
      <c r="EJ3" s="1">
        <v>62.559641777467952</v>
      </c>
      <c r="EK3" s="1">
        <v>60.458674687939777</v>
      </c>
      <c r="EL3" s="1">
        <v>61.607653230647166</v>
      </c>
      <c r="EM3" s="1">
        <v>59.578035197436314</v>
      </c>
      <c r="EN3" s="2">
        <v>58.467279107017227</v>
      </c>
      <c r="EO3" s="2">
        <v>54.836440585005349</v>
      </c>
      <c r="EP3" s="2">
        <v>49.981494298623112</v>
      </c>
      <c r="EQ3" s="15">
        <v>48.204722423251681</v>
      </c>
      <c r="ER3" s="2">
        <v>42.64177986881171</v>
      </c>
      <c r="ES3" s="2">
        <v>40.889530363147934</v>
      </c>
      <c r="ET3" s="2">
        <v>37.595326438860177</v>
      </c>
      <c r="EU3" s="2">
        <v>33.915895095883528</v>
      </c>
      <c r="EV3" s="2">
        <v>33.266056111661896</v>
      </c>
      <c r="EW3" s="2">
        <v>26022.802724177072</v>
      </c>
      <c r="EX3" s="2">
        <v>26822.788844174076</v>
      </c>
      <c r="EY3" s="2">
        <v>26925.173674530186</v>
      </c>
      <c r="EZ3" s="2">
        <v>26639.369982250621</v>
      </c>
      <c r="FA3" s="2">
        <v>27615.874380049176</v>
      </c>
      <c r="FB3" s="2">
        <v>29149.934152966405</v>
      </c>
      <c r="FC3" s="2">
        <v>30433.205486136783</v>
      </c>
      <c r="FD3" s="2">
        <v>32420.72132328308</v>
      </c>
      <c r="FE3" s="2">
        <v>37090.199360519</v>
      </c>
      <c r="FF3" s="2">
        <v>34236.68675650558</v>
      </c>
      <c r="FG3" s="2">
        <v>31703.896180586911</v>
      </c>
      <c r="FH3" s="2">
        <v>29745.196374835021</v>
      </c>
      <c r="FI3" s="2">
        <v>28899.217895200352</v>
      </c>
      <c r="FJ3" s="1">
        <v>28552.803822739483</v>
      </c>
      <c r="FK3" s="1">
        <v>27766.72752819549</v>
      </c>
      <c r="FL3" s="1">
        <v>28039.851994134897</v>
      </c>
      <c r="FM3" s="1">
        <v>28701.851209927612</v>
      </c>
      <c r="FN3" s="1">
        <v>29199.714177215188</v>
      </c>
      <c r="FO3" s="1">
        <v>27681.911062857143</v>
      </c>
      <c r="FP3" s="1">
        <v>28680.044022004891</v>
      </c>
      <c r="FQ3" s="1">
        <v>27976.053701587301</v>
      </c>
      <c r="FR3" s="5">
        <v>10</v>
      </c>
      <c r="FS3" s="5">
        <v>3</v>
      </c>
      <c r="FT3" s="5">
        <v>11</v>
      </c>
      <c r="FU3" s="5">
        <v>4</v>
      </c>
      <c r="FV3" s="5">
        <v>1</v>
      </c>
      <c r="FW3" s="5">
        <v>31</v>
      </c>
    </row>
    <row r="4" spans="1:180" x14ac:dyDescent="0.2">
      <c r="A4" s="5">
        <v>2</v>
      </c>
      <c r="B4" s="6" t="s">
        <v>188</v>
      </c>
      <c r="C4" s="7">
        <v>13</v>
      </c>
      <c r="D4" s="7">
        <v>15</v>
      </c>
      <c r="E4" s="7">
        <v>17</v>
      </c>
      <c r="F4" s="7">
        <v>16</v>
      </c>
      <c r="G4" s="7">
        <v>18</v>
      </c>
      <c r="H4" s="7">
        <v>18</v>
      </c>
      <c r="I4" s="7">
        <v>18</v>
      </c>
      <c r="J4" s="7">
        <v>18</v>
      </c>
      <c r="K4" s="7">
        <v>18</v>
      </c>
      <c r="L4" s="8">
        <v>18</v>
      </c>
      <c r="M4" s="8">
        <v>18</v>
      </c>
      <c r="N4" s="8">
        <v>18</v>
      </c>
      <c r="O4" s="11">
        <v>18</v>
      </c>
      <c r="P4" s="11">
        <v>18</v>
      </c>
      <c r="Q4" s="7">
        <v>17</v>
      </c>
      <c r="R4" s="7">
        <v>16</v>
      </c>
      <c r="S4" s="7">
        <v>16</v>
      </c>
      <c r="T4" s="7">
        <v>16</v>
      </c>
      <c r="U4" s="7">
        <v>16</v>
      </c>
      <c r="V4" s="7">
        <v>14</v>
      </c>
      <c r="W4" s="1">
        <v>15</v>
      </c>
      <c r="X4" s="7">
        <v>140</v>
      </c>
      <c r="Y4" s="7">
        <v>162</v>
      </c>
      <c r="Z4" s="7">
        <v>203</v>
      </c>
      <c r="AA4" s="7">
        <v>247</v>
      </c>
      <c r="AB4" s="7">
        <v>277</v>
      </c>
      <c r="AC4" s="7">
        <v>292</v>
      </c>
      <c r="AD4" s="8">
        <v>292</v>
      </c>
      <c r="AE4" s="8">
        <v>275</v>
      </c>
      <c r="AF4" s="8">
        <v>263</v>
      </c>
      <c r="AG4" s="8">
        <v>261</v>
      </c>
      <c r="AH4" s="8">
        <v>266</v>
      </c>
      <c r="AI4" s="7">
        <v>266</v>
      </c>
      <c r="AJ4" s="7">
        <v>265</v>
      </c>
      <c r="AK4" s="7">
        <v>264</v>
      </c>
      <c r="AL4" s="7">
        <v>264</v>
      </c>
      <c r="AM4" s="7">
        <v>232</v>
      </c>
      <c r="AN4" s="7">
        <v>222</v>
      </c>
      <c r="AO4" s="7">
        <v>222</v>
      </c>
      <c r="AP4" s="7">
        <v>222</v>
      </c>
      <c r="AQ4" s="7">
        <v>221</v>
      </c>
      <c r="AR4" s="7">
        <v>212</v>
      </c>
      <c r="AS4" s="7">
        <v>211</v>
      </c>
      <c r="AT4" s="7">
        <v>2621.56315</v>
      </c>
      <c r="AU4" s="8">
        <v>3266.7725300000002</v>
      </c>
      <c r="AV4" s="7">
        <v>3838.0712899999999</v>
      </c>
      <c r="AW4" s="8">
        <v>4265.17551</v>
      </c>
      <c r="AX4" s="8">
        <v>4597.3267699999997</v>
      </c>
      <c r="AY4" s="8">
        <v>4625.1028699999997</v>
      </c>
      <c r="AZ4" s="15">
        <v>5047.7106100000001</v>
      </c>
      <c r="BA4" s="7">
        <v>5393.7993200000001</v>
      </c>
      <c r="BB4" s="7">
        <v>5327.2950600000004</v>
      </c>
      <c r="BC4" s="7">
        <v>5110.4843300000002</v>
      </c>
      <c r="BD4" s="7">
        <v>5155.9771500000006</v>
      </c>
      <c r="BE4" s="7">
        <v>5246.3932399999994</v>
      </c>
      <c r="BF4" s="7">
        <v>5097.0056999999997</v>
      </c>
      <c r="BG4" s="7">
        <v>4961.3543099999997</v>
      </c>
      <c r="BH4" s="7">
        <v>4797.8032000000003</v>
      </c>
      <c r="BI4" s="7">
        <v>5121.5748800000001</v>
      </c>
      <c r="BJ4" s="7">
        <v>4617.3908300000003</v>
      </c>
      <c r="BK4" s="7">
        <v>4445.2864199999995</v>
      </c>
      <c r="BL4" s="7">
        <v>4048.8648400000002</v>
      </c>
      <c r="BM4" s="2">
        <v>3687.1667000000002</v>
      </c>
      <c r="BN4" s="2">
        <v>3600.1847499999999</v>
      </c>
      <c r="BO4" s="2">
        <v>100547.53370000001</v>
      </c>
      <c r="BP4" s="2">
        <v>939.68613999999991</v>
      </c>
      <c r="BQ4" s="2">
        <v>1197.2991200000001</v>
      </c>
      <c r="BR4" s="7">
        <v>1070.72299</v>
      </c>
      <c r="BS4" s="7">
        <v>1198.48939</v>
      </c>
      <c r="BT4" s="7">
        <v>1157.5799299999999</v>
      </c>
      <c r="BU4" s="7">
        <v>1048.55429</v>
      </c>
      <c r="BV4" s="7">
        <v>1212.9772700000001</v>
      </c>
      <c r="BW4" s="7">
        <v>1344.6748</v>
      </c>
      <c r="BX4" s="7">
        <v>1303.2027399999999</v>
      </c>
      <c r="BY4" s="7">
        <v>1212.8193200000001</v>
      </c>
      <c r="BZ4" s="7">
        <v>1235.93021</v>
      </c>
      <c r="CA4" s="7">
        <v>1261.7174500000001</v>
      </c>
      <c r="CB4" s="7">
        <v>1206.59683</v>
      </c>
      <c r="CC4" s="7">
        <v>1177.7317800000001</v>
      </c>
      <c r="CD4" s="8">
        <v>1158.21587</v>
      </c>
      <c r="CE4" s="8">
        <v>1295.7420099999999</v>
      </c>
      <c r="CF4" s="8">
        <v>1149.8789400000001</v>
      </c>
      <c r="CG4" s="8">
        <v>1117.3163399999999</v>
      </c>
      <c r="CH4" s="8">
        <v>995.82392000000004</v>
      </c>
      <c r="CI4" s="8">
        <v>878.75445000000002</v>
      </c>
      <c r="CJ4" s="7">
        <v>845.43254000000002</v>
      </c>
      <c r="CK4" s="7">
        <v>26000.359040000003</v>
      </c>
      <c r="CL4" s="7">
        <v>95.141231593251177</v>
      </c>
      <c r="CM4" s="1">
        <v>117.09038607349846</v>
      </c>
      <c r="CN4" s="7">
        <v>136.20694343253078</v>
      </c>
      <c r="CO4" s="7">
        <v>150.04399938777388</v>
      </c>
      <c r="CP4" s="7">
        <v>160.52815182047593</v>
      </c>
      <c r="CQ4" s="7">
        <v>160.45047950722403</v>
      </c>
      <c r="CR4" s="7">
        <v>173.91584116960556</v>
      </c>
      <c r="CS4" s="9">
        <v>184.48703217371764</v>
      </c>
      <c r="CT4" s="9">
        <v>181.32349696346591</v>
      </c>
      <c r="CU4" s="9">
        <v>173.21292681815251</v>
      </c>
      <c r="CV4" s="9">
        <v>173.83637978905301</v>
      </c>
      <c r="CW4" s="9">
        <v>175.69257338304277</v>
      </c>
      <c r="CX4" s="9">
        <v>169.68093728825207</v>
      </c>
      <c r="CY4" s="9">
        <v>164.55959721023456</v>
      </c>
      <c r="CZ4" s="7">
        <v>158.70292248588311</v>
      </c>
      <c r="DA4" s="7">
        <v>169.06267441008885</v>
      </c>
      <c r="DB4" s="7">
        <v>152.09450112322449</v>
      </c>
      <c r="DC4" s="7">
        <v>146.05535085005221</v>
      </c>
      <c r="DD4" s="7">
        <v>132.80817876236947</v>
      </c>
      <c r="DE4" s="7">
        <v>120.78859612140765</v>
      </c>
      <c r="DF4" s="7">
        <v>117.73876600520258</v>
      </c>
      <c r="DG4" s="7">
        <v>34.102896461108799</v>
      </c>
      <c r="DH4" s="7">
        <v>42.914593813564352</v>
      </c>
      <c r="DI4" s="7">
        <v>37.998227419803918</v>
      </c>
      <c r="DJ4" s="1">
        <v>42.161486878511475</v>
      </c>
      <c r="DK4" s="2">
        <v>40.420047571988427</v>
      </c>
      <c r="DL4" s="2">
        <v>36.375631709972502</v>
      </c>
      <c r="DM4" s="2">
        <v>41.792404226529484</v>
      </c>
      <c r="DN4" s="2">
        <v>45.992638652857281</v>
      </c>
      <c r="DO4" s="2">
        <v>44.356709250711269</v>
      </c>
      <c r="DP4" s="2">
        <v>41.106863959174198</v>
      </c>
      <c r="DQ4" s="1">
        <v>41.670012711038495</v>
      </c>
      <c r="DR4" s="1">
        <v>42.252720208367506</v>
      </c>
      <c r="DS4" s="2">
        <v>40.16799138432075</v>
      </c>
      <c r="DT4" s="2">
        <v>39.063339408729426</v>
      </c>
      <c r="DU4" s="2">
        <v>38.31175139458194</v>
      </c>
      <c r="DV4" s="2">
        <v>42.77231411993025</v>
      </c>
      <c r="DW4" s="2">
        <v>37.876426356441257</v>
      </c>
      <c r="DX4" s="2">
        <v>36.710802101520429</v>
      </c>
      <c r="DY4" s="2">
        <v>32.664355667452583</v>
      </c>
      <c r="DZ4" s="2">
        <v>28.787284380426769</v>
      </c>
      <c r="EA4" s="1">
        <v>27.64863219873482</v>
      </c>
      <c r="EB4" s="2">
        <v>5.8345356671642508</v>
      </c>
      <c r="EC4" s="2">
        <v>7.2413483331066084</v>
      </c>
      <c r="ED4" s="2">
        <v>8.7208223075002156</v>
      </c>
      <c r="EE4" s="2">
        <v>9.7093119038915319</v>
      </c>
      <c r="EF4" s="2">
        <v>10.157157204483831</v>
      </c>
      <c r="EG4" s="2">
        <v>10.102664159406546</v>
      </c>
      <c r="EH4" s="2">
        <v>9.4357519241376444</v>
      </c>
      <c r="EI4" s="2">
        <v>8.9672313408221456</v>
      </c>
      <c r="EJ4" s="1">
        <v>8.8681669905641307</v>
      </c>
      <c r="EK4" s="1">
        <v>8.9934725779237734</v>
      </c>
      <c r="EL4" s="1">
        <v>8.943316990410084</v>
      </c>
      <c r="EM4" s="1">
        <v>8.8393602659194546</v>
      </c>
      <c r="EN4" s="2">
        <v>8.7713516863444756</v>
      </c>
      <c r="EO4" s="2">
        <v>8.741551742073856</v>
      </c>
      <c r="EP4" s="2">
        <v>7.6663530923101275</v>
      </c>
      <c r="EQ4" s="15">
        <v>7.3205049278195293</v>
      </c>
      <c r="ER4" s="2">
        <v>7.3046460262596211</v>
      </c>
      <c r="ES4" s="2">
        <v>7.2835503817760037</v>
      </c>
      <c r="ET4" s="2">
        <v>7.2474499607433049</v>
      </c>
      <c r="EU4" s="2">
        <v>6.9376073604419703</v>
      </c>
      <c r="EV4" s="2">
        <v>6.8960144400671393</v>
      </c>
      <c r="EW4" s="2">
        <v>17361.345364238408</v>
      </c>
      <c r="EX4" s="2">
        <v>17900.123452054795</v>
      </c>
      <c r="EY4" s="2">
        <v>17058.094622222223</v>
      </c>
      <c r="EZ4" s="2">
        <v>16279.295839694656</v>
      </c>
      <c r="FA4" s="2">
        <v>16159.32080843585</v>
      </c>
      <c r="FB4" s="2">
        <v>15839.39339041096</v>
      </c>
      <c r="FC4" s="2">
        <v>17804.975696649031</v>
      </c>
      <c r="FD4" s="2">
        <v>20051.298587360598</v>
      </c>
      <c r="FE4" s="2">
        <v>20333.187251908399</v>
      </c>
      <c r="FF4" s="2">
        <v>19394.627438330172</v>
      </c>
      <c r="FG4" s="2">
        <v>19383.372744360902</v>
      </c>
      <c r="FH4" s="2">
        <v>19760.42651600753</v>
      </c>
      <c r="FI4" s="2">
        <v>19270.342911153115</v>
      </c>
      <c r="FJ4" s="1">
        <v>18793.008749999997</v>
      </c>
      <c r="FK4" s="1">
        <v>19345.980645161289</v>
      </c>
      <c r="FL4" s="1">
        <v>22562.003876651983</v>
      </c>
      <c r="FM4" s="1">
        <v>20799.057792792792</v>
      </c>
      <c r="FN4" s="1">
        <v>20023.812702702697</v>
      </c>
      <c r="FO4" s="1">
        <v>18279.299503386006</v>
      </c>
      <c r="FP4" s="1">
        <v>17030.793071593533</v>
      </c>
      <c r="FQ4" s="1">
        <v>17022.15011820331</v>
      </c>
      <c r="FR4" s="5">
        <v>34</v>
      </c>
      <c r="FS4" s="5">
        <v>42</v>
      </c>
      <c r="FT4" s="5">
        <v>33</v>
      </c>
      <c r="FU4" s="5">
        <v>40</v>
      </c>
      <c r="FV4" s="5">
        <v>36</v>
      </c>
      <c r="FW4" s="5">
        <v>40</v>
      </c>
    </row>
    <row r="5" spans="1:180" x14ac:dyDescent="0.2">
      <c r="A5" s="5">
        <v>3</v>
      </c>
      <c r="B5" s="6" t="s">
        <v>189</v>
      </c>
      <c r="C5" s="7">
        <v>12</v>
      </c>
      <c r="D5" s="7">
        <v>12</v>
      </c>
      <c r="E5" s="7">
        <v>13</v>
      </c>
      <c r="F5" s="7">
        <v>13</v>
      </c>
      <c r="G5" s="7">
        <v>13</v>
      </c>
      <c r="H5" s="7">
        <v>13</v>
      </c>
      <c r="I5" s="7">
        <v>13</v>
      </c>
      <c r="J5" s="7">
        <v>13</v>
      </c>
      <c r="K5" s="7">
        <v>13</v>
      </c>
      <c r="L5" s="8">
        <v>13</v>
      </c>
      <c r="M5" s="8">
        <v>13</v>
      </c>
      <c r="N5" s="8">
        <v>13</v>
      </c>
      <c r="O5" s="11">
        <v>13</v>
      </c>
      <c r="P5" s="11">
        <v>13</v>
      </c>
      <c r="Q5" s="7">
        <v>13</v>
      </c>
      <c r="R5" s="7">
        <v>13</v>
      </c>
      <c r="S5" s="7">
        <v>13</v>
      </c>
      <c r="T5" s="7">
        <v>13</v>
      </c>
      <c r="U5" s="7">
        <v>13</v>
      </c>
      <c r="V5" s="7">
        <v>12</v>
      </c>
      <c r="W5" s="1">
        <v>13</v>
      </c>
      <c r="X5" s="7">
        <v>171</v>
      </c>
      <c r="Y5" s="7">
        <v>189</v>
      </c>
      <c r="Z5" s="7">
        <v>222</v>
      </c>
      <c r="AA5" s="7">
        <v>279</v>
      </c>
      <c r="AB5" s="7">
        <v>287</v>
      </c>
      <c r="AC5" s="7">
        <v>287</v>
      </c>
      <c r="AD5" s="8">
        <v>287</v>
      </c>
      <c r="AE5" s="8">
        <v>268</v>
      </c>
      <c r="AF5" s="8">
        <v>256</v>
      </c>
      <c r="AG5" s="8">
        <v>256</v>
      </c>
      <c r="AH5" s="8">
        <v>256</v>
      </c>
      <c r="AI5" s="7">
        <v>256</v>
      </c>
      <c r="AJ5" s="7">
        <v>256</v>
      </c>
      <c r="AK5" s="7">
        <v>252</v>
      </c>
      <c r="AL5" s="7">
        <v>256</v>
      </c>
      <c r="AM5" s="7">
        <v>256</v>
      </c>
      <c r="AN5" s="7">
        <v>256</v>
      </c>
      <c r="AO5" s="7">
        <v>256</v>
      </c>
      <c r="AP5" s="7">
        <v>256</v>
      </c>
      <c r="AQ5" s="7">
        <v>256</v>
      </c>
      <c r="AR5" s="7">
        <v>246</v>
      </c>
      <c r="AS5" s="7">
        <v>250</v>
      </c>
      <c r="AT5" s="7">
        <v>3591.7895899999999</v>
      </c>
      <c r="AU5" s="8">
        <v>4060.8548600000004</v>
      </c>
      <c r="AV5" s="7">
        <v>4768.3688199999997</v>
      </c>
      <c r="AW5" s="8">
        <v>5733.7739600000004</v>
      </c>
      <c r="AX5" s="8">
        <v>6567.6389899999995</v>
      </c>
      <c r="AY5" s="8">
        <v>7512.5791300000001</v>
      </c>
      <c r="AZ5" s="15">
        <v>8034.0729000000001</v>
      </c>
      <c r="BA5" s="7">
        <v>8163.3873800000001</v>
      </c>
      <c r="BB5" s="7">
        <v>8820.7628600000007</v>
      </c>
      <c r="BC5" s="7">
        <v>8530.6573900000003</v>
      </c>
      <c r="BD5" s="7">
        <v>8558.3025999999991</v>
      </c>
      <c r="BE5" s="7">
        <v>8374.4327400000002</v>
      </c>
      <c r="BF5" s="7">
        <v>8618.7659600000006</v>
      </c>
      <c r="BG5" s="7">
        <v>8521.6827900000008</v>
      </c>
      <c r="BH5" s="7">
        <v>8446.2620199999983</v>
      </c>
      <c r="BI5" s="7">
        <v>8137.6545999999998</v>
      </c>
      <c r="BJ5" s="7">
        <v>7829.6820399999997</v>
      </c>
      <c r="BK5" s="7">
        <v>7850.0425000000005</v>
      </c>
      <c r="BL5" s="7">
        <v>7893.4460600000002</v>
      </c>
      <c r="BM5" s="2">
        <v>7664.0582800000002</v>
      </c>
      <c r="BN5" s="2">
        <v>7569.4701100000002</v>
      </c>
      <c r="BO5" s="2">
        <v>163373.23035000003</v>
      </c>
      <c r="BP5" s="2">
        <v>1338.5214699999999</v>
      </c>
      <c r="BQ5" s="2">
        <v>1500.2732799999999</v>
      </c>
      <c r="BR5" s="7">
        <v>1377.7063800000001</v>
      </c>
      <c r="BS5" s="7">
        <v>1728.0208200000002</v>
      </c>
      <c r="BT5" s="7">
        <v>1946.3868000000002</v>
      </c>
      <c r="BU5" s="7">
        <v>2261.4322399999996</v>
      </c>
      <c r="BV5" s="7">
        <v>2450.0345299999999</v>
      </c>
      <c r="BW5" s="7">
        <v>2491.50947</v>
      </c>
      <c r="BX5" s="7">
        <v>2714.4929400000001</v>
      </c>
      <c r="BY5" s="7">
        <v>2587.3247999999999</v>
      </c>
      <c r="BZ5" s="7">
        <v>2612.9928200000004</v>
      </c>
      <c r="CA5" s="7">
        <v>2525.9178000000002</v>
      </c>
      <c r="CB5" s="7">
        <v>2615.3594499999999</v>
      </c>
      <c r="CC5" s="7">
        <v>2587.2448199999999</v>
      </c>
      <c r="CD5" s="8">
        <v>2582.4467099999997</v>
      </c>
      <c r="CE5" s="8">
        <v>2451.0117300000002</v>
      </c>
      <c r="CF5" s="8">
        <v>2339.4603099999999</v>
      </c>
      <c r="CG5" s="8">
        <v>2381.2510899999997</v>
      </c>
      <c r="CH5" s="8">
        <v>2411.0480699999998</v>
      </c>
      <c r="CI5" s="8">
        <v>2349.2196100000001</v>
      </c>
      <c r="CJ5" s="7">
        <v>2330.12257</v>
      </c>
      <c r="CK5" s="7">
        <v>50429.602579999999</v>
      </c>
      <c r="CL5" s="7">
        <v>280.5689937967523</v>
      </c>
      <c r="CM5" s="1">
        <v>308.05792681547638</v>
      </c>
      <c r="CN5" s="7">
        <v>351.23595404976425</v>
      </c>
      <c r="CO5" s="7">
        <v>408.45504673646633</v>
      </c>
      <c r="CP5" s="7">
        <v>451.155731993026</v>
      </c>
      <c r="CQ5" s="7">
        <v>496.58176844443744</v>
      </c>
      <c r="CR5" s="7">
        <v>511.80301103449068</v>
      </c>
      <c r="CS5" s="9">
        <v>503.21957382484692</v>
      </c>
      <c r="CT5" s="9">
        <v>525.99384407255639</v>
      </c>
      <c r="CU5" s="9">
        <v>492.08541305980077</v>
      </c>
      <c r="CV5" s="9">
        <v>478.80059259876992</v>
      </c>
      <c r="CW5" s="9">
        <v>453.99435025660893</v>
      </c>
      <c r="CX5" s="9">
        <v>454.61021293838604</v>
      </c>
      <c r="CY5" s="9">
        <v>438.71186803527706</v>
      </c>
      <c r="CZ5" s="7">
        <v>423.55692387933124</v>
      </c>
      <c r="DA5" s="7">
        <v>398.21040360621203</v>
      </c>
      <c r="DB5" s="7">
        <v>374.11398196919453</v>
      </c>
      <c r="DC5" s="7">
        <v>367.3885440897065</v>
      </c>
      <c r="DD5" s="7">
        <v>364.5662002590272</v>
      </c>
      <c r="DE5" s="7">
        <v>350.84806347795978</v>
      </c>
      <c r="DF5" s="7">
        <v>343.40668598098767</v>
      </c>
      <c r="DG5" s="7">
        <v>104.55724440507936</v>
      </c>
      <c r="DH5" s="7">
        <v>113.8112767451764</v>
      </c>
      <c r="DI5" s="7">
        <v>101.48124716152874</v>
      </c>
      <c r="DJ5" s="1">
        <v>123.09847401007187</v>
      </c>
      <c r="DK5" s="2">
        <v>133.70460264832002</v>
      </c>
      <c r="DL5" s="2">
        <v>149.48075774297573</v>
      </c>
      <c r="DM5" s="2">
        <v>156.07713113886146</v>
      </c>
      <c r="DN5" s="2">
        <v>153.58530415274376</v>
      </c>
      <c r="DO5" s="2">
        <v>161.86883140155237</v>
      </c>
      <c r="DP5" s="2">
        <v>149.24814521567208</v>
      </c>
      <c r="DQ5" s="1">
        <v>146.18582318792176</v>
      </c>
      <c r="DR5" s="1">
        <v>136.93493589544349</v>
      </c>
      <c r="DS5" s="2">
        <v>137.95120113401012</v>
      </c>
      <c r="DT5" s="2">
        <v>133.1961111458825</v>
      </c>
      <c r="DU5" s="2">
        <v>129.50263465422299</v>
      </c>
      <c r="DV5" s="2">
        <v>119.93853490007551</v>
      </c>
      <c r="DW5" s="2">
        <v>111.78293163907155</v>
      </c>
      <c r="DX5" s="2">
        <v>111.44453944894266</v>
      </c>
      <c r="DY5" s="2">
        <v>111.35651359879704</v>
      </c>
      <c r="DZ5" s="2">
        <v>107.54343465834762</v>
      </c>
      <c r="EA5" s="1">
        <v>105.711451140561</v>
      </c>
      <c r="EB5" s="2">
        <v>14.546263674921892</v>
      </c>
      <c r="EC5" s="2">
        <v>16.602845743733162</v>
      </c>
      <c r="ED5" s="2">
        <v>20.245649375598603</v>
      </c>
      <c r="EE5" s="2">
        <v>20.077394126669127</v>
      </c>
      <c r="EF5" s="2">
        <v>19.365659692263961</v>
      </c>
      <c r="EG5" s="2">
        <v>18.591549724379579</v>
      </c>
      <c r="EH5" s="2">
        <v>16.794026045801541</v>
      </c>
      <c r="EI5" s="2">
        <v>15.527782457544561</v>
      </c>
      <c r="EJ5" s="1">
        <v>15.012165201478911</v>
      </c>
      <c r="EK5" s="1">
        <v>14.53008783569919</v>
      </c>
      <c r="EL5" s="1">
        <v>14.12000207183925</v>
      </c>
      <c r="EM5" s="1">
        <v>13.644655818986729</v>
      </c>
      <c r="EN5" s="2">
        <v>13.155666480618756</v>
      </c>
      <c r="EO5" s="2">
        <v>12.999272254661964</v>
      </c>
      <c r="EP5" s="2">
        <v>12.680093653846946</v>
      </c>
      <c r="EQ5" s="15">
        <v>12.377910327145646</v>
      </c>
      <c r="ER5" s="2">
        <v>12.089616490252709</v>
      </c>
      <c r="ES5" s="2">
        <v>11.874344864789609</v>
      </c>
      <c r="ET5" s="2">
        <v>11.773286610621186</v>
      </c>
      <c r="EU5" s="2">
        <v>11.210037645379659</v>
      </c>
      <c r="EV5" s="2">
        <v>11.291798204337081</v>
      </c>
      <c r="EW5" s="2">
        <v>19954.386611111109</v>
      </c>
      <c r="EX5" s="2">
        <v>19760.850900243309</v>
      </c>
      <c r="EY5" s="2">
        <v>19035.404471057882</v>
      </c>
      <c r="EZ5" s="2">
        <v>20260.685371024738</v>
      </c>
      <c r="FA5" s="2">
        <v>22883.759547038324</v>
      </c>
      <c r="FB5" s="2">
        <v>26176.233902439024</v>
      </c>
      <c r="FC5" s="2">
        <v>28951.614054054055</v>
      </c>
      <c r="FD5" s="2">
        <v>31157.967099236641</v>
      </c>
      <c r="FE5" s="2">
        <v>34456.104921875005</v>
      </c>
      <c r="FF5" s="2">
        <v>33322.880429687502</v>
      </c>
      <c r="FG5" s="2">
        <v>33430.869531249999</v>
      </c>
      <c r="FH5" s="2">
        <v>32712.627890625001</v>
      </c>
      <c r="FI5" s="2">
        <v>33932.149448818898</v>
      </c>
      <c r="FJ5" s="1">
        <v>33549.932244094489</v>
      </c>
      <c r="FK5" s="1">
        <v>32993.211015624991</v>
      </c>
      <c r="FL5" s="1">
        <v>31787.713281249999</v>
      </c>
      <c r="FM5" s="1">
        <v>30584.69546875</v>
      </c>
      <c r="FN5" s="1">
        <v>30664.228515625004</v>
      </c>
      <c r="FO5" s="1">
        <v>30833.773671875002</v>
      </c>
      <c r="FP5" s="1">
        <v>30534.09673306773</v>
      </c>
      <c r="FQ5" s="1">
        <v>30522.056895161291</v>
      </c>
      <c r="FR5" s="5">
        <v>25</v>
      </c>
      <c r="FS5" s="5">
        <v>31</v>
      </c>
      <c r="FT5" s="5">
        <v>25</v>
      </c>
      <c r="FU5" s="5">
        <v>29</v>
      </c>
      <c r="FV5" s="5">
        <v>23</v>
      </c>
      <c r="FW5" s="5">
        <v>28</v>
      </c>
    </row>
    <row r="6" spans="1:180" x14ac:dyDescent="0.2">
      <c r="A6" s="5">
        <v>4</v>
      </c>
      <c r="B6" s="6" t="s">
        <v>190</v>
      </c>
      <c r="C6" s="7">
        <v>12</v>
      </c>
      <c r="D6" s="7">
        <v>15</v>
      </c>
      <c r="E6" s="7">
        <v>14</v>
      </c>
      <c r="F6" s="7">
        <v>15</v>
      </c>
      <c r="G6" s="7">
        <v>15</v>
      </c>
      <c r="H6" s="7">
        <v>15</v>
      </c>
      <c r="I6" s="7">
        <v>15</v>
      </c>
      <c r="J6" s="7">
        <v>15</v>
      </c>
      <c r="K6" s="7">
        <v>15</v>
      </c>
      <c r="L6" s="8">
        <v>15</v>
      </c>
      <c r="M6" s="8">
        <v>15</v>
      </c>
      <c r="N6" s="8">
        <v>15</v>
      </c>
      <c r="O6" s="11">
        <v>15</v>
      </c>
      <c r="P6" s="11">
        <v>15</v>
      </c>
      <c r="Q6" s="7">
        <v>15</v>
      </c>
      <c r="R6" s="7">
        <v>15</v>
      </c>
      <c r="S6" s="7">
        <v>15</v>
      </c>
      <c r="T6" s="7">
        <v>15</v>
      </c>
      <c r="U6" s="7">
        <v>14</v>
      </c>
      <c r="V6" s="7">
        <v>15</v>
      </c>
      <c r="W6" s="1">
        <v>14</v>
      </c>
      <c r="X6" s="7">
        <v>154</v>
      </c>
      <c r="Y6" s="7">
        <v>194</v>
      </c>
      <c r="Z6" s="7">
        <v>223</v>
      </c>
      <c r="AA6" s="7">
        <v>205</v>
      </c>
      <c r="AB6" s="7">
        <v>261</v>
      </c>
      <c r="AC6" s="7">
        <v>261</v>
      </c>
      <c r="AD6" s="8">
        <v>261</v>
      </c>
      <c r="AE6" s="8">
        <v>253</v>
      </c>
      <c r="AF6" s="8">
        <v>240</v>
      </c>
      <c r="AG6" s="8">
        <v>240</v>
      </c>
      <c r="AH6" s="8">
        <v>240</v>
      </c>
      <c r="AI6" s="7">
        <v>240</v>
      </c>
      <c r="AJ6" s="7">
        <v>234</v>
      </c>
      <c r="AK6" s="7">
        <v>235</v>
      </c>
      <c r="AL6" s="7">
        <v>235</v>
      </c>
      <c r="AM6" s="7">
        <v>244</v>
      </c>
      <c r="AN6" s="7">
        <v>243</v>
      </c>
      <c r="AO6" s="7">
        <v>249</v>
      </c>
      <c r="AP6" s="7">
        <v>253</v>
      </c>
      <c r="AQ6" s="7">
        <v>244</v>
      </c>
      <c r="AR6" s="7">
        <v>264</v>
      </c>
      <c r="AS6" s="7">
        <v>256</v>
      </c>
      <c r="AT6" s="7">
        <v>4174.1735699999999</v>
      </c>
      <c r="AU6" s="8">
        <v>4567.2281000000003</v>
      </c>
      <c r="AV6" s="7">
        <v>4784.8754300000001</v>
      </c>
      <c r="AW6" s="8">
        <v>5248.3387599999996</v>
      </c>
      <c r="AX6" s="8">
        <v>6105.29252</v>
      </c>
      <c r="AY6" s="8">
        <v>6546.8124200000002</v>
      </c>
      <c r="AZ6" s="15">
        <v>6679.7547799999993</v>
      </c>
      <c r="BA6" s="7">
        <v>7545.6779900000001</v>
      </c>
      <c r="BB6" s="7">
        <v>7705.4124300000003</v>
      </c>
      <c r="BC6" s="7">
        <v>7099.5304500000002</v>
      </c>
      <c r="BD6" s="7">
        <v>6630.8438799999994</v>
      </c>
      <c r="BE6" s="7">
        <v>6561.8204900000001</v>
      </c>
      <c r="BF6" s="7">
        <v>6454.6615499999998</v>
      </c>
      <c r="BG6" s="7">
        <v>6580.6079900000004</v>
      </c>
      <c r="BH6" s="7">
        <v>6459.3995699999996</v>
      </c>
      <c r="BI6" s="7">
        <v>6642.1454100000001</v>
      </c>
      <c r="BJ6" s="7">
        <v>6776.0237799999995</v>
      </c>
      <c r="BK6" s="7">
        <v>6650.0511499999993</v>
      </c>
      <c r="BL6" s="7">
        <v>6275.6280500000003</v>
      </c>
      <c r="BM6" s="2">
        <v>6203.9408400000002</v>
      </c>
      <c r="BN6" s="2">
        <v>6329.9509200000002</v>
      </c>
      <c r="BO6" s="2">
        <v>143999.37914999999</v>
      </c>
      <c r="BP6" s="2">
        <v>1476.2624599999999</v>
      </c>
      <c r="BQ6" s="2">
        <v>1629.4397899999999</v>
      </c>
      <c r="BR6" s="7">
        <v>1282.33466</v>
      </c>
      <c r="BS6" s="7">
        <v>1470.2385899999999</v>
      </c>
      <c r="BT6" s="7">
        <v>1621.5988299999999</v>
      </c>
      <c r="BU6" s="7">
        <v>1692.8189199999999</v>
      </c>
      <c r="BV6" s="7">
        <v>1738.2866199999999</v>
      </c>
      <c r="BW6" s="7">
        <v>2007.2927300000001</v>
      </c>
      <c r="BX6" s="7">
        <v>2037.57593</v>
      </c>
      <c r="BY6" s="7">
        <v>1824.1171800000002</v>
      </c>
      <c r="BZ6" s="7">
        <v>1672.4349900000002</v>
      </c>
      <c r="CA6" s="7">
        <v>1647.91202</v>
      </c>
      <c r="CB6" s="7">
        <v>1620.6473700000001</v>
      </c>
      <c r="CC6" s="7">
        <v>1674.1601799999999</v>
      </c>
      <c r="CD6" s="8">
        <v>1642.77117</v>
      </c>
      <c r="CE6" s="8">
        <v>1728.7272800000001</v>
      </c>
      <c r="CF6" s="8">
        <v>1785.1303300000002</v>
      </c>
      <c r="CG6" s="8">
        <v>1777.3013299999998</v>
      </c>
      <c r="CH6" s="8">
        <v>1679.6382100000001</v>
      </c>
      <c r="CI6" s="8">
        <v>1644.5667699999999</v>
      </c>
      <c r="CJ6" s="7">
        <v>1667.5585099999998</v>
      </c>
      <c r="CK6" s="7">
        <v>39613.91188</v>
      </c>
      <c r="CL6" s="7">
        <v>298.74782503078353</v>
      </c>
      <c r="CM6" s="1">
        <v>323.58333464403057</v>
      </c>
      <c r="CN6" s="7">
        <v>333.69358501835904</v>
      </c>
      <c r="CO6" s="7">
        <v>359.81744886883553</v>
      </c>
      <c r="CP6" s="7">
        <v>411.8571112204412</v>
      </c>
      <c r="CQ6" s="7">
        <v>431.94808067579214</v>
      </c>
      <c r="CR6" s="7">
        <v>430.3658777694402</v>
      </c>
      <c r="CS6" s="9">
        <v>476.12525081726284</v>
      </c>
      <c r="CT6" s="9">
        <v>478.30415278056466</v>
      </c>
      <c r="CU6" s="9">
        <v>434.80802386202083</v>
      </c>
      <c r="CV6" s="9">
        <v>400.86326373608284</v>
      </c>
      <c r="CW6" s="9">
        <v>390.88475045309974</v>
      </c>
      <c r="CX6" s="9">
        <v>378.77935906140385</v>
      </c>
      <c r="CY6" s="9">
        <v>380.37052482084425</v>
      </c>
      <c r="CZ6" s="7">
        <v>367.2456722160905</v>
      </c>
      <c r="DA6" s="7">
        <v>371.49932573387792</v>
      </c>
      <c r="DB6" s="7">
        <v>372.29849574151848</v>
      </c>
      <c r="DC6" s="7">
        <v>358.70242067729185</v>
      </c>
      <c r="DD6" s="7">
        <v>333.4843902087913</v>
      </c>
      <c r="DE6" s="7">
        <v>325.60803706898253</v>
      </c>
      <c r="DF6" s="7">
        <v>327.96476060865001</v>
      </c>
      <c r="DG6" s="7">
        <v>105.65689032897453</v>
      </c>
      <c r="DH6" s="7">
        <v>115.44410511265438</v>
      </c>
      <c r="DI6" s="7">
        <v>89.429047035546034</v>
      </c>
      <c r="DJ6" s="1">
        <v>100.79713274497429</v>
      </c>
      <c r="DK6" s="2">
        <v>109.39148410897883</v>
      </c>
      <c r="DL6" s="2">
        <v>111.68945076108768</v>
      </c>
      <c r="DM6" s="2">
        <v>111.99501653430059</v>
      </c>
      <c r="DN6" s="2">
        <v>126.65830105677732</v>
      </c>
      <c r="DO6" s="2">
        <v>126.4800603184223</v>
      </c>
      <c r="DP6" s="2">
        <v>111.71735819916967</v>
      </c>
      <c r="DQ6" s="1">
        <v>101.10594678604062</v>
      </c>
      <c r="DR6" s="1">
        <v>98.165391706161031</v>
      </c>
      <c r="DS6" s="2">
        <v>95.104563936919334</v>
      </c>
      <c r="DT6" s="2">
        <v>96.769354331461855</v>
      </c>
      <c r="DU6" s="2">
        <v>93.398867199024124</v>
      </c>
      <c r="DV6" s="2">
        <v>96.688792439092467</v>
      </c>
      <c r="DW6" s="2">
        <v>98.081317028902248</v>
      </c>
      <c r="DX6" s="2">
        <v>95.867276050045163</v>
      </c>
      <c r="DY6" s="2">
        <v>89.255309551565247</v>
      </c>
      <c r="DZ6" s="2">
        <v>86.31354998681401</v>
      </c>
      <c r="EA6" s="1">
        <v>86.398841704299826</v>
      </c>
      <c r="EB6" s="2">
        <v>13.820509907317374</v>
      </c>
      <c r="EC6" s="2">
        <v>15.713122033622453</v>
      </c>
      <c r="ED6" s="2">
        <v>14.15130316927903</v>
      </c>
      <c r="EE6" s="2">
        <v>17.772110032948039</v>
      </c>
      <c r="EF6" s="2">
        <v>17.444550344509029</v>
      </c>
      <c r="EG6" s="2">
        <v>17.001853685790959</v>
      </c>
      <c r="EH6" s="2">
        <v>16.123947693209907</v>
      </c>
      <c r="EI6" s="2">
        <v>14.995086646426582</v>
      </c>
      <c r="EJ6" s="1">
        <v>14.801589096903459</v>
      </c>
      <c r="EK6" s="1">
        <v>14.597247413871875</v>
      </c>
      <c r="EL6" s="1">
        <v>14.421893466548736</v>
      </c>
      <c r="EM6" s="1">
        <v>13.819308490863783</v>
      </c>
      <c r="EN6" s="2">
        <v>13.70378281854272</v>
      </c>
      <c r="EO6" s="2">
        <v>13.465126574052931</v>
      </c>
      <c r="EP6" s="2">
        <v>13.765829733366846</v>
      </c>
      <c r="EQ6" s="15">
        <v>13.474893204863688</v>
      </c>
      <c r="ER6" s="2">
        <v>13.55656195828684</v>
      </c>
      <c r="ES6" s="2">
        <v>13.521541350004494</v>
      </c>
      <c r="ET6" s="2">
        <v>12.892434726981836</v>
      </c>
      <c r="EU6" s="2">
        <v>13.763637284050393</v>
      </c>
      <c r="EV6" s="2">
        <v>13.181992611000995</v>
      </c>
      <c r="EW6" s="2">
        <v>23989.503275862069</v>
      </c>
      <c r="EX6" s="2">
        <v>21905.170743405277</v>
      </c>
      <c r="EY6" s="2">
        <v>22359.23098130841</v>
      </c>
      <c r="EZ6" s="2">
        <v>22525.05905579399</v>
      </c>
      <c r="FA6" s="2">
        <v>23391.925363984672</v>
      </c>
      <c r="FB6" s="2">
        <v>25083.572490421455</v>
      </c>
      <c r="FC6" s="2">
        <v>25991.263735408556</v>
      </c>
      <c r="FD6" s="2">
        <v>30611.269736308317</v>
      </c>
      <c r="FE6" s="2">
        <v>32105.885125000004</v>
      </c>
      <c r="FF6" s="2">
        <v>29581.376875000002</v>
      </c>
      <c r="FG6" s="2">
        <v>27628.516166666665</v>
      </c>
      <c r="FH6" s="2">
        <v>27687.006286919834</v>
      </c>
      <c r="FI6" s="2">
        <v>27525.209168443496</v>
      </c>
      <c r="FJ6" s="1">
        <v>28002.587191489361</v>
      </c>
      <c r="FK6" s="1">
        <v>26970.353110647178</v>
      </c>
      <c r="FL6" s="1">
        <v>27277.804558521562</v>
      </c>
      <c r="FM6" s="1">
        <v>27544.812113821135</v>
      </c>
      <c r="FN6" s="1">
        <v>26494.227689243027</v>
      </c>
      <c r="FO6" s="1">
        <v>25254.036418511067</v>
      </c>
      <c r="FP6" s="1">
        <v>24424.963937007873</v>
      </c>
      <c r="FQ6" s="1">
        <v>24345.965076923076</v>
      </c>
      <c r="FR6" s="5">
        <v>26</v>
      </c>
      <c r="FS6" s="5">
        <v>32</v>
      </c>
      <c r="FT6" s="5">
        <v>26</v>
      </c>
      <c r="FU6" s="5">
        <v>32</v>
      </c>
      <c r="FV6" s="5">
        <v>16</v>
      </c>
      <c r="FW6" s="5">
        <v>34</v>
      </c>
    </row>
    <row r="7" spans="1:180" x14ac:dyDescent="0.2">
      <c r="A7" s="5">
        <v>5</v>
      </c>
      <c r="B7" s="6" t="s">
        <v>156</v>
      </c>
      <c r="C7" s="7">
        <v>13</v>
      </c>
      <c r="D7" s="7">
        <v>15</v>
      </c>
      <c r="E7" s="7">
        <v>16</v>
      </c>
      <c r="F7" s="7">
        <v>16</v>
      </c>
      <c r="G7" s="7">
        <v>16</v>
      </c>
      <c r="H7" s="7">
        <v>16</v>
      </c>
      <c r="I7" s="7">
        <v>16</v>
      </c>
      <c r="J7" s="7">
        <v>16</v>
      </c>
      <c r="K7" s="7">
        <v>15</v>
      </c>
      <c r="L7" s="8">
        <v>16</v>
      </c>
      <c r="M7" s="8">
        <v>16</v>
      </c>
      <c r="N7" s="8">
        <v>16</v>
      </c>
      <c r="O7" s="11">
        <v>16</v>
      </c>
      <c r="P7" s="11">
        <v>16</v>
      </c>
      <c r="Q7" s="7">
        <v>16</v>
      </c>
      <c r="R7" s="7">
        <v>15</v>
      </c>
      <c r="S7" s="7">
        <v>15</v>
      </c>
      <c r="T7" s="7">
        <v>15</v>
      </c>
      <c r="U7" s="7">
        <v>15</v>
      </c>
      <c r="V7" s="7">
        <v>15</v>
      </c>
      <c r="W7" s="1">
        <v>16</v>
      </c>
      <c r="X7" s="7">
        <v>180</v>
      </c>
      <c r="Y7" s="7">
        <v>192</v>
      </c>
      <c r="Z7" s="7">
        <v>221</v>
      </c>
      <c r="AA7" s="7">
        <v>260</v>
      </c>
      <c r="AB7" s="7">
        <v>260</v>
      </c>
      <c r="AC7" s="7">
        <v>260</v>
      </c>
      <c r="AD7" s="8">
        <v>260</v>
      </c>
      <c r="AE7" s="8">
        <v>258</v>
      </c>
      <c r="AF7" s="8">
        <v>237</v>
      </c>
      <c r="AG7" s="8">
        <v>231</v>
      </c>
      <c r="AH7" s="8">
        <v>263</v>
      </c>
      <c r="AI7" s="7">
        <v>263</v>
      </c>
      <c r="AJ7" s="7">
        <v>263</v>
      </c>
      <c r="AK7" s="7">
        <v>263</v>
      </c>
      <c r="AL7" s="7">
        <v>263</v>
      </c>
      <c r="AM7" s="7">
        <v>262</v>
      </c>
      <c r="AN7" s="7">
        <v>258</v>
      </c>
      <c r="AO7" s="7">
        <v>263</v>
      </c>
      <c r="AP7" s="7">
        <v>265</v>
      </c>
      <c r="AQ7" s="7">
        <v>265</v>
      </c>
      <c r="AR7" s="7">
        <v>265</v>
      </c>
      <c r="AS7" s="7">
        <v>273</v>
      </c>
      <c r="AT7" s="7">
        <v>5032.63213</v>
      </c>
      <c r="AU7" s="8">
        <v>5302.4289999999992</v>
      </c>
      <c r="AV7" s="7">
        <v>5738.4217700000008</v>
      </c>
      <c r="AW7" s="8">
        <v>6714.2716099999998</v>
      </c>
      <c r="AX7" s="8">
        <v>7674.3906399999996</v>
      </c>
      <c r="AY7" s="8">
        <v>8192.6276799999996</v>
      </c>
      <c r="AZ7" s="15">
        <v>8910.0698000000011</v>
      </c>
      <c r="BA7" s="7">
        <v>8699.7982800000009</v>
      </c>
      <c r="BB7" s="7">
        <v>9502.0227400000022</v>
      </c>
      <c r="BC7" s="7">
        <v>9645.2846200000004</v>
      </c>
      <c r="BD7" s="7">
        <v>10169.809110000002</v>
      </c>
      <c r="BE7" s="7">
        <v>10090.129289999999</v>
      </c>
      <c r="BF7" s="7">
        <v>10548.915800000001</v>
      </c>
      <c r="BG7" s="7">
        <v>10313.38185</v>
      </c>
      <c r="BH7" s="7">
        <v>10114.943770000002</v>
      </c>
      <c r="BI7" s="7">
        <v>10277.66986</v>
      </c>
      <c r="BJ7" s="7">
        <v>9962.4108799999995</v>
      </c>
      <c r="BK7" s="7">
        <v>9515.6807900000022</v>
      </c>
      <c r="BL7" s="7">
        <v>9479.1966899999989</v>
      </c>
      <c r="BM7" s="2">
        <v>9133.3421999999991</v>
      </c>
      <c r="BN7" s="2">
        <v>8929.3853600000002</v>
      </c>
      <c r="BO7" s="2">
        <v>198520.05920999998</v>
      </c>
      <c r="BP7" s="2">
        <v>1922.25089</v>
      </c>
      <c r="BQ7" s="2">
        <v>2024.4065600000001</v>
      </c>
      <c r="BR7" s="7">
        <v>1686.8714</v>
      </c>
      <c r="BS7" s="7">
        <v>2011.8447899999999</v>
      </c>
      <c r="BT7" s="7">
        <v>2270.4206099999997</v>
      </c>
      <c r="BU7" s="7">
        <v>2373.53802</v>
      </c>
      <c r="BV7" s="7">
        <v>2650.4785499999998</v>
      </c>
      <c r="BW7" s="7">
        <v>2535.8297199999997</v>
      </c>
      <c r="BX7" s="7">
        <v>2857.3429499999997</v>
      </c>
      <c r="BY7" s="7">
        <v>2841.3398700000002</v>
      </c>
      <c r="BZ7" s="7">
        <v>3051.5891400000005</v>
      </c>
      <c r="CA7" s="7">
        <v>3031.3772600000002</v>
      </c>
      <c r="CB7" s="7">
        <v>3228.8350600000003</v>
      </c>
      <c r="CC7" s="7">
        <v>3143.7360799999997</v>
      </c>
      <c r="CD7" s="8">
        <v>3041.57465</v>
      </c>
      <c r="CE7" s="8">
        <v>3143.5018100000002</v>
      </c>
      <c r="CF7" s="8">
        <v>3034.4071300000001</v>
      </c>
      <c r="CG7" s="8">
        <v>2854.0298000000003</v>
      </c>
      <c r="CH7" s="8">
        <v>2835.3527099999997</v>
      </c>
      <c r="CI7" s="8">
        <v>2698.4587300000003</v>
      </c>
      <c r="CJ7" s="7">
        <v>2613.8074399999996</v>
      </c>
      <c r="CK7" s="7">
        <v>61001.869030000002</v>
      </c>
      <c r="CL7" s="7">
        <v>500.22002563833922</v>
      </c>
      <c r="CM7" s="1">
        <v>520.5203095198998</v>
      </c>
      <c r="CN7" s="7">
        <v>553.83555740947338</v>
      </c>
      <c r="CO7" s="7">
        <v>638.79675554702339</v>
      </c>
      <c r="CP7" s="7">
        <v>722.89425233405007</v>
      </c>
      <c r="CQ7" s="7">
        <v>762.95767854917437</v>
      </c>
      <c r="CR7" s="7">
        <v>818.01416164162345</v>
      </c>
      <c r="CS7" s="9">
        <v>785.07403389890044</v>
      </c>
      <c r="CT7" s="9">
        <v>836.85103704292806</v>
      </c>
      <c r="CU7" s="9">
        <v>826.42480432995035</v>
      </c>
      <c r="CV7" s="9">
        <v>848.41321265056592</v>
      </c>
      <c r="CW7" s="9">
        <v>822.74691852597141</v>
      </c>
      <c r="CX7" s="9">
        <v>849.95224261423652</v>
      </c>
      <c r="CY7" s="9">
        <v>817.75052641049808</v>
      </c>
      <c r="CZ7" s="7">
        <v>783.00899112543163</v>
      </c>
      <c r="DA7" s="7">
        <v>777.72848351559207</v>
      </c>
      <c r="DB7" s="7">
        <v>737.7390708265774</v>
      </c>
      <c r="DC7" s="7">
        <v>690.72962968273771</v>
      </c>
      <c r="DD7" s="7">
        <v>678.35463670067497</v>
      </c>
      <c r="DE7" s="7">
        <v>646.88800020440112</v>
      </c>
      <c r="DF7" s="7">
        <v>625.47598436095257</v>
      </c>
      <c r="DG7" s="7">
        <v>191.06272118465381</v>
      </c>
      <c r="DH7" s="7">
        <v>198.72868249726983</v>
      </c>
      <c r="DI7" s="7">
        <v>162.80597689442729</v>
      </c>
      <c r="DJ7" s="1">
        <v>191.40719934566107</v>
      </c>
      <c r="DK7" s="2">
        <v>213.86375626948382</v>
      </c>
      <c r="DL7" s="2">
        <v>221.04129815495335</v>
      </c>
      <c r="DM7" s="2">
        <v>243.33468061354083</v>
      </c>
      <c r="DN7" s="2">
        <v>228.83450897221476</v>
      </c>
      <c r="DO7" s="2">
        <v>251.64856750224936</v>
      </c>
      <c r="DP7" s="2">
        <v>243.45095438973541</v>
      </c>
      <c r="DQ7" s="1">
        <v>254.57789010131947</v>
      </c>
      <c r="DR7" s="1">
        <v>247.17783369004809</v>
      </c>
      <c r="DS7" s="2">
        <v>260.15522849073017</v>
      </c>
      <c r="DT7" s="2">
        <v>249.26758959435557</v>
      </c>
      <c r="DU7" s="2">
        <v>235.45165967138021</v>
      </c>
      <c r="DV7" s="2">
        <v>237.87404430402859</v>
      </c>
      <c r="DW7" s="2">
        <v>224.70471490890182</v>
      </c>
      <c r="DX7" s="2">
        <v>207.16993248966452</v>
      </c>
      <c r="DY7" s="2">
        <v>202.90481571496161</v>
      </c>
      <c r="DZ7" s="2">
        <v>191.1239646187579</v>
      </c>
      <c r="EA7" s="1">
        <v>183.08917305636155</v>
      </c>
      <c r="EB7" s="2">
        <v>18.990575217088935</v>
      </c>
      <c r="EC7" s="2">
        <v>21.533048357727811</v>
      </c>
      <c r="ED7" s="2">
        <v>24.858542072204695</v>
      </c>
      <c r="EE7" s="2">
        <v>24.615525553121504</v>
      </c>
      <c r="EF7" s="2">
        <v>24.367471167789148</v>
      </c>
      <c r="EG7" s="2">
        <v>24.060692485475808</v>
      </c>
      <c r="EH7" s="2">
        <v>23.500204078459529</v>
      </c>
      <c r="EI7" s="2">
        <v>21.190280616268986</v>
      </c>
      <c r="EJ7" s="1">
        <v>20.044042275668513</v>
      </c>
      <c r="EK7" s="1">
        <v>22.254990940542605</v>
      </c>
      <c r="EL7" s="1">
        <v>21.635151770866901</v>
      </c>
      <c r="EM7" s="1">
        <v>21.258086994411613</v>
      </c>
      <c r="EN7" s="2">
        <v>21.123461896276481</v>
      </c>
      <c r="EO7" s="2">
        <v>20.590026185879747</v>
      </c>
      <c r="EP7" s="2">
        <v>20.056784806084163</v>
      </c>
      <c r="EQ7" s="15">
        <v>19.301180909356418</v>
      </c>
      <c r="ER7" s="2">
        <v>19.280260242716832</v>
      </c>
      <c r="ES7" s="2">
        <v>19.048777752215713</v>
      </c>
      <c r="ET7" s="2">
        <v>18.880076555696036</v>
      </c>
      <c r="EU7" s="2">
        <v>18.659573461617239</v>
      </c>
      <c r="EV7" s="2">
        <v>19.023776079283991</v>
      </c>
      <c r="EW7" s="2">
        <v>27057.16198924731</v>
      </c>
      <c r="EX7" s="2">
        <v>25677.622276029051</v>
      </c>
      <c r="EY7" s="2">
        <v>23860.381580041583</v>
      </c>
      <c r="EZ7" s="2">
        <v>25824.121576923073</v>
      </c>
      <c r="FA7" s="2">
        <v>29516.887076923074</v>
      </c>
      <c r="FB7" s="2">
        <v>31510.10646153846</v>
      </c>
      <c r="FC7" s="2">
        <v>34401.813899613902</v>
      </c>
      <c r="FD7" s="2">
        <v>35150.700121212125</v>
      </c>
      <c r="FE7" s="2">
        <v>40606.934786324797</v>
      </c>
      <c r="FF7" s="2">
        <v>39049.735303643727</v>
      </c>
      <c r="FG7" s="2">
        <v>38668.47570342206</v>
      </c>
      <c r="FH7" s="2">
        <v>38365.510608365017</v>
      </c>
      <c r="FI7" s="2">
        <v>40109.946007604565</v>
      </c>
      <c r="FJ7" s="1">
        <v>39214.379657794678</v>
      </c>
      <c r="FK7" s="1">
        <v>38533.119123809527</v>
      </c>
      <c r="FL7" s="1">
        <v>39529.499461538457</v>
      </c>
      <c r="FM7" s="1">
        <v>38243.419884836847</v>
      </c>
      <c r="FN7" s="1">
        <v>36044.245416666679</v>
      </c>
      <c r="FO7" s="1">
        <v>35770.553547169809</v>
      </c>
      <c r="FP7" s="1">
        <v>34465.442264150937</v>
      </c>
      <c r="FQ7" s="1">
        <v>33194.741115241632</v>
      </c>
      <c r="FR7" s="5">
        <v>22</v>
      </c>
      <c r="FS7" s="5">
        <v>13</v>
      </c>
      <c r="FT7" s="5">
        <v>24</v>
      </c>
      <c r="FU7" s="5">
        <v>21</v>
      </c>
      <c r="FV7" s="5">
        <v>5</v>
      </c>
      <c r="FW7" s="5">
        <v>25</v>
      </c>
    </row>
    <row r="8" spans="1:180" x14ac:dyDescent="0.2">
      <c r="A8" s="5">
        <v>6</v>
      </c>
      <c r="B8" s="6" t="s">
        <v>191</v>
      </c>
      <c r="C8" s="7">
        <v>7</v>
      </c>
      <c r="D8" s="7">
        <v>7</v>
      </c>
      <c r="E8" s="7">
        <v>7</v>
      </c>
      <c r="F8" s="7">
        <v>7</v>
      </c>
      <c r="G8" s="7">
        <v>7</v>
      </c>
      <c r="H8" s="7">
        <v>7</v>
      </c>
      <c r="I8" s="7">
        <v>7</v>
      </c>
      <c r="J8" s="7">
        <v>7</v>
      </c>
      <c r="K8" s="7">
        <v>7</v>
      </c>
      <c r="L8" s="8">
        <v>7</v>
      </c>
      <c r="M8" s="8">
        <v>7</v>
      </c>
      <c r="N8" s="8">
        <v>7</v>
      </c>
      <c r="O8" s="11">
        <v>7</v>
      </c>
      <c r="P8" s="11">
        <v>7</v>
      </c>
      <c r="Q8" s="7">
        <v>6</v>
      </c>
      <c r="R8" s="7">
        <v>7</v>
      </c>
      <c r="S8" s="7">
        <v>7</v>
      </c>
      <c r="T8" s="7">
        <v>7</v>
      </c>
      <c r="U8" s="7">
        <v>7</v>
      </c>
      <c r="V8" s="7">
        <v>7</v>
      </c>
      <c r="W8" s="1">
        <v>6</v>
      </c>
      <c r="X8" s="7">
        <v>142</v>
      </c>
      <c r="Y8" s="7">
        <v>162</v>
      </c>
      <c r="Z8" s="7">
        <v>166</v>
      </c>
      <c r="AA8" s="7">
        <v>184</v>
      </c>
      <c r="AB8" s="7">
        <v>184</v>
      </c>
      <c r="AC8" s="7">
        <v>184</v>
      </c>
      <c r="AD8" s="8">
        <v>184</v>
      </c>
      <c r="AE8" s="8">
        <v>184</v>
      </c>
      <c r="AF8" s="8">
        <v>176</v>
      </c>
      <c r="AG8" s="8">
        <v>176</v>
      </c>
      <c r="AH8" s="8">
        <v>176</v>
      </c>
      <c r="AI8" s="7">
        <v>176</v>
      </c>
      <c r="AJ8" s="7">
        <v>176</v>
      </c>
      <c r="AK8" s="7">
        <v>176</v>
      </c>
      <c r="AL8" s="7">
        <v>174</v>
      </c>
      <c r="AM8" s="7">
        <v>164</v>
      </c>
      <c r="AN8" s="7">
        <v>171</v>
      </c>
      <c r="AO8" s="7">
        <v>171</v>
      </c>
      <c r="AP8" s="7">
        <v>171</v>
      </c>
      <c r="AQ8" s="7">
        <v>170</v>
      </c>
      <c r="AR8" s="7">
        <v>170</v>
      </c>
      <c r="AS8" s="7">
        <v>164</v>
      </c>
      <c r="AT8" s="7">
        <v>5334.7043899999999</v>
      </c>
      <c r="AU8" s="8">
        <v>5779.9193699999996</v>
      </c>
      <c r="AV8" s="7">
        <v>6206.3707000000004</v>
      </c>
      <c r="AW8" s="8">
        <v>6916.2662600000003</v>
      </c>
      <c r="AX8" s="8">
        <v>7540.7574199999999</v>
      </c>
      <c r="AY8" s="8">
        <v>7951.4584500000001</v>
      </c>
      <c r="AZ8" s="15">
        <v>8035.2175900000002</v>
      </c>
      <c r="BA8" s="7">
        <v>8071.6539200000007</v>
      </c>
      <c r="BB8" s="7">
        <v>7756.3473399999984</v>
      </c>
      <c r="BC8" s="7">
        <v>7202.1335500000005</v>
      </c>
      <c r="BD8" s="7">
        <v>7484.1998899999999</v>
      </c>
      <c r="BE8" s="7">
        <v>7157.9327899999989</v>
      </c>
      <c r="BF8" s="7">
        <v>6785.6154400000005</v>
      </c>
      <c r="BG8" s="7">
        <v>6705.3933800000013</v>
      </c>
      <c r="BH8" s="7">
        <v>6436.0675099999999</v>
      </c>
      <c r="BI8" s="7">
        <v>6557.9953999999998</v>
      </c>
      <c r="BJ8" s="7">
        <v>6198.4254000000001</v>
      </c>
      <c r="BK8" s="7">
        <v>6065.9691499999999</v>
      </c>
      <c r="BL8" s="7">
        <v>6005.8285099999994</v>
      </c>
      <c r="BM8" s="2">
        <v>5947.5914199999997</v>
      </c>
      <c r="BN8" s="2">
        <v>6007.862149999999</v>
      </c>
      <c r="BO8" s="2">
        <v>158036.82725999999</v>
      </c>
      <c r="BP8" s="2">
        <v>1900.97532</v>
      </c>
      <c r="BQ8" s="2">
        <v>2137.0299</v>
      </c>
      <c r="BR8" s="7">
        <v>1746.9578000000001</v>
      </c>
      <c r="BS8" s="7">
        <v>1950.4938099999999</v>
      </c>
      <c r="BT8" s="7">
        <v>2150.1343400000001</v>
      </c>
      <c r="BU8" s="7">
        <v>2302.2019399999999</v>
      </c>
      <c r="BV8" s="7">
        <v>2346.8478299999997</v>
      </c>
      <c r="BW8" s="7">
        <v>2334.48063</v>
      </c>
      <c r="BX8" s="7">
        <v>2209.1002699999999</v>
      </c>
      <c r="BY8" s="7">
        <v>2031.16005</v>
      </c>
      <c r="BZ8" s="7">
        <v>2156.1442999999999</v>
      </c>
      <c r="CA8" s="7">
        <v>2008.6279999999997</v>
      </c>
      <c r="CB8" s="7">
        <v>1853.7479899999998</v>
      </c>
      <c r="CC8" s="7">
        <v>1837.88211</v>
      </c>
      <c r="CD8" s="8">
        <v>1749.4751799999999</v>
      </c>
      <c r="CE8" s="8">
        <v>1812.3494599999999</v>
      </c>
      <c r="CF8" s="8">
        <v>1684.16866</v>
      </c>
      <c r="CG8" s="8">
        <v>1651.4579699999999</v>
      </c>
      <c r="CH8" s="8">
        <v>1639.3247299999998</v>
      </c>
      <c r="CI8" s="8">
        <v>1604.2424500000002</v>
      </c>
      <c r="CJ8" s="7">
        <v>1646.1804200000001</v>
      </c>
      <c r="CK8" s="7">
        <v>46492.320879999992</v>
      </c>
      <c r="CL8" s="7">
        <v>641.73821503537476</v>
      </c>
      <c r="CM8" s="1">
        <v>695.76308823732859</v>
      </c>
      <c r="CN8" s="7">
        <v>745.84801958845674</v>
      </c>
      <c r="CO8" s="7">
        <v>830.3885472351335</v>
      </c>
      <c r="CP8" s="7">
        <v>905.24327317183997</v>
      </c>
      <c r="CQ8" s="7">
        <v>954.42616933592001</v>
      </c>
      <c r="CR8" s="7">
        <v>963.89179901619582</v>
      </c>
      <c r="CS8" s="9">
        <v>964.31261392562089</v>
      </c>
      <c r="CT8" s="9">
        <v>924.48223827421384</v>
      </c>
      <c r="CU8" s="9">
        <v>863.25889976037536</v>
      </c>
      <c r="CV8" s="9">
        <v>904.79672422240242</v>
      </c>
      <c r="CW8" s="9">
        <v>870.4224681200285</v>
      </c>
      <c r="CX8" s="9">
        <v>828.49539823183989</v>
      </c>
      <c r="CY8" s="9">
        <v>816.56667297770969</v>
      </c>
      <c r="CZ8" s="7">
        <v>777.18936580073796</v>
      </c>
      <c r="DA8" s="7">
        <v>785.39928148259423</v>
      </c>
      <c r="DB8" s="7">
        <v>736.87243015173408</v>
      </c>
      <c r="DC8" s="7">
        <v>717.8857205404845</v>
      </c>
      <c r="DD8" s="7">
        <v>709.4028906438333</v>
      </c>
      <c r="DE8" s="7">
        <v>701.94107965724822</v>
      </c>
      <c r="DF8" s="7">
        <v>708.36822217577298</v>
      </c>
      <c r="DG8" s="7">
        <v>228.67780845924256</v>
      </c>
      <c r="DH8" s="7">
        <v>257.24693160892826</v>
      </c>
      <c r="DI8" s="7">
        <v>209.93992760287543</v>
      </c>
      <c r="DJ8" s="1">
        <v>234.18238401900686</v>
      </c>
      <c r="DK8" s="2">
        <v>258.11659748375433</v>
      </c>
      <c r="DL8" s="2">
        <v>276.33695031531272</v>
      </c>
      <c r="DM8" s="2">
        <v>281.52409708122849</v>
      </c>
      <c r="DN8" s="2">
        <v>278.89812184539619</v>
      </c>
      <c r="DO8" s="2">
        <v>263.3035722432939</v>
      </c>
      <c r="DP8" s="2">
        <v>243.45799447168386</v>
      </c>
      <c r="DQ8" s="1">
        <v>260.66544564068357</v>
      </c>
      <c r="DR8" s="1">
        <v>244.25417122350441</v>
      </c>
      <c r="DS8" s="2">
        <v>226.33491284270636</v>
      </c>
      <c r="DT8" s="2">
        <v>223.81286150402599</v>
      </c>
      <c r="DU8" s="2">
        <v>211.2584281497588</v>
      </c>
      <c r="DV8" s="2">
        <v>217.05077189888968</v>
      </c>
      <c r="DW8" s="2">
        <v>200.21495350731971</v>
      </c>
      <c r="DX8" s="2">
        <v>195.44413521057487</v>
      </c>
      <c r="DY8" s="2">
        <v>193.63551593748744</v>
      </c>
      <c r="DZ8" s="2">
        <v>189.33440410824136</v>
      </c>
      <c r="EA8" s="1">
        <v>194.09598096320627</v>
      </c>
      <c r="EB8" s="2">
        <v>19.512041048546017</v>
      </c>
      <c r="EC8" s="2">
        <v>19.970997286216797</v>
      </c>
      <c r="ED8" s="2">
        <v>22.08777369808999</v>
      </c>
      <c r="EE8" s="2">
        <v>22.095457996309154</v>
      </c>
      <c r="EF8" s="2">
        <v>22.081743056605202</v>
      </c>
      <c r="EG8" s="2">
        <v>22.089882117446148</v>
      </c>
      <c r="EH8" s="2">
        <v>22.054834767074844</v>
      </c>
      <c r="EI8" s="2">
        <v>20.957622320336501</v>
      </c>
      <c r="EJ8" s="1">
        <v>20.997440639489472</v>
      </c>
      <c r="EK8" s="1">
        <v>21.194748095874267</v>
      </c>
      <c r="EL8" s="1">
        <v>21.360674470161307</v>
      </c>
      <c r="EM8" s="1">
        <v>21.443563387008865</v>
      </c>
      <c r="EN8" s="2">
        <v>21.534363149380724</v>
      </c>
      <c r="EO8" s="2">
        <v>21.089889883307571</v>
      </c>
      <c r="EP8" s="2">
        <v>19.730464655470659</v>
      </c>
      <c r="EQ8" s="15">
        <v>20.386860992945799</v>
      </c>
      <c r="ER8" s="2">
        <v>20.270630938344933</v>
      </c>
      <c r="ES8" s="2">
        <v>20.203953856832346</v>
      </c>
      <c r="ET8" s="2">
        <v>20.074685502779051</v>
      </c>
      <c r="EU8" s="2">
        <v>20.052489222853382</v>
      </c>
      <c r="EV8" s="2">
        <v>19.328705747668458</v>
      </c>
      <c r="EW8" s="2">
        <v>35096.739407894733</v>
      </c>
      <c r="EX8" s="2">
        <v>35243.410792682924</v>
      </c>
      <c r="EY8" s="2">
        <v>35464.97542857143</v>
      </c>
      <c r="EZ8" s="2">
        <v>37588.403586956527</v>
      </c>
      <c r="FA8" s="2">
        <v>40982.377282608693</v>
      </c>
      <c r="FB8" s="2">
        <v>43214.448097826091</v>
      </c>
      <c r="FC8" s="2">
        <v>43669.660815217394</v>
      </c>
      <c r="FD8" s="2">
        <v>44842.52177777778</v>
      </c>
      <c r="FE8" s="2">
        <v>44070.155340909077</v>
      </c>
      <c r="FF8" s="2">
        <v>40921.213352272731</v>
      </c>
      <c r="FG8" s="2">
        <v>42523.863011363632</v>
      </c>
      <c r="FH8" s="2">
        <v>40670.072670454538</v>
      </c>
      <c r="FI8" s="2">
        <v>38554.633181818186</v>
      </c>
      <c r="FJ8" s="1">
        <v>38316.53360000001</v>
      </c>
      <c r="FK8" s="1">
        <v>38083.239704142012</v>
      </c>
      <c r="FL8" s="1">
        <v>39152.211343283576</v>
      </c>
      <c r="FM8" s="1">
        <v>36248.101754385971</v>
      </c>
      <c r="FN8" s="1">
        <v>35473.503801169587</v>
      </c>
      <c r="FO8" s="1">
        <v>35224.800645161289</v>
      </c>
      <c r="FP8" s="1">
        <v>34985.831882352941</v>
      </c>
      <c r="FQ8" s="1">
        <v>35975.222455089817</v>
      </c>
      <c r="FR8" s="5">
        <v>27</v>
      </c>
      <c r="FS8" s="5">
        <v>8</v>
      </c>
      <c r="FT8" s="5">
        <v>27</v>
      </c>
      <c r="FU8" s="5">
        <v>16</v>
      </c>
      <c r="FV8" s="5">
        <v>4</v>
      </c>
      <c r="FW8" s="5">
        <v>24</v>
      </c>
    </row>
    <row r="9" spans="1:180" x14ac:dyDescent="0.2">
      <c r="A9" s="5">
        <v>7</v>
      </c>
      <c r="B9" s="6" t="s">
        <v>157</v>
      </c>
      <c r="C9" s="7">
        <v>15</v>
      </c>
      <c r="D9" s="7">
        <v>15</v>
      </c>
      <c r="E9" s="7">
        <v>15</v>
      </c>
      <c r="F9" s="7">
        <v>16</v>
      </c>
      <c r="G9" s="7">
        <v>16</v>
      </c>
      <c r="H9" s="7">
        <v>16</v>
      </c>
      <c r="I9" s="7">
        <v>16</v>
      </c>
      <c r="J9" s="7">
        <v>16</v>
      </c>
      <c r="K9" s="7">
        <v>15</v>
      </c>
      <c r="L9" s="8">
        <v>15</v>
      </c>
      <c r="M9" s="8">
        <v>15</v>
      </c>
      <c r="N9" s="8">
        <v>14</v>
      </c>
      <c r="O9" s="11">
        <v>14</v>
      </c>
      <c r="P9" s="11">
        <v>14</v>
      </c>
      <c r="Q9" s="7">
        <v>14</v>
      </c>
      <c r="R9" s="7">
        <v>14</v>
      </c>
      <c r="S9" s="7">
        <v>12</v>
      </c>
      <c r="T9" s="7">
        <v>12</v>
      </c>
      <c r="U9" s="7">
        <v>12</v>
      </c>
      <c r="V9" s="7">
        <v>12</v>
      </c>
      <c r="W9" s="1">
        <v>12</v>
      </c>
      <c r="X9" s="7">
        <v>514</v>
      </c>
      <c r="Y9" s="7">
        <v>514</v>
      </c>
      <c r="Z9" s="7">
        <v>514</v>
      </c>
      <c r="AA9" s="7">
        <v>507</v>
      </c>
      <c r="AB9" s="7">
        <v>545</v>
      </c>
      <c r="AC9" s="7">
        <v>547</v>
      </c>
      <c r="AD9" s="8">
        <v>547</v>
      </c>
      <c r="AE9" s="8">
        <v>517</v>
      </c>
      <c r="AF9" s="8">
        <v>460</v>
      </c>
      <c r="AG9" s="8">
        <v>450</v>
      </c>
      <c r="AH9" s="8">
        <v>461</v>
      </c>
      <c r="AI9" s="7">
        <v>461</v>
      </c>
      <c r="AJ9" s="7">
        <v>449</v>
      </c>
      <c r="AK9" s="7">
        <v>446</v>
      </c>
      <c r="AL9" s="7">
        <v>441</v>
      </c>
      <c r="AM9" s="7">
        <v>454</v>
      </c>
      <c r="AN9" s="7">
        <v>462</v>
      </c>
      <c r="AO9" s="7">
        <v>433</v>
      </c>
      <c r="AP9" s="7">
        <v>435</v>
      </c>
      <c r="AQ9" s="7">
        <v>435</v>
      </c>
      <c r="AR9" s="7">
        <v>435</v>
      </c>
      <c r="AS9" s="7">
        <v>438</v>
      </c>
      <c r="AT9" s="7">
        <v>36143.477079999997</v>
      </c>
      <c r="AU9" s="8">
        <v>37772.490299999998</v>
      </c>
      <c r="AV9" s="7">
        <v>40746.754850000005</v>
      </c>
      <c r="AW9" s="8">
        <v>43615.688000000002</v>
      </c>
      <c r="AX9" s="8">
        <v>46479.439579999998</v>
      </c>
      <c r="AY9" s="8">
        <v>49223.029930000004</v>
      </c>
      <c r="AZ9" s="15">
        <v>50791.383379999999</v>
      </c>
      <c r="BA9" s="7">
        <v>49159.887349999997</v>
      </c>
      <c r="BB9" s="7">
        <v>50663.430200000003</v>
      </c>
      <c r="BC9" s="7">
        <v>47398.147319999996</v>
      </c>
      <c r="BD9" s="7">
        <v>46389.163809999998</v>
      </c>
      <c r="BE9" s="7">
        <v>45601.452359999996</v>
      </c>
      <c r="BF9" s="7">
        <v>46759.860849999997</v>
      </c>
      <c r="BG9" s="7">
        <v>46338.399470000004</v>
      </c>
      <c r="BH9" s="7">
        <v>44863.256130000002</v>
      </c>
      <c r="BI9" s="7">
        <v>46617.275990000002</v>
      </c>
      <c r="BJ9" s="7">
        <v>46403.890899999999</v>
      </c>
      <c r="BK9" s="7">
        <v>45762.447829999997</v>
      </c>
      <c r="BL9" s="7">
        <v>44422.987439999997</v>
      </c>
      <c r="BM9" s="2">
        <v>44356.35428</v>
      </c>
      <c r="BN9" s="2">
        <v>43922.81313000001</v>
      </c>
      <c r="BO9" s="2">
        <v>1060980.21842</v>
      </c>
      <c r="BP9" s="2">
        <v>16990.516019999999</v>
      </c>
      <c r="BQ9" s="2">
        <v>17818.689440000002</v>
      </c>
      <c r="BR9" s="7">
        <v>15704.691700000001</v>
      </c>
      <c r="BS9" s="7">
        <v>16778.67469</v>
      </c>
      <c r="BT9" s="7">
        <v>19511.146130000001</v>
      </c>
      <c r="BU9" s="7">
        <v>23168.54537</v>
      </c>
      <c r="BV9" s="7">
        <v>24171.032609999998</v>
      </c>
      <c r="BW9" s="7">
        <v>23114.032599999999</v>
      </c>
      <c r="BX9" s="7">
        <v>24068.35843</v>
      </c>
      <c r="BY9" s="7">
        <v>21992.918870000001</v>
      </c>
      <c r="BZ9" s="7">
        <v>21419.464180000003</v>
      </c>
      <c r="CA9" s="7">
        <v>21006.523579999997</v>
      </c>
      <c r="CB9" s="7">
        <v>21768.729460000002</v>
      </c>
      <c r="CC9" s="7">
        <v>21467.896949999998</v>
      </c>
      <c r="CD9" s="8">
        <v>20578.726849999999</v>
      </c>
      <c r="CE9" s="8">
        <v>21697.512569999999</v>
      </c>
      <c r="CF9" s="8">
        <v>21628.734980000001</v>
      </c>
      <c r="CG9" s="8">
        <v>21273.115810000003</v>
      </c>
      <c r="CH9" s="8">
        <v>20438.066009999999</v>
      </c>
      <c r="CI9" s="8">
        <v>20416.997430000003</v>
      </c>
      <c r="CJ9" s="7">
        <v>20167.911330000003</v>
      </c>
      <c r="CK9" s="7">
        <v>475946.26431</v>
      </c>
      <c r="CL9" s="7">
        <v>333.42653734129823</v>
      </c>
      <c r="CM9" s="1">
        <v>344.53689923671851</v>
      </c>
      <c r="CN9" s="7">
        <v>368.46340109420572</v>
      </c>
      <c r="CO9" s="7">
        <v>392.34446968508297</v>
      </c>
      <c r="CP9" s="7">
        <v>416.52323508795757</v>
      </c>
      <c r="CQ9" s="7">
        <v>440.10849598817259</v>
      </c>
      <c r="CR9" s="7">
        <v>453.51059107119846</v>
      </c>
      <c r="CS9" s="9">
        <v>437.31379192000855</v>
      </c>
      <c r="CT9" s="9">
        <v>448.03863439983041</v>
      </c>
      <c r="CU9" s="9">
        <v>416.42218976146438</v>
      </c>
      <c r="CV9" s="9">
        <v>404.46638293349991</v>
      </c>
      <c r="CW9" s="9">
        <v>394.72317328781872</v>
      </c>
      <c r="CX9" s="9">
        <v>403.03317493903489</v>
      </c>
      <c r="CY9" s="9">
        <v>397.60853823240859</v>
      </c>
      <c r="CZ9" s="7">
        <v>383.06134006955278</v>
      </c>
      <c r="DA9" s="7">
        <v>396.46211662733327</v>
      </c>
      <c r="DB9" s="7">
        <v>392.78342432880549</v>
      </c>
      <c r="DC9" s="7">
        <v>385.65426732453744</v>
      </c>
      <c r="DD9" s="7">
        <v>373.20732890234819</v>
      </c>
      <c r="DE9" s="7">
        <v>371.49760051548515</v>
      </c>
      <c r="DF9" s="7">
        <v>366.59782745387821</v>
      </c>
      <c r="DG9" s="7">
        <v>156.73890233779511</v>
      </c>
      <c r="DH9" s="7">
        <v>162.5308778785936</v>
      </c>
      <c r="DI9" s="7">
        <v>142.01386437324942</v>
      </c>
      <c r="DJ9" s="1">
        <v>150.93239440053256</v>
      </c>
      <c r="DK9" s="2">
        <v>174.84818620400168</v>
      </c>
      <c r="DL9" s="2">
        <v>207.15249897304398</v>
      </c>
      <c r="DM9" s="2">
        <v>215.82045134999652</v>
      </c>
      <c r="DN9" s="2">
        <v>205.61652574390399</v>
      </c>
      <c r="DO9" s="2">
        <v>212.84690753574057</v>
      </c>
      <c r="DP9" s="2">
        <v>193.22146440156752</v>
      </c>
      <c r="DQ9" s="1">
        <v>186.75596819856253</v>
      </c>
      <c r="DR9" s="1">
        <v>181.83108690889489</v>
      </c>
      <c r="DS9" s="2">
        <v>187.62930404769807</v>
      </c>
      <c r="DT9" s="2">
        <v>184.2061707534734</v>
      </c>
      <c r="DU9" s="2">
        <v>175.7098205543532</v>
      </c>
      <c r="DV9" s="2">
        <v>184.52905229588401</v>
      </c>
      <c r="DW9" s="2">
        <v>183.0753504625755</v>
      </c>
      <c r="DX9" s="2">
        <v>179.2751104987293</v>
      </c>
      <c r="DY9" s="2">
        <v>171.70470657391638</v>
      </c>
      <c r="DZ9" s="2">
        <v>170.99839872087495</v>
      </c>
      <c r="EA9" s="1">
        <v>168.3296663166268</v>
      </c>
      <c r="EB9" s="2">
        <v>4.7131264798315327</v>
      </c>
      <c r="EC9" s="2">
        <v>4.6639013615766611</v>
      </c>
      <c r="ED9" s="2">
        <v>4.5690871475904018</v>
      </c>
      <c r="EE9" s="2">
        <v>4.8935732619473233</v>
      </c>
      <c r="EF9" s="2">
        <v>4.8923340040379557</v>
      </c>
      <c r="EG9" s="2">
        <v>4.8892406663502816</v>
      </c>
      <c r="EH9" s="2">
        <v>4.6113885634530281</v>
      </c>
      <c r="EI9" s="2">
        <v>4.0811666702278995</v>
      </c>
      <c r="EJ9" s="1">
        <v>3.9667268640669802</v>
      </c>
      <c r="EK9" s="1">
        <v>4.0367415330689393</v>
      </c>
      <c r="EL9" s="1">
        <v>4.0023093095724978</v>
      </c>
      <c r="EM9" s="1">
        <v>3.8749702237560304</v>
      </c>
      <c r="EN9" s="2">
        <v>3.8392704687686527</v>
      </c>
      <c r="EO9" s="2">
        <v>3.7718861751452524</v>
      </c>
      <c r="EP9" s="2">
        <v>3.8698327538973745</v>
      </c>
      <c r="EQ9" s="15">
        <v>3.9202832859733596</v>
      </c>
      <c r="ER9" s="2">
        <v>3.656053933601624</v>
      </c>
      <c r="ES9" s="2">
        <v>3.6588445121905147</v>
      </c>
      <c r="ET9" s="2">
        <v>3.6502277974052593</v>
      </c>
      <c r="EU9" s="2">
        <v>3.6363063976100714</v>
      </c>
      <c r="EV9" s="2">
        <v>3.650088651535464</v>
      </c>
      <c r="EW9" s="2">
        <v>70318.048793774316</v>
      </c>
      <c r="EX9" s="2">
        <v>73487.335214007777</v>
      </c>
      <c r="EY9" s="2">
        <v>79817.345445641535</v>
      </c>
      <c r="EZ9" s="2">
        <v>82919.558935361216</v>
      </c>
      <c r="FA9" s="2">
        <v>85127.178717948715</v>
      </c>
      <c r="FB9" s="2">
        <v>89987.257641681921</v>
      </c>
      <c r="FC9" s="2">
        <v>95472.52515037595</v>
      </c>
      <c r="FD9" s="2">
        <v>100634.36509723643</v>
      </c>
      <c r="FE9" s="2">
        <v>111348.19824175825</v>
      </c>
      <c r="FF9" s="2">
        <v>104057.40355653127</v>
      </c>
      <c r="FG9" s="2">
        <v>100627.25338394793</v>
      </c>
      <c r="FH9" s="2">
        <v>100222.97221978022</v>
      </c>
      <c r="FI9" s="2">
        <v>104491.30916201117</v>
      </c>
      <c r="FJ9" s="1">
        <v>104483.42608793688</v>
      </c>
      <c r="FK9" s="1">
        <v>100253.08632402236</v>
      </c>
      <c r="FL9" s="1">
        <v>101784.4453930131</v>
      </c>
      <c r="FM9" s="1">
        <v>103695.84558659217</v>
      </c>
      <c r="FN9" s="1">
        <v>105443.4281797235</v>
      </c>
      <c r="FO9" s="1">
        <v>102121.81020689655</v>
      </c>
      <c r="FP9" s="1">
        <v>101968.63052873564</v>
      </c>
      <c r="FQ9" s="1">
        <v>100625.001443299</v>
      </c>
      <c r="FR9" s="5">
        <v>5</v>
      </c>
      <c r="FS9" s="5">
        <v>27</v>
      </c>
      <c r="FT9" s="5">
        <v>5</v>
      </c>
      <c r="FU9" s="5">
        <v>22</v>
      </c>
      <c r="FV9" s="5">
        <v>42</v>
      </c>
      <c r="FW9" s="5">
        <v>1</v>
      </c>
    </row>
    <row r="10" spans="1:180" x14ac:dyDescent="0.2">
      <c r="A10" s="5">
        <v>8</v>
      </c>
      <c r="B10" s="6" t="s">
        <v>309</v>
      </c>
      <c r="C10" s="7">
        <v>9</v>
      </c>
      <c r="D10" s="7">
        <v>10</v>
      </c>
      <c r="E10" s="7">
        <v>10</v>
      </c>
      <c r="F10" s="7">
        <v>10</v>
      </c>
      <c r="G10" s="7">
        <v>10</v>
      </c>
      <c r="H10" s="7">
        <v>10</v>
      </c>
      <c r="I10" s="7">
        <v>10</v>
      </c>
      <c r="J10" s="7">
        <v>10</v>
      </c>
      <c r="K10" s="7">
        <v>10</v>
      </c>
      <c r="L10" s="8">
        <v>10</v>
      </c>
      <c r="M10" s="8">
        <v>10</v>
      </c>
      <c r="N10" s="8">
        <v>10</v>
      </c>
      <c r="O10" s="11">
        <v>10</v>
      </c>
      <c r="P10" s="11">
        <v>10</v>
      </c>
      <c r="Q10" s="7">
        <v>10</v>
      </c>
      <c r="R10" s="7">
        <v>10</v>
      </c>
      <c r="S10" s="7">
        <v>10</v>
      </c>
      <c r="T10" s="7">
        <v>10</v>
      </c>
      <c r="U10" s="7">
        <v>10</v>
      </c>
      <c r="V10" s="7">
        <v>9</v>
      </c>
      <c r="W10" s="1">
        <v>10</v>
      </c>
      <c r="X10" s="7">
        <v>119</v>
      </c>
      <c r="Y10" s="7">
        <v>119</v>
      </c>
      <c r="Z10" s="7">
        <v>138</v>
      </c>
      <c r="AA10" s="7">
        <v>150</v>
      </c>
      <c r="AB10" s="7">
        <v>151</v>
      </c>
      <c r="AC10" s="7">
        <v>151</v>
      </c>
      <c r="AD10" s="8">
        <v>151</v>
      </c>
      <c r="AE10" s="8">
        <v>151</v>
      </c>
      <c r="AF10" s="8">
        <v>143</v>
      </c>
      <c r="AG10" s="8">
        <v>143</v>
      </c>
      <c r="AH10" s="8">
        <v>143</v>
      </c>
      <c r="AI10" s="7">
        <v>143</v>
      </c>
      <c r="AJ10" s="7">
        <v>143</v>
      </c>
      <c r="AK10" s="7">
        <v>142</v>
      </c>
      <c r="AL10" s="7">
        <v>143</v>
      </c>
      <c r="AM10" s="7">
        <v>143</v>
      </c>
      <c r="AN10" s="7">
        <v>143</v>
      </c>
      <c r="AO10" s="7">
        <v>143</v>
      </c>
      <c r="AP10" s="7">
        <v>140</v>
      </c>
      <c r="AQ10" s="7">
        <v>140</v>
      </c>
      <c r="AR10" s="7">
        <v>135</v>
      </c>
      <c r="AS10" s="7">
        <v>140</v>
      </c>
      <c r="AT10" s="7">
        <v>2969.4175100000002</v>
      </c>
      <c r="AU10" s="8">
        <v>3069.9515700000002</v>
      </c>
      <c r="AV10" s="7">
        <v>3170.1092899999999</v>
      </c>
      <c r="AW10" s="8">
        <v>3782.12608</v>
      </c>
      <c r="AX10" s="8">
        <v>4085.7607600000001</v>
      </c>
      <c r="AY10" s="8">
        <v>4357.3639199999989</v>
      </c>
      <c r="AZ10" s="15">
        <v>4650.6963099999994</v>
      </c>
      <c r="BA10" s="7">
        <v>4772.1819500000001</v>
      </c>
      <c r="BB10" s="7">
        <v>4855.9837099999995</v>
      </c>
      <c r="BC10" s="7">
        <v>4735.0048699999998</v>
      </c>
      <c r="BD10" s="7">
        <v>5004.4565499999999</v>
      </c>
      <c r="BE10" s="7">
        <v>4959.9079699999993</v>
      </c>
      <c r="BF10" s="7">
        <v>5040.5376699999997</v>
      </c>
      <c r="BG10" s="7">
        <v>5225.5132000000003</v>
      </c>
      <c r="BH10" s="7">
        <v>4716.9792400000006</v>
      </c>
      <c r="BI10" s="7">
        <v>4405.9678000000004</v>
      </c>
      <c r="BJ10" s="7">
        <v>4656.6714400000001</v>
      </c>
      <c r="BK10" s="7">
        <v>4444.4440500000001</v>
      </c>
      <c r="BL10" s="7">
        <v>4006.8040300000002</v>
      </c>
      <c r="BM10" s="2">
        <v>3942.8111000000004</v>
      </c>
      <c r="BN10" s="2">
        <v>3697.8334600000003</v>
      </c>
      <c r="BO10" s="2">
        <v>98973.265660000005</v>
      </c>
      <c r="BP10" s="2">
        <v>1031.1401999999998</v>
      </c>
      <c r="BQ10" s="2">
        <v>1074.4715700000002</v>
      </c>
      <c r="BR10" s="7">
        <v>832.66990999999996</v>
      </c>
      <c r="BS10" s="7">
        <v>1004.9869100000001</v>
      </c>
      <c r="BT10" s="7">
        <v>1020.36216</v>
      </c>
      <c r="BU10" s="7">
        <v>1098.4352099999999</v>
      </c>
      <c r="BV10" s="7">
        <v>1208.3679</v>
      </c>
      <c r="BW10" s="7">
        <v>1252.0895600000001</v>
      </c>
      <c r="BX10" s="7">
        <v>1289.1365300000002</v>
      </c>
      <c r="BY10" s="7">
        <v>1260.3724299999999</v>
      </c>
      <c r="BZ10" s="7">
        <v>1352.9078500000001</v>
      </c>
      <c r="CA10" s="7">
        <v>1347.8654300000001</v>
      </c>
      <c r="CB10" s="7">
        <v>1393.55098</v>
      </c>
      <c r="CC10" s="7">
        <v>1448.0618899999999</v>
      </c>
      <c r="CD10" s="8">
        <v>1259.5586100000003</v>
      </c>
      <c r="CE10" s="8">
        <v>1155.2315100000001</v>
      </c>
      <c r="CF10" s="8">
        <v>1255.2952500000001</v>
      </c>
      <c r="CG10" s="8">
        <v>1194.7105099999999</v>
      </c>
      <c r="CH10" s="8">
        <v>1036.58592</v>
      </c>
      <c r="CI10" s="8">
        <v>1022.8322599999999</v>
      </c>
      <c r="CJ10" s="7">
        <v>978.80331999999999</v>
      </c>
      <c r="CK10" s="7">
        <v>27533.97061</v>
      </c>
      <c r="CL10" s="7">
        <v>337.11793835422492</v>
      </c>
      <c r="CM10" s="1">
        <v>347.1830202683696</v>
      </c>
      <c r="CN10" s="7">
        <v>356.88827271241206</v>
      </c>
      <c r="CO10" s="7">
        <v>422.00466175100144</v>
      </c>
      <c r="CP10" s="7">
        <v>451.27082994673003</v>
      </c>
      <c r="CQ10" s="7">
        <v>477.10166219097312</v>
      </c>
      <c r="CR10" s="7">
        <v>504.2370727966769</v>
      </c>
      <c r="CS10" s="9">
        <v>510.51790771863091</v>
      </c>
      <c r="CT10" s="9">
        <v>513.11165101038205</v>
      </c>
      <c r="CU10" s="9">
        <v>496.76106084779047</v>
      </c>
      <c r="CV10" s="9">
        <v>521.75279520189292</v>
      </c>
      <c r="CW10" s="9">
        <v>513.41429050302952</v>
      </c>
      <c r="CX10" s="9">
        <v>518.11452745043357</v>
      </c>
      <c r="CY10" s="9">
        <v>531.25816934737156</v>
      </c>
      <c r="CZ10" s="7">
        <v>472.32046074983401</v>
      </c>
      <c r="DA10" s="7">
        <v>435.15393560241796</v>
      </c>
      <c r="DB10" s="7">
        <v>453.9859074045097</v>
      </c>
      <c r="DC10" s="7">
        <v>427.77898194702999</v>
      </c>
      <c r="DD10" s="7">
        <v>382.37529340175382</v>
      </c>
      <c r="DE10" s="7">
        <v>376.12032462397093</v>
      </c>
      <c r="DF10" s="7">
        <v>353.16915752820915</v>
      </c>
      <c r="DG10" s="7">
        <v>117.06533594804695</v>
      </c>
      <c r="DH10" s="7">
        <v>121.51275886905829</v>
      </c>
      <c r="DI10" s="7">
        <v>93.741287360947595</v>
      </c>
      <c r="DJ10" s="1">
        <v>112.13511978393224</v>
      </c>
      <c r="DK10" s="2">
        <v>112.69863945470908</v>
      </c>
      <c r="DL10" s="2">
        <v>120.27117177306842</v>
      </c>
      <c r="DM10" s="2">
        <v>131.01347672333128</v>
      </c>
      <c r="DN10" s="2">
        <v>133.94588662897507</v>
      </c>
      <c r="DO10" s="2">
        <v>136.21770845810661</v>
      </c>
      <c r="DP10" s="2">
        <v>132.22878594211616</v>
      </c>
      <c r="DQ10" s="1">
        <v>141.05097033724536</v>
      </c>
      <c r="DR10" s="1">
        <v>139.5214140307952</v>
      </c>
      <c r="DS10" s="2">
        <v>143.24245839448088</v>
      </c>
      <c r="DT10" s="2">
        <v>147.21897722564262</v>
      </c>
      <c r="DU10" s="2">
        <v>126.12209482961825</v>
      </c>
      <c r="DV10" s="2">
        <v>114.09605356362884</v>
      </c>
      <c r="DW10" s="2">
        <v>122.38062325733269</v>
      </c>
      <c r="DX10" s="2">
        <v>114.99122048554463</v>
      </c>
      <c r="DY10" s="2">
        <v>98.92294265665069</v>
      </c>
      <c r="DZ10" s="2">
        <v>97.572009388699797</v>
      </c>
      <c r="EA10" s="1">
        <v>93.482615604385302</v>
      </c>
      <c r="EB10" s="2">
        <v>13.488356973411417</v>
      </c>
      <c r="EC10" s="2">
        <v>15.571237592933176</v>
      </c>
      <c r="ED10" s="2">
        <v>16.848666443442866</v>
      </c>
      <c r="EE10" s="2">
        <v>16.737257992277748</v>
      </c>
      <c r="EF10" s="2">
        <v>16.618954708644708</v>
      </c>
      <c r="EG10" s="2">
        <v>16.448862650885257</v>
      </c>
      <c r="EH10" s="2">
        <v>16.295255027451059</v>
      </c>
      <c r="EI10" s="2">
        <v>15.16605370039955</v>
      </c>
      <c r="EJ10" s="1">
        <v>15.054789320013956</v>
      </c>
      <c r="EK10" s="1">
        <v>14.950539572879368</v>
      </c>
      <c r="EL10" s="1">
        <v>14.867375463680089</v>
      </c>
      <c r="EM10" s="1">
        <v>14.737870797818321</v>
      </c>
      <c r="EN10" s="2">
        <v>14.557623491573986</v>
      </c>
      <c r="EO10" s="2">
        <v>14.418406262002302</v>
      </c>
      <c r="EP10" s="2">
        <v>14.220704182302711</v>
      </c>
      <c r="EQ10" s="15">
        <v>14.027314103645763</v>
      </c>
      <c r="ER10" s="2">
        <v>13.856305142796238</v>
      </c>
      <c r="ES10" s="2">
        <v>13.385666291195824</v>
      </c>
      <c r="ET10" s="2">
        <v>13.335247069860268</v>
      </c>
      <c r="EU10" s="2">
        <v>12.897435624455172</v>
      </c>
      <c r="EV10" s="2">
        <v>13.366857548941987</v>
      </c>
      <c r="EW10" s="2">
        <v>24953.088319327733</v>
      </c>
      <c r="EX10" s="2">
        <v>23890.673696498056</v>
      </c>
      <c r="EY10" s="2">
        <v>22014.647847222222</v>
      </c>
      <c r="EZ10" s="2">
        <v>25130.40584717608</v>
      </c>
      <c r="FA10" s="2">
        <v>27058.018278145697</v>
      </c>
      <c r="FB10" s="2">
        <v>28856.714701986748</v>
      </c>
      <c r="FC10" s="2">
        <v>30799.313311258276</v>
      </c>
      <c r="FD10" s="2">
        <v>32463.822789115646</v>
      </c>
      <c r="FE10" s="2">
        <v>33957.928041958039</v>
      </c>
      <c r="FF10" s="2">
        <v>33111.92216783217</v>
      </c>
      <c r="FG10" s="2">
        <v>34996.199650349648</v>
      </c>
      <c r="FH10" s="2">
        <v>34684.671118881117</v>
      </c>
      <c r="FI10" s="2">
        <v>35372.194175438599</v>
      </c>
      <c r="FJ10" s="1">
        <v>36670.268070175443</v>
      </c>
      <c r="FK10" s="1">
        <v>32985.868811188811</v>
      </c>
      <c r="FL10" s="1">
        <v>30810.963636363642</v>
      </c>
      <c r="FM10" s="1">
        <v>32564.135944055946</v>
      </c>
      <c r="FN10" s="1">
        <v>31409.498586572437</v>
      </c>
      <c r="FO10" s="1">
        <v>28620.028785714287</v>
      </c>
      <c r="FP10" s="1">
        <v>28674.989818181821</v>
      </c>
      <c r="FQ10" s="1">
        <v>26893.334254545458</v>
      </c>
      <c r="FR10" s="5">
        <v>33</v>
      </c>
      <c r="FS10" s="5">
        <v>29</v>
      </c>
      <c r="FT10" s="5">
        <v>32</v>
      </c>
      <c r="FU10" s="5">
        <v>30</v>
      </c>
      <c r="FV10" s="5">
        <v>14</v>
      </c>
      <c r="FW10" s="5">
        <v>32</v>
      </c>
    </row>
    <row r="11" spans="1:180" x14ac:dyDescent="0.2">
      <c r="A11" s="5">
        <v>9</v>
      </c>
      <c r="B11" s="6" t="s">
        <v>192</v>
      </c>
      <c r="C11" s="7">
        <v>27</v>
      </c>
      <c r="D11" s="7">
        <v>28</v>
      </c>
      <c r="E11" s="7">
        <v>28</v>
      </c>
      <c r="F11" s="7">
        <v>29</v>
      </c>
      <c r="G11" s="7">
        <v>30</v>
      </c>
      <c r="H11" s="7">
        <v>30</v>
      </c>
      <c r="I11" s="7">
        <v>28</v>
      </c>
      <c r="J11" s="7">
        <v>27</v>
      </c>
      <c r="K11" s="7">
        <v>28</v>
      </c>
      <c r="L11" s="8">
        <v>27</v>
      </c>
      <c r="M11" s="8">
        <v>27</v>
      </c>
      <c r="N11" s="8">
        <v>26</v>
      </c>
      <c r="O11" s="11">
        <v>26</v>
      </c>
      <c r="P11" s="11">
        <v>27</v>
      </c>
      <c r="Q11" s="7">
        <v>26</v>
      </c>
      <c r="R11" s="7">
        <v>26</v>
      </c>
      <c r="S11" s="7">
        <v>25</v>
      </c>
      <c r="T11" s="7">
        <v>25</v>
      </c>
      <c r="U11" s="7">
        <v>25</v>
      </c>
      <c r="V11" s="7">
        <v>24</v>
      </c>
      <c r="W11" s="1">
        <v>24</v>
      </c>
      <c r="X11" s="7">
        <v>764</v>
      </c>
      <c r="Y11" s="7">
        <v>791</v>
      </c>
      <c r="Z11" s="7">
        <v>815</v>
      </c>
      <c r="AA11" s="7">
        <v>863</v>
      </c>
      <c r="AB11" s="7">
        <v>925</v>
      </c>
      <c r="AC11" s="7">
        <v>965</v>
      </c>
      <c r="AD11" s="8">
        <v>965</v>
      </c>
      <c r="AE11" s="8">
        <v>890</v>
      </c>
      <c r="AF11" s="8">
        <v>788</v>
      </c>
      <c r="AG11" s="8">
        <v>815</v>
      </c>
      <c r="AH11" s="8">
        <v>811</v>
      </c>
      <c r="AI11" s="7">
        <v>811</v>
      </c>
      <c r="AJ11" s="7">
        <v>810</v>
      </c>
      <c r="AK11" s="7">
        <v>801</v>
      </c>
      <c r="AL11" s="7">
        <v>821</v>
      </c>
      <c r="AM11" s="7">
        <v>815</v>
      </c>
      <c r="AN11" s="7">
        <v>816</v>
      </c>
      <c r="AO11" s="7">
        <v>785</v>
      </c>
      <c r="AP11" s="7">
        <v>788</v>
      </c>
      <c r="AQ11" s="7">
        <v>789</v>
      </c>
      <c r="AR11" s="7">
        <v>789</v>
      </c>
      <c r="AS11" s="7">
        <v>789</v>
      </c>
      <c r="AT11" s="7">
        <v>35900.885970000003</v>
      </c>
      <c r="AU11" s="8">
        <v>39077.170279999998</v>
      </c>
      <c r="AV11" s="7">
        <v>44011.437330000001</v>
      </c>
      <c r="AW11" s="8">
        <v>48937.449649999995</v>
      </c>
      <c r="AX11" s="8">
        <v>56260.861699999994</v>
      </c>
      <c r="AY11" s="8">
        <v>61726.456030000001</v>
      </c>
      <c r="AZ11" s="15">
        <v>64425.009149999998</v>
      </c>
      <c r="BA11" s="7">
        <v>63958.242379999996</v>
      </c>
      <c r="BB11" s="7">
        <v>68861.06117999999</v>
      </c>
      <c r="BC11" s="7">
        <v>66433.543479999993</v>
      </c>
      <c r="BD11" s="7">
        <v>65077.030419999996</v>
      </c>
      <c r="BE11" s="7">
        <v>63279.273049999996</v>
      </c>
      <c r="BF11" s="7">
        <v>64787.561809999999</v>
      </c>
      <c r="BG11" s="7">
        <v>64616.182169999993</v>
      </c>
      <c r="BH11" s="7">
        <v>63583.133609999997</v>
      </c>
      <c r="BI11" s="7">
        <v>62639.827510000003</v>
      </c>
      <c r="BJ11" s="7">
        <v>61633.173329999998</v>
      </c>
      <c r="BK11" s="7">
        <v>60079.253190000003</v>
      </c>
      <c r="BL11" s="7">
        <v>55650.676890000002</v>
      </c>
      <c r="BM11" s="2">
        <v>57803.861140000001</v>
      </c>
      <c r="BN11" s="2">
        <v>58454.72176</v>
      </c>
      <c r="BO11" s="2">
        <v>1333819.8636400001</v>
      </c>
      <c r="BP11" s="2">
        <v>16015.127219999998</v>
      </c>
      <c r="BQ11" s="2">
        <v>17703.416509999999</v>
      </c>
      <c r="BR11" s="7">
        <v>16101.285239999997</v>
      </c>
      <c r="BS11" s="7">
        <v>17973.075229999999</v>
      </c>
      <c r="BT11" s="7">
        <v>21977.057220000002</v>
      </c>
      <c r="BU11" s="7">
        <v>25695.56698</v>
      </c>
      <c r="BV11" s="7">
        <v>27105.393680000001</v>
      </c>
      <c r="BW11" s="7">
        <v>26701.918270000002</v>
      </c>
      <c r="BX11" s="7">
        <v>29394.593049999999</v>
      </c>
      <c r="BY11" s="7">
        <v>28043.506140000001</v>
      </c>
      <c r="BZ11" s="7">
        <v>27479.214249999997</v>
      </c>
      <c r="CA11" s="7">
        <v>26501.119719999999</v>
      </c>
      <c r="CB11" s="7">
        <v>27342.6708</v>
      </c>
      <c r="CC11" s="7">
        <v>27216.803200000002</v>
      </c>
      <c r="CD11" s="8">
        <v>26772.699840000001</v>
      </c>
      <c r="CE11" s="8">
        <v>26376.881600000001</v>
      </c>
      <c r="CF11" s="8">
        <v>26412.27144</v>
      </c>
      <c r="CG11" s="8">
        <v>25589.70463</v>
      </c>
      <c r="CH11" s="8">
        <v>23072.30215</v>
      </c>
      <c r="CI11" s="8">
        <v>24298.246759999998</v>
      </c>
      <c r="CJ11" s="7">
        <v>24891.133690000002</v>
      </c>
      <c r="CK11" s="7">
        <v>552615.95771999995</v>
      </c>
      <c r="CL11" s="7">
        <v>437.83456103871492</v>
      </c>
      <c r="CM11" s="1">
        <v>475.83527858440124</v>
      </c>
      <c r="CN11" s="7">
        <v>534.97488835558352</v>
      </c>
      <c r="CO11" s="7">
        <v>594.14196067055445</v>
      </c>
      <c r="CP11" s="7">
        <v>682.8811957194381</v>
      </c>
      <c r="CQ11" s="7">
        <v>749.07560722234723</v>
      </c>
      <c r="CR11" s="7">
        <v>781.08686669054578</v>
      </c>
      <c r="CS11" s="9">
        <v>772.47232057304143</v>
      </c>
      <c r="CT11" s="9">
        <v>826.5481091307247</v>
      </c>
      <c r="CU11" s="9">
        <v>791.30165195625932</v>
      </c>
      <c r="CV11" s="9">
        <v>765.54599110725326</v>
      </c>
      <c r="CW11" s="9">
        <v>733.67807983016462</v>
      </c>
      <c r="CX11" s="9">
        <v>742.29489824376878</v>
      </c>
      <c r="CY11" s="9">
        <v>731.4312077567032</v>
      </c>
      <c r="CZ11" s="7">
        <v>710.2049500713764</v>
      </c>
      <c r="DA11" s="7">
        <v>690.03256607369349</v>
      </c>
      <c r="DB11" s="7">
        <v>669.68443861523485</v>
      </c>
      <c r="DC11" s="7">
        <v>645.87205228130927</v>
      </c>
      <c r="DD11" s="7">
        <v>592.94498312369319</v>
      </c>
      <c r="DE11" s="7">
        <v>609.54865554371167</v>
      </c>
      <c r="DF11" s="7">
        <v>609.69178492274204</v>
      </c>
      <c r="DG11" s="7">
        <v>195.3148510654394</v>
      </c>
      <c r="DH11" s="7">
        <v>215.57113953164003</v>
      </c>
      <c r="DI11" s="7">
        <v>195.716927149273</v>
      </c>
      <c r="DJ11" s="1">
        <v>218.20830943999908</v>
      </c>
      <c r="DK11" s="2">
        <v>266.75238628256051</v>
      </c>
      <c r="DL11" s="2">
        <v>311.82613868373085</v>
      </c>
      <c r="DM11" s="2">
        <v>328.62497497875671</v>
      </c>
      <c r="DN11" s="2">
        <v>322.49936837270849</v>
      </c>
      <c r="DO11" s="2">
        <v>352.82705331298592</v>
      </c>
      <c r="DP11" s="2">
        <v>334.03114711031679</v>
      </c>
      <c r="DQ11" s="1">
        <v>323.25694906631247</v>
      </c>
      <c r="DR11" s="1">
        <v>307.26159913619472</v>
      </c>
      <c r="DS11" s="2">
        <v>313.27502489939536</v>
      </c>
      <c r="DT11" s="2">
        <v>308.08411403010797</v>
      </c>
      <c r="DU11" s="2">
        <v>299.04320334021276</v>
      </c>
      <c r="DV11" s="2">
        <v>290.56445426137782</v>
      </c>
      <c r="DW11" s="2">
        <v>286.98647524027467</v>
      </c>
      <c r="DX11" s="2">
        <v>275.09787770467159</v>
      </c>
      <c r="DY11" s="2">
        <v>245.82999836637745</v>
      </c>
      <c r="DZ11" s="2">
        <v>256.22792928582118</v>
      </c>
      <c r="EA11" s="1">
        <v>259.61837249889084</v>
      </c>
      <c r="EB11" s="2">
        <v>9.6407829620071617</v>
      </c>
      <c r="EC11" s="2">
        <v>9.9149201097811659</v>
      </c>
      <c r="ED11" s="2">
        <v>10.481300663315739</v>
      </c>
      <c r="EE11" s="2">
        <v>11.226262420518328</v>
      </c>
      <c r="EF11" s="2">
        <v>11.714166953721177</v>
      </c>
      <c r="EG11" s="2">
        <v>11.707168790991222</v>
      </c>
      <c r="EH11" s="2">
        <v>10.783390022952403</v>
      </c>
      <c r="EI11" s="2">
        <v>9.487200679315432</v>
      </c>
      <c r="EJ11" s="1">
        <v>9.7530078710500145</v>
      </c>
      <c r="EK11" s="1">
        <v>9.6152063248801323</v>
      </c>
      <c r="EL11" s="1">
        <v>9.4666548024798463</v>
      </c>
      <c r="EM11" s="1">
        <v>9.3286137967976135</v>
      </c>
      <c r="EN11" s="2">
        <v>9.1302289658635747</v>
      </c>
      <c r="EO11" s="2">
        <v>9.2295218484963968</v>
      </c>
      <c r="EP11" s="2">
        <v>9.0452997164752613</v>
      </c>
      <c r="EQ11" s="15">
        <v>8.9225083064950503</v>
      </c>
      <c r="ER11" s="2">
        <v>8.4762040684139794</v>
      </c>
      <c r="ES11" s="2">
        <v>8.4342557405309755</v>
      </c>
      <c r="ET11" s="2">
        <v>8.3686095592928798</v>
      </c>
      <c r="EU11" s="2">
        <v>8.27214903950515</v>
      </c>
      <c r="EV11" s="2">
        <v>8.1870746479646659</v>
      </c>
      <c r="EW11" s="2">
        <v>46174.7729517685</v>
      </c>
      <c r="EX11" s="2">
        <v>48663.97295143213</v>
      </c>
      <c r="EY11" s="2">
        <v>52457.017079856967</v>
      </c>
      <c r="EZ11" s="2">
        <v>54739.876565995524</v>
      </c>
      <c r="FA11" s="2">
        <v>59535.30338624338</v>
      </c>
      <c r="FB11" s="2">
        <v>63965.239409326423</v>
      </c>
      <c r="FC11" s="2">
        <v>69460.926307277623</v>
      </c>
      <c r="FD11" s="2">
        <v>76231.516543504171</v>
      </c>
      <c r="FE11" s="2">
        <v>85915.235408608845</v>
      </c>
      <c r="FF11" s="2">
        <v>81714.075621156197</v>
      </c>
      <c r="FG11" s="2">
        <v>80242.947496917375</v>
      </c>
      <c r="FH11" s="2">
        <v>78074.365268352863</v>
      </c>
      <c r="FI11" s="2">
        <v>80431.485797641217</v>
      </c>
      <c r="FJ11" s="1">
        <v>79674.700579531433</v>
      </c>
      <c r="FK11" s="1">
        <v>77729.992188264063</v>
      </c>
      <c r="FL11" s="1">
        <v>76811.560404659729</v>
      </c>
      <c r="FM11" s="1">
        <v>76993.34582136164</v>
      </c>
      <c r="FN11" s="1">
        <v>76388.115944055957</v>
      </c>
      <c r="FO11" s="1">
        <v>70577.903474952444</v>
      </c>
      <c r="FP11" s="1">
        <v>73262.181419518383</v>
      </c>
      <c r="FQ11" s="1">
        <v>74087.099822560194</v>
      </c>
      <c r="FR11" s="5">
        <v>4</v>
      </c>
      <c r="FS11" s="5">
        <v>17</v>
      </c>
      <c r="FT11" s="5">
        <v>4</v>
      </c>
      <c r="FU11" s="5">
        <v>11</v>
      </c>
      <c r="FV11" s="5">
        <v>32</v>
      </c>
      <c r="FW11" s="5">
        <v>7</v>
      </c>
    </row>
    <row r="12" spans="1:180" x14ac:dyDescent="0.2">
      <c r="A12" s="5">
        <v>10</v>
      </c>
      <c r="B12" s="6" t="s">
        <v>165</v>
      </c>
      <c r="C12" s="9">
        <v>6</v>
      </c>
      <c r="D12" s="9">
        <v>6</v>
      </c>
      <c r="E12" s="9">
        <v>7</v>
      </c>
      <c r="F12" s="9">
        <v>7</v>
      </c>
      <c r="G12" s="9">
        <v>7</v>
      </c>
      <c r="H12" s="9">
        <v>7</v>
      </c>
      <c r="I12" s="9">
        <v>7</v>
      </c>
      <c r="J12" s="9">
        <v>7</v>
      </c>
      <c r="K12" s="9">
        <v>7</v>
      </c>
      <c r="L12" s="8">
        <v>7</v>
      </c>
      <c r="M12" s="8">
        <v>7</v>
      </c>
      <c r="N12" s="8">
        <v>7</v>
      </c>
      <c r="O12" s="85">
        <v>7</v>
      </c>
      <c r="P12" s="85">
        <v>7</v>
      </c>
      <c r="Q12" s="9">
        <v>7</v>
      </c>
      <c r="R12" s="9">
        <v>7</v>
      </c>
      <c r="S12" s="9">
        <v>7</v>
      </c>
      <c r="T12" s="9">
        <v>7</v>
      </c>
      <c r="U12" s="9">
        <v>7</v>
      </c>
      <c r="V12" s="9">
        <v>7</v>
      </c>
      <c r="W12" s="1">
        <v>7</v>
      </c>
      <c r="X12" s="9">
        <v>59</v>
      </c>
      <c r="Y12" s="9">
        <v>59</v>
      </c>
      <c r="Z12" s="9">
        <v>78</v>
      </c>
      <c r="AA12" s="9">
        <v>113</v>
      </c>
      <c r="AB12" s="9">
        <v>113</v>
      </c>
      <c r="AC12" s="9">
        <v>113</v>
      </c>
      <c r="AD12" s="8">
        <v>133</v>
      </c>
      <c r="AE12" s="8">
        <v>95</v>
      </c>
      <c r="AF12" s="8">
        <v>91</v>
      </c>
      <c r="AG12" s="8">
        <v>88</v>
      </c>
      <c r="AH12" s="8">
        <v>88</v>
      </c>
      <c r="AI12" s="9">
        <v>88</v>
      </c>
      <c r="AJ12" s="9">
        <v>88</v>
      </c>
      <c r="AK12" s="9">
        <v>88</v>
      </c>
      <c r="AL12" s="9">
        <v>88</v>
      </c>
      <c r="AM12" s="9">
        <v>88</v>
      </c>
      <c r="AN12" s="9">
        <v>88</v>
      </c>
      <c r="AO12" s="9">
        <v>88</v>
      </c>
      <c r="AP12" s="9">
        <v>88</v>
      </c>
      <c r="AQ12" s="9">
        <v>88</v>
      </c>
      <c r="AR12" s="9">
        <v>88</v>
      </c>
      <c r="AS12" s="9">
        <v>88</v>
      </c>
      <c r="AT12" s="9">
        <v>1114.2783100000001</v>
      </c>
      <c r="AU12" s="8">
        <v>1265.38192</v>
      </c>
      <c r="AV12" s="9">
        <v>1382.4331000000002</v>
      </c>
      <c r="AW12" s="8">
        <v>1601.6829399999999</v>
      </c>
      <c r="AX12" s="8">
        <v>1681.2862600000001</v>
      </c>
      <c r="AY12" s="8">
        <v>1907.4833899999999</v>
      </c>
      <c r="AZ12" s="86">
        <v>2217.8028799999997</v>
      </c>
      <c r="BA12" s="9">
        <v>2263.9616599999999</v>
      </c>
      <c r="BB12" s="9">
        <v>2304.7727799999998</v>
      </c>
      <c r="BC12" s="9">
        <v>2169.82069</v>
      </c>
      <c r="BD12" s="9">
        <v>2397.11094</v>
      </c>
      <c r="BE12" s="9">
        <v>2252.1352200000001</v>
      </c>
      <c r="BF12" s="9">
        <v>2172.4341899999999</v>
      </c>
      <c r="BG12" s="9">
        <v>2323.9859500000002</v>
      </c>
      <c r="BH12" s="9">
        <v>2293.26008</v>
      </c>
      <c r="BI12" s="9">
        <v>2246.8319900000001</v>
      </c>
      <c r="BJ12" s="9">
        <v>2218.3827900000001</v>
      </c>
      <c r="BK12" s="9">
        <v>2358.5562999999997</v>
      </c>
      <c r="BL12" s="9">
        <v>2353.1260699999998</v>
      </c>
      <c r="BM12" s="1">
        <v>2057.2834499999999</v>
      </c>
      <c r="BN12" s="1">
        <v>2151.7271700000001</v>
      </c>
      <c r="BO12" s="1">
        <v>45791.707239999996</v>
      </c>
      <c r="BP12" s="1">
        <v>405.18890999999996</v>
      </c>
      <c r="BQ12" s="1">
        <v>463.51559000000003</v>
      </c>
      <c r="BR12" s="9">
        <v>385.81172999999995</v>
      </c>
      <c r="BS12" s="9">
        <v>451.58114</v>
      </c>
      <c r="BT12" s="9">
        <v>410.75228000000004</v>
      </c>
      <c r="BU12" s="9">
        <v>436.44553999999999</v>
      </c>
      <c r="BV12" s="9">
        <v>545.34928000000002</v>
      </c>
      <c r="BW12" s="9">
        <v>568.27545999999995</v>
      </c>
      <c r="BX12" s="9">
        <v>568.82808999999997</v>
      </c>
      <c r="BY12" s="9">
        <v>529.36032999999998</v>
      </c>
      <c r="BZ12" s="9">
        <v>616.16135999999995</v>
      </c>
      <c r="CA12" s="9">
        <v>574.80534</v>
      </c>
      <c r="CB12" s="9">
        <v>551.83731999999998</v>
      </c>
      <c r="CC12" s="9">
        <v>616.67790000000002</v>
      </c>
      <c r="CD12" s="8">
        <v>609.62702999999999</v>
      </c>
      <c r="CE12" s="8">
        <v>596.52031000000011</v>
      </c>
      <c r="CF12" s="8">
        <v>582.40417000000002</v>
      </c>
      <c r="CG12" s="8">
        <v>611.36132999999995</v>
      </c>
      <c r="CH12" s="8">
        <v>606.09367000000009</v>
      </c>
      <c r="CI12" s="8">
        <v>529.61371999999994</v>
      </c>
      <c r="CJ12" s="9">
        <v>562.98931000000005</v>
      </c>
      <c r="CK12" s="9">
        <v>12290.98244</v>
      </c>
      <c r="CL12" s="9">
        <v>185.48194009352395</v>
      </c>
      <c r="CM12" s="1">
        <v>207.24806947247902</v>
      </c>
      <c r="CN12" s="9">
        <v>224.18379503769125</v>
      </c>
      <c r="CO12" s="9">
        <v>257.58513901595302</v>
      </c>
      <c r="CP12" s="9">
        <v>269.13821045767492</v>
      </c>
      <c r="CQ12" s="9">
        <v>304.78057114464968</v>
      </c>
      <c r="CR12" s="9">
        <v>352.63685302644149</v>
      </c>
      <c r="CS12" s="9">
        <v>357.00846885571968</v>
      </c>
      <c r="CT12" s="9">
        <v>359.7018968961159</v>
      </c>
      <c r="CU12" s="9">
        <v>334.93129490154871</v>
      </c>
      <c r="CV12" s="9">
        <v>365.84981568257831</v>
      </c>
      <c r="CW12" s="9">
        <v>338.94981181214246</v>
      </c>
      <c r="CX12" s="9">
        <v>321.97390142079047</v>
      </c>
      <c r="CY12" s="9">
        <v>339.47525865740295</v>
      </c>
      <c r="CZ12" s="9">
        <v>329.72737608497721</v>
      </c>
      <c r="DA12" s="9">
        <v>318.41136916667938</v>
      </c>
      <c r="DB12" s="9">
        <v>310.55712952851081</v>
      </c>
      <c r="DC12" s="9">
        <v>326.72247295463541</v>
      </c>
      <c r="DD12" s="9">
        <v>323.21851567340605</v>
      </c>
      <c r="DE12" s="9">
        <v>280.54196841838848</v>
      </c>
      <c r="DF12" s="9">
        <v>291.39096152231508</v>
      </c>
      <c r="DG12" s="9">
        <v>67.447445092223191</v>
      </c>
      <c r="DH12" s="9">
        <v>75.915982107518261</v>
      </c>
      <c r="DI12" s="9">
        <v>62.565586574465755</v>
      </c>
      <c r="DJ12" s="1">
        <v>72.62398057625721</v>
      </c>
      <c r="DK12" s="1">
        <v>65.75271339016939</v>
      </c>
      <c r="DL12" s="1">
        <v>69.735926222002405</v>
      </c>
      <c r="DM12" s="1">
        <v>86.712058873075193</v>
      </c>
      <c r="DN12" s="1">
        <v>89.612450355223672</v>
      </c>
      <c r="DO12" s="1">
        <v>88.776015039883688</v>
      </c>
      <c r="DP12" s="1">
        <v>81.711517275840492</v>
      </c>
      <c r="DQ12" s="1">
        <v>94.039252095160336</v>
      </c>
      <c r="DR12" s="1">
        <v>86.50908706166166</v>
      </c>
      <c r="DS12" s="1">
        <v>81.787156401728893</v>
      </c>
      <c r="DT12" s="1">
        <v>90.080961810807878</v>
      </c>
      <c r="DU12" s="1">
        <v>87.652823482793835</v>
      </c>
      <c r="DV12" s="1">
        <v>84.536293540502783</v>
      </c>
      <c r="DW12" s="1">
        <v>81.532262184848108</v>
      </c>
      <c r="DX12" s="1">
        <v>84.689725492851267</v>
      </c>
      <c r="DY12" s="1">
        <v>83.251254097255924</v>
      </c>
      <c r="DZ12" s="1">
        <v>72.22090641432284</v>
      </c>
      <c r="EA12" s="1">
        <v>76.241076775400259</v>
      </c>
      <c r="EB12" s="1">
        <v>9.723000706003063</v>
      </c>
      <c r="EC12" s="1">
        <v>12.696980851159729</v>
      </c>
      <c r="ED12" s="1">
        <v>18.255720618186174</v>
      </c>
      <c r="EE12" s="1">
        <v>18.090699759463771</v>
      </c>
      <c r="EF12" s="1">
        <v>18.087099115748813</v>
      </c>
      <c r="EG12" s="1">
        <v>21.213656623532025</v>
      </c>
      <c r="EH12" s="1">
        <v>15.058213823353642</v>
      </c>
      <c r="EI12" s="1">
        <v>14.276506171940527</v>
      </c>
      <c r="EJ12" s="1">
        <v>13.662906995620986</v>
      </c>
      <c r="EK12" s="1">
        <v>13.505187988607918</v>
      </c>
      <c r="EL12" s="1">
        <v>13.356951512660823</v>
      </c>
      <c r="EM12" s="1">
        <v>13.133208762749685</v>
      </c>
      <c r="EN12" s="1">
        <v>12.952790857760599</v>
      </c>
      <c r="EO12" s="1">
        <v>12.757812872038103</v>
      </c>
      <c r="EP12" s="1">
        <v>12.549371346157228</v>
      </c>
      <c r="EQ12" s="86">
        <v>12.393565170069317</v>
      </c>
      <c r="ER12" s="1">
        <v>12.246012467606295</v>
      </c>
      <c r="ES12" s="1">
        <v>12.135149934207202</v>
      </c>
      <c r="ET12" s="1">
        <v>12.040069334744166</v>
      </c>
      <c r="EU12" s="1">
        <v>11.960478301717814</v>
      </c>
      <c r="EV12" s="1">
        <v>11.874087584127816</v>
      </c>
      <c r="EW12" s="1">
        <v>18886.073050847459</v>
      </c>
      <c r="EX12" s="1">
        <v>18472.728759124086</v>
      </c>
      <c r="EY12" s="1">
        <v>14475.739267015708</v>
      </c>
      <c r="EZ12" s="1">
        <v>14174.185309734512</v>
      </c>
      <c r="FA12" s="1">
        <v>14878.639469026548</v>
      </c>
      <c r="FB12" s="1">
        <v>15507.995040650405</v>
      </c>
      <c r="FC12" s="1">
        <v>19454.411228070174</v>
      </c>
      <c r="FD12" s="1">
        <v>24343.67376344086</v>
      </c>
      <c r="FE12" s="1">
        <v>25751.651173184357</v>
      </c>
      <c r="FF12" s="1">
        <v>24657.053295454545</v>
      </c>
      <c r="FG12" s="1">
        <v>27239.897045454545</v>
      </c>
      <c r="FH12" s="1">
        <v>25592.445681818182</v>
      </c>
      <c r="FI12" s="1">
        <v>24686.752159090909</v>
      </c>
      <c r="FJ12" s="1">
        <v>26408.931250000001</v>
      </c>
      <c r="FK12" s="1">
        <v>26059.773636363636</v>
      </c>
      <c r="FL12" s="1">
        <v>25532.181704545455</v>
      </c>
      <c r="FM12" s="1">
        <v>25208.89534090909</v>
      </c>
      <c r="FN12" s="1">
        <v>26801.776136363635</v>
      </c>
      <c r="FO12" s="1">
        <v>26740.068977272724</v>
      </c>
      <c r="FP12" s="1">
        <v>23378.221022727274</v>
      </c>
      <c r="FQ12" s="1">
        <v>24451.445113636364</v>
      </c>
      <c r="FR12" s="5">
        <v>39</v>
      </c>
      <c r="FS12" s="5">
        <v>35</v>
      </c>
      <c r="FT12" s="5">
        <v>38</v>
      </c>
      <c r="FU12" s="5">
        <v>33</v>
      </c>
      <c r="FV12" s="5">
        <v>21</v>
      </c>
      <c r="FW12" s="5">
        <v>33</v>
      </c>
    </row>
    <row r="13" spans="1:180" x14ac:dyDescent="0.2">
      <c r="A13" s="5">
        <v>11</v>
      </c>
      <c r="B13" s="6" t="s">
        <v>186</v>
      </c>
      <c r="C13" s="9">
        <v>8</v>
      </c>
      <c r="D13" s="9">
        <v>8</v>
      </c>
      <c r="E13" s="9">
        <v>7</v>
      </c>
      <c r="F13" s="9">
        <v>8</v>
      </c>
      <c r="G13" s="9">
        <v>8</v>
      </c>
      <c r="H13" s="9">
        <v>8</v>
      </c>
      <c r="I13" s="9">
        <v>8</v>
      </c>
      <c r="J13" s="9">
        <v>8</v>
      </c>
      <c r="K13" s="9">
        <v>8</v>
      </c>
      <c r="L13" s="8">
        <v>8</v>
      </c>
      <c r="M13" s="8">
        <v>8</v>
      </c>
      <c r="N13" s="8">
        <v>8</v>
      </c>
      <c r="O13" s="85">
        <v>8</v>
      </c>
      <c r="P13" s="85">
        <v>8</v>
      </c>
      <c r="Q13" s="9">
        <v>7</v>
      </c>
      <c r="R13" s="9">
        <v>8</v>
      </c>
      <c r="S13" s="9">
        <v>8</v>
      </c>
      <c r="T13" s="9">
        <v>8</v>
      </c>
      <c r="U13" s="9">
        <v>8</v>
      </c>
      <c r="V13" s="9">
        <v>8</v>
      </c>
      <c r="W13" s="1">
        <v>8</v>
      </c>
      <c r="X13" s="9">
        <v>166</v>
      </c>
      <c r="Y13" s="9">
        <v>166</v>
      </c>
      <c r="Z13" s="9">
        <v>170</v>
      </c>
      <c r="AA13" s="9">
        <v>204</v>
      </c>
      <c r="AB13" s="9">
        <v>244</v>
      </c>
      <c r="AC13" s="9">
        <v>244</v>
      </c>
      <c r="AD13" s="8">
        <v>244</v>
      </c>
      <c r="AE13" s="8">
        <v>233</v>
      </c>
      <c r="AF13" s="8">
        <v>208</v>
      </c>
      <c r="AG13" s="8">
        <v>208</v>
      </c>
      <c r="AH13" s="8">
        <v>208</v>
      </c>
      <c r="AI13" s="9">
        <v>208</v>
      </c>
      <c r="AJ13" s="9">
        <v>208</v>
      </c>
      <c r="AK13" s="9">
        <v>208</v>
      </c>
      <c r="AL13" s="9">
        <v>208</v>
      </c>
      <c r="AM13" s="9">
        <v>188</v>
      </c>
      <c r="AN13" s="9">
        <v>212</v>
      </c>
      <c r="AO13" s="9">
        <v>212</v>
      </c>
      <c r="AP13" s="9">
        <v>212</v>
      </c>
      <c r="AQ13" s="9">
        <v>214</v>
      </c>
      <c r="AR13" s="9">
        <v>214</v>
      </c>
      <c r="AS13" s="9">
        <v>214</v>
      </c>
      <c r="AT13" s="9">
        <v>5707.2610000000004</v>
      </c>
      <c r="AU13" s="8">
        <v>6251.18703</v>
      </c>
      <c r="AV13" s="9">
        <v>7334.9828699999998</v>
      </c>
      <c r="AW13" s="8">
        <v>9483.9366999999984</v>
      </c>
      <c r="AX13" s="8">
        <v>11419.540349999999</v>
      </c>
      <c r="AY13" s="8">
        <v>12741.44544</v>
      </c>
      <c r="AZ13" s="86">
        <v>13623.55215</v>
      </c>
      <c r="BA13" s="9">
        <v>14108.27895</v>
      </c>
      <c r="BB13" s="9">
        <v>14551.730439999999</v>
      </c>
      <c r="BC13" s="9">
        <v>13869.232609999999</v>
      </c>
      <c r="BD13" s="9">
        <v>13951.259400000001</v>
      </c>
      <c r="BE13" s="9">
        <v>13545.207769999999</v>
      </c>
      <c r="BF13" s="9">
        <v>14258.928890000001</v>
      </c>
      <c r="BG13" s="9">
        <v>14486.176599999999</v>
      </c>
      <c r="BH13" s="9">
        <v>13852.59167</v>
      </c>
      <c r="BI13" s="9">
        <v>13564.347689999999</v>
      </c>
      <c r="BJ13" s="9">
        <v>13565.40639</v>
      </c>
      <c r="BK13" s="9">
        <v>13990.33884</v>
      </c>
      <c r="BL13" s="9">
        <v>13843.55638</v>
      </c>
      <c r="BM13" s="1">
        <v>13691.5337</v>
      </c>
      <c r="BN13" s="1">
        <v>13938.805</v>
      </c>
      <c r="BO13" s="1">
        <v>276157.66242999997</v>
      </c>
      <c r="BP13" s="1">
        <v>2436.3417300000001</v>
      </c>
      <c r="BQ13" s="1">
        <v>2658.88753</v>
      </c>
      <c r="BR13" s="9">
        <v>2520.6097100000002</v>
      </c>
      <c r="BS13" s="9">
        <v>3286.5531299999998</v>
      </c>
      <c r="BT13" s="9">
        <v>4101.7939399999996</v>
      </c>
      <c r="BU13" s="9">
        <v>4841.9137099999998</v>
      </c>
      <c r="BV13" s="9">
        <v>5270.8744400000005</v>
      </c>
      <c r="BW13" s="9">
        <v>5483.6383299999998</v>
      </c>
      <c r="BX13" s="9">
        <v>5706.9029299999993</v>
      </c>
      <c r="BY13" s="9">
        <v>5335.8229599999995</v>
      </c>
      <c r="BZ13" s="9">
        <v>5381.26404</v>
      </c>
      <c r="CA13" s="9">
        <v>5196.4930899999999</v>
      </c>
      <c r="CB13" s="9">
        <v>5530.3141100000003</v>
      </c>
      <c r="CC13" s="9">
        <v>5656.2398700000003</v>
      </c>
      <c r="CD13" s="8">
        <v>5453.7758700000004</v>
      </c>
      <c r="CE13" s="8">
        <v>5287.9416500000007</v>
      </c>
      <c r="CF13" s="8">
        <v>5193.9080400000003</v>
      </c>
      <c r="CG13" s="8">
        <v>5378.9046699999999</v>
      </c>
      <c r="CH13" s="8">
        <v>5309.2737800000004</v>
      </c>
      <c r="CI13" s="8">
        <v>5233.5831200000002</v>
      </c>
      <c r="CJ13" s="9">
        <v>5355.8086499999999</v>
      </c>
      <c r="CK13" s="9">
        <v>105847.90682999999</v>
      </c>
      <c r="CL13" s="9">
        <v>437.07849962406999</v>
      </c>
      <c r="CM13" s="1">
        <v>472.63635391087405</v>
      </c>
      <c r="CN13" s="9">
        <v>545.40650716221262</v>
      </c>
      <c r="CO13" s="9">
        <v>693.0634036975398</v>
      </c>
      <c r="CP13" s="9">
        <v>822.80552994451648</v>
      </c>
      <c r="CQ13" s="9">
        <v>906.99045455088833</v>
      </c>
      <c r="CR13" s="9">
        <v>955.98518386336229</v>
      </c>
      <c r="CS13" s="9">
        <v>972.91258025239972</v>
      </c>
      <c r="CT13" s="9">
        <v>976.97507447037697</v>
      </c>
      <c r="CU13" s="9">
        <v>904.21670192014597</v>
      </c>
      <c r="CV13" s="9">
        <v>886.52690690237398</v>
      </c>
      <c r="CW13" s="9">
        <v>844.08422627297045</v>
      </c>
      <c r="CX13" s="9">
        <v>880.69507866999766</v>
      </c>
      <c r="CY13" s="9">
        <v>884.78864782747848</v>
      </c>
      <c r="CZ13" s="9">
        <v>830.35147704060455</v>
      </c>
      <c r="DA13" s="9">
        <v>792.11449836200177</v>
      </c>
      <c r="DB13" s="9">
        <v>771.31712716404149</v>
      </c>
      <c r="DC13" s="9">
        <v>774.46405672236153</v>
      </c>
      <c r="DD13" s="9">
        <v>749.06177301019409</v>
      </c>
      <c r="DE13" s="9">
        <v>730.54248374314591</v>
      </c>
      <c r="DF13" s="9">
        <v>733.62705373335837</v>
      </c>
      <c r="DG13" s="9">
        <v>186.5820728927433</v>
      </c>
      <c r="DH13" s="9">
        <v>201.03172431209271</v>
      </c>
      <c r="DI13" s="9">
        <v>187.42469644653141</v>
      </c>
      <c r="DJ13" s="1">
        <v>240.17343965513848</v>
      </c>
      <c r="DK13" s="1">
        <v>295.54418418644195</v>
      </c>
      <c r="DL13" s="1">
        <v>344.66807846952395</v>
      </c>
      <c r="DM13" s="1">
        <v>369.86520220015433</v>
      </c>
      <c r="DN13" s="1">
        <v>378.15390067909459</v>
      </c>
      <c r="DO13" s="1">
        <v>383.15043960036155</v>
      </c>
      <c r="DP13" s="1">
        <v>347.87362607519145</v>
      </c>
      <c r="DQ13" s="1">
        <v>341.95015860762885</v>
      </c>
      <c r="DR13" s="1">
        <v>323.82506962501083</v>
      </c>
      <c r="DS13" s="1">
        <v>341.57687844225222</v>
      </c>
      <c r="DT13" s="1">
        <v>345.47258152059067</v>
      </c>
      <c r="DU13" s="1">
        <v>326.91000767099837</v>
      </c>
      <c r="DV13" s="1">
        <v>308.79887062650829</v>
      </c>
      <c r="DW13" s="1">
        <v>295.32106248731537</v>
      </c>
      <c r="DX13" s="1">
        <v>297.76036013800046</v>
      </c>
      <c r="DY13" s="1">
        <v>287.27979443121501</v>
      </c>
      <c r="DZ13" s="1">
        <v>279.24956364537911</v>
      </c>
      <c r="EA13" s="1">
        <v>281.88687052147839</v>
      </c>
      <c r="EB13" s="1">
        <v>12.647310548232001</v>
      </c>
      <c r="EC13" s="1">
        <v>12.755966151841964</v>
      </c>
      <c r="ED13" s="1">
        <v>15.032929961625234</v>
      </c>
      <c r="EE13" s="1">
        <v>17.683778892602849</v>
      </c>
      <c r="EF13" s="1">
        <v>17.478995233745515</v>
      </c>
      <c r="EG13" s="1">
        <v>17.260303787204421</v>
      </c>
      <c r="EH13" s="1">
        <v>16.219851155877198</v>
      </c>
      <c r="EI13" s="1">
        <v>14.210525361275215</v>
      </c>
      <c r="EJ13" s="1">
        <v>13.727270241914281</v>
      </c>
      <c r="EK13" s="1">
        <v>13.398204133974261</v>
      </c>
      <c r="EL13" s="1">
        <v>13.041162338385863</v>
      </c>
      <c r="EM13" s="1">
        <v>12.883287607463256</v>
      </c>
      <c r="EN13" s="1">
        <v>12.810932543432751</v>
      </c>
      <c r="EO13" s="1">
        <v>12.599333602062488</v>
      </c>
      <c r="EP13" s="1">
        <v>11.152769133277245</v>
      </c>
      <c r="EQ13" s="86">
        <v>12.189756403001956</v>
      </c>
      <c r="ER13" s="1">
        <v>11.921496900282312</v>
      </c>
      <c r="ES13" s="1">
        <v>11.555600053444804</v>
      </c>
      <c r="ET13" s="1">
        <v>11.495298822240635</v>
      </c>
      <c r="EU13" s="1">
        <v>11.342621649940909</v>
      </c>
      <c r="EV13" s="1">
        <v>11.184973548152012</v>
      </c>
      <c r="EW13" s="1">
        <v>34381.090361445786</v>
      </c>
      <c r="EX13" s="1">
        <v>37209.446607142861</v>
      </c>
      <c r="EY13" s="1">
        <v>39224.507326203209</v>
      </c>
      <c r="EZ13" s="1">
        <v>42339.003124999996</v>
      </c>
      <c r="FA13" s="1">
        <v>46801.394877049177</v>
      </c>
      <c r="FB13" s="1">
        <v>52219.03868852459</v>
      </c>
      <c r="FC13" s="1">
        <v>57121.811949685536</v>
      </c>
      <c r="FD13" s="1">
        <v>63983.124489795911</v>
      </c>
      <c r="FE13" s="1">
        <v>69960.242499999993</v>
      </c>
      <c r="FF13" s="1">
        <v>66679.00293269231</v>
      </c>
      <c r="FG13" s="1">
        <v>67073.362500000003</v>
      </c>
      <c r="FH13" s="1">
        <v>65121.191201923073</v>
      </c>
      <c r="FI13" s="1">
        <v>68552.542740384612</v>
      </c>
      <c r="FJ13" s="1">
        <v>69645.079807692309</v>
      </c>
      <c r="FK13" s="1">
        <v>69962.584191919188</v>
      </c>
      <c r="FL13" s="1">
        <v>67821.738450000004</v>
      </c>
      <c r="FM13" s="1">
        <v>63987.76599056604</v>
      </c>
      <c r="FN13" s="1">
        <v>65992.164339622643</v>
      </c>
      <c r="FO13" s="1">
        <v>64993.22244131456</v>
      </c>
      <c r="FP13" s="1">
        <v>63979.129439252334</v>
      </c>
      <c r="FQ13" s="1">
        <v>65134.602803738315</v>
      </c>
      <c r="FR13" s="5">
        <v>15</v>
      </c>
      <c r="FS13" s="5">
        <v>6</v>
      </c>
      <c r="FT13" s="5">
        <v>15</v>
      </c>
      <c r="FU13" s="5">
        <v>5</v>
      </c>
      <c r="FV13" s="5">
        <v>25</v>
      </c>
      <c r="FW13" s="5">
        <v>9</v>
      </c>
    </row>
    <row r="14" spans="1:180" x14ac:dyDescent="0.2">
      <c r="A14" s="5">
        <v>12</v>
      </c>
      <c r="B14" s="6" t="s">
        <v>159</v>
      </c>
      <c r="C14" s="9">
        <v>8</v>
      </c>
      <c r="D14" s="9">
        <v>10</v>
      </c>
      <c r="E14" s="9">
        <v>11</v>
      </c>
      <c r="F14" s="9">
        <v>11</v>
      </c>
      <c r="G14" s="9">
        <v>11</v>
      </c>
      <c r="H14" s="9">
        <v>11</v>
      </c>
      <c r="I14" s="9">
        <v>9</v>
      </c>
      <c r="J14" s="9">
        <v>9</v>
      </c>
      <c r="K14" s="9">
        <v>9</v>
      </c>
      <c r="L14" s="8">
        <v>9</v>
      </c>
      <c r="M14" s="8">
        <v>9</v>
      </c>
      <c r="N14" s="8">
        <v>7</v>
      </c>
      <c r="O14" s="85">
        <v>8</v>
      </c>
      <c r="P14" s="85">
        <v>8</v>
      </c>
      <c r="Q14" s="9">
        <v>7</v>
      </c>
      <c r="R14" s="9">
        <v>7</v>
      </c>
      <c r="S14" s="9">
        <v>7</v>
      </c>
      <c r="T14" s="9">
        <v>7</v>
      </c>
      <c r="U14" s="9">
        <v>6</v>
      </c>
      <c r="V14" s="9">
        <v>6</v>
      </c>
      <c r="W14" s="1">
        <v>6</v>
      </c>
      <c r="X14" s="9">
        <v>45</v>
      </c>
      <c r="Y14" s="9">
        <v>53</v>
      </c>
      <c r="Z14" s="9">
        <v>63</v>
      </c>
      <c r="AA14" s="9">
        <v>71</v>
      </c>
      <c r="AB14" s="9">
        <v>71</v>
      </c>
      <c r="AC14" s="9">
        <v>71</v>
      </c>
      <c r="AD14" s="8">
        <v>71</v>
      </c>
      <c r="AE14" s="8">
        <v>62</v>
      </c>
      <c r="AF14" s="8">
        <v>62</v>
      </c>
      <c r="AG14" s="8">
        <v>62</v>
      </c>
      <c r="AH14" s="8">
        <v>62</v>
      </c>
      <c r="AI14" s="9">
        <v>62</v>
      </c>
      <c r="AJ14" s="9">
        <v>48</v>
      </c>
      <c r="AK14" s="9">
        <v>56</v>
      </c>
      <c r="AL14" s="9">
        <v>56</v>
      </c>
      <c r="AM14" s="9">
        <v>54</v>
      </c>
      <c r="AN14" s="9">
        <v>54</v>
      </c>
      <c r="AO14" s="9">
        <v>54</v>
      </c>
      <c r="AP14" s="9">
        <v>54</v>
      </c>
      <c r="AQ14" s="9">
        <v>49</v>
      </c>
      <c r="AR14" s="9">
        <v>48</v>
      </c>
      <c r="AS14" s="9">
        <v>49</v>
      </c>
      <c r="AT14" s="9">
        <v>478.72130000000004</v>
      </c>
      <c r="AU14" s="8">
        <v>511.77733000000001</v>
      </c>
      <c r="AV14" s="9">
        <v>728.45651999999995</v>
      </c>
      <c r="AW14" s="8">
        <v>883.1701599999999</v>
      </c>
      <c r="AX14" s="8">
        <v>977.78159000000005</v>
      </c>
      <c r="AY14" s="8">
        <v>985.12983000000008</v>
      </c>
      <c r="AZ14" s="86">
        <v>1074.5452700000001</v>
      </c>
      <c r="BA14" s="9">
        <v>1081.7008799999999</v>
      </c>
      <c r="BB14" s="9">
        <v>1207.0653299999999</v>
      </c>
      <c r="BC14" s="9">
        <v>1144.9140600000001</v>
      </c>
      <c r="BD14" s="9">
        <v>1059.7733899999998</v>
      </c>
      <c r="BE14" s="9">
        <v>1148.6477600000001</v>
      </c>
      <c r="BF14" s="9">
        <v>1245.93075</v>
      </c>
      <c r="BG14" s="9">
        <v>1278.15184</v>
      </c>
      <c r="BH14" s="9">
        <v>1142.98153</v>
      </c>
      <c r="BI14" s="9">
        <v>865.70842000000005</v>
      </c>
      <c r="BJ14" s="9">
        <v>815.11564999999996</v>
      </c>
      <c r="BK14" s="9">
        <v>902.54111</v>
      </c>
      <c r="BL14" s="9">
        <v>798.02669000000003</v>
      </c>
      <c r="BM14" s="1">
        <v>734.91237999999998</v>
      </c>
      <c r="BN14" s="1">
        <v>717.61635000000001</v>
      </c>
      <c r="BO14" s="1">
        <v>21229.757000000001</v>
      </c>
      <c r="BP14" s="1">
        <v>169.94714999999999</v>
      </c>
      <c r="BQ14" s="1">
        <v>181.68242000000001</v>
      </c>
      <c r="BR14" s="9">
        <v>192.3442</v>
      </c>
      <c r="BS14" s="9">
        <v>230.755</v>
      </c>
      <c r="BT14" s="9">
        <v>185.0652</v>
      </c>
      <c r="BU14" s="9">
        <v>127.81274999999999</v>
      </c>
      <c r="BV14" s="9">
        <v>154.90188000000001</v>
      </c>
      <c r="BW14" s="9">
        <v>160.01204000000001</v>
      </c>
      <c r="BX14" s="9">
        <v>188.82445999999999</v>
      </c>
      <c r="BY14" s="9">
        <v>167.72663</v>
      </c>
      <c r="BZ14" s="9">
        <v>157.99041</v>
      </c>
      <c r="CA14" s="9">
        <v>201.05507</v>
      </c>
      <c r="CB14" s="9">
        <v>208.77277999999998</v>
      </c>
      <c r="CC14" s="9">
        <v>221.93797000000001</v>
      </c>
      <c r="CD14" s="8">
        <v>189.15421000000001</v>
      </c>
      <c r="CE14" s="8">
        <v>111.4692</v>
      </c>
      <c r="CF14" s="8">
        <v>106.85802</v>
      </c>
      <c r="CG14" s="8">
        <v>121.79233000000001</v>
      </c>
      <c r="CH14" s="8">
        <v>104.98942</v>
      </c>
      <c r="CI14" s="8">
        <v>105.22952000000001</v>
      </c>
      <c r="CJ14" s="9">
        <v>107.54615000000001</v>
      </c>
      <c r="CK14" s="9">
        <v>3900.8797999999997</v>
      </c>
      <c r="CL14" s="9">
        <v>70.820377213724697</v>
      </c>
      <c r="CM14" s="1">
        <v>75.853690829474516</v>
      </c>
      <c r="CN14" s="9">
        <v>108.70340580305003</v>
      </c>
      <c r="CO14" s="9">
        <v>132.22384130196545</v>
      </c>
      <c r="CP14" s="9">
        <v>145.62408228660954</v>
      </c>
      <c r="CQ14" s="9">
        <v>146.22248436758883</v>
      </c>
      <c r="CR14" s="9">
        <v>158.86786957286853</v>
      </c>
      <c r="CS14" s="9">
        <v>159.09170722161798</v>
      </c>
      <c r="CT14" s="9">
        <v>176.72635538982135</v>
      </c>
      <c r="CU14" s="9">
        <v>167.46662070936159</v>
      </c>
      <c r="CV14" s="9">
        <v>155.29446896691348</v>
      </c>
      <c r="CW14" s="9">
        <v>168.66661510598371</v>
      </c>
      <c r="CX14" s="9">
        <v>183.3056699200535</v>
      </c>
      <c r="CY14" s="9">
        <v>187.29463319703075</v>
      </c>
      <c r="CZ14" s="9">
        <v>166.1053261757495</v>
      </c>
      <c r="DA14" s="9">
        <v>124.95190538555009</v>
      </c>
      <c r="DB14" s="9">
        <v>116.93623711432514</v>
      </c>
      <c r="DC14" s="9">
        <v>128.8494128207908</v>
      </c>
      <c r="DD14" s="9">
        <v>113.77777006687433</v>
      </c>
      <c r="DE14" s="9">
        <v>105.09990050702723</v>
      </c>
      <c r="DF14" s="9">
        <v>102.99923396719856</v>
      </c>
      <c r="DG14" s="9">
        <v>25.141394939806212</v>
      </c>
      <c r="DH14" s="9">
        <v>26.928277803611849</v>
      </c>
      <c r="DI14" s="9">
        <v>28.702426366453583</v>
      </c>
      <c r="DJ14" s="1">
        <v>34.547490258994983</v>
      </c>
      <c r="DK14" s="1">
        <v>27.562341313040932</v>
      </c>
      <c r="DL14" s="1">
        <v>18.971202850342618</v>
      </c>
      <c r="DM14" s="1">
        <v>22.901716991813785</v>
      </c>
      <c r="DN14" s="1">
        <v>23.533852186210506</v>
      </c>
      <c r="DO14" s="1">
        <v>27.645776740394911</v>
      </c>
      <c r="DP14" s="1">
        <v>24.533380198920284</v>
      </c>
      <c r="DQ14" s="1">
        <v>23.151210489267843</v>
      </c>
      <c r="DR14" s="1">
        <v>29.52278260377804</v>
      </c>
      <c r="DS14" s="1">
        <v>30.715378281635591</v>
      </c>
      <c r="DT14" s="1">
        <v>32.521793876730335</v>
      </c>
      <c r="DU14" s="1">
        <v>27.489089652713997</v>
      </c>
      <c r="DV14" s="1">
        <v>16.088891606024763</v>
      </c>
      <c r="DW14" s="1">
        <v>15.329818246389085</v>
      </c>
      <c r="DX14" s="1">
        <v>17.387429816439038</v>
      </c>
      <c r="DY14" s="1">
        <v>14.968750090569646</v>
      </c>
      <c r="DZ14" s="1">
        <v>15.048885259494789</v>
      </c>
      <c r="EA14" s="1">
        <v>15.436062829562667</v>
      </c>
      <c r="EB14" s="1">
        <v>7.8545667649137041</v>
      </c>
      <c r="EC14" s="1">
        <v>9.338680880310994</v>
      </c>
      <c r="ED14" s="1">
        <v>10.666251442350227</v>
      </c>
      <c r="EE14" s="1">
        <v>10.593530648893379</v>
      </c>
      <c r="EF14" s="1">
        <v>10.555045244193915</v>
      </c>
      <c r="EG14" s="1">
        <v>10.522018033249456</v>
      </c>
      <c r="EH14" s="1">
        <v>9.1448406044523605</v>
      </c>
      <c r="EI14" s="1">
        <v>9.0926717088211628</v>
      </c>
      <c r="EJ14" s="1">
        <v>9.0622112234860221</v>
      </c>
      <c r="EK14" s="1">
        <v>9.0752826540017608</v>
      </c>
      <c r="EL14" s="1">
        <v>9.0951463701348931</v>
      </c>
      <c r="EM14" s="1">
        <v>7.0551811266076276</v>
      </c>
      <c r="EN14" s="1">
        <v>8.2468003700009156</v>
      </c>
      <c r="EO14" s="1">
        <v>8.1655788273633494</v>
      </c>
      <c r="EP14" s="1">
        <v>7.8214695452383607</v>
      </c>
      <c r="EQ14" s="86">
        <v>7.766886680053485</v>
      </c>
      <c r="ER14" s="1">
        <v>7.7268630507235061</v>
      </c>
      <c r="ES14" s="1">
        <v>7.6916139160788193</v>
      </c>
      <c r="ET14" s="1">
        <v>6.9928266948927948</v>
      </c>
      <c r="EU14" s="1">
        <v>6.8789150517738449</v>
      </c>
      <c r="EV14" s="1">
        <v>7.0437141681954119</v>
      </c>
      <c r="EW14" s="1">
        <v>9769.8224489795921</v>
      </c>
      <c r="EX14" s="1">
        <v>8823.7470689655183</v>
      </c>
      <c r="EY14" s="1">
        <v>10872.485373134326</v>
      </c>
      <c r="EZ14" s="1">
        <v>12439.016338028168</v>
      </c>
      <c r="FA14" s="1">
        <v>13771.571690140847</v>
      </c>
      <c r="FB14" s="1">
        <v>13875.068028169015</v>
      </c>
      <c r="FC14" s="1">
        <v>16158.575488721805</v>
      </c>
      <c r="FD14" s="1">
        <v>17446.788387096771</v>
      </c>
      <c r="FE14" s="1">
        <v>19468.795645161288</v>
      </c>
      <c r="FF14" s="1">
        <v>18466.355806451615</v>
      </c>
      <c r="FG14" s="1">
        <v>17093.119193548384</v>
      </c>
      <c r="FH14" s="1">
        <v>20884.504727272728</v>
      </c>
      <c r="FI14" s="1">
        <v>23960.20673076923</v>
      </c>
      <c r="FJ14" s="1">
        <v>22824.140000000003</v>
      </c>
      <c r="FK14" s="1">
        <v>20781.482363636365</v>
      </c>
      <c r="FL14" s="1">
        <v>16031.637407407408</v>
      </c>
      <c r="FM14" s="1">
        <v>15094.734259259258</v>
      </c>
      <c r="FN14" s="1">
        <v>16713.724259259259</v>
      </c>
      <c r="FO14" s="1">
        <v>15495.663883495146</v>
      </c>
      <c r="FP14" s="1">
        <v>15152.832577319588</v>
      </c>
      <c r="FQ14" s="1">
        <v>14796.213402061856</v>
      </c>
      <c r="FR14" s="5">
        <v>43</v>
      </c>
      <c r="FS14" s="5">
        <v>43</v>
      </c>
      <c r="FT14" s="5">
        <v>43</v>
      </c>
      <c r="FU14" s="5">
        <v>43</v>
      </c>
      <c r="FV14" s="5">
        <v>35</v>
      </c>
      <c r="FW14" s="5">
        <v>42</v>
      </c>
    </row>
    <row r="15" spans="1:180" x14ac:dyDescent="0.2">
      <c r="A15" s="5">
        <v>13</v>
      </c>
      <c r="B15" s="6" t="s">
        <v>193</v>
      </c>
      <c r="C15" s="9">
        <v>11</v>
      </c>
      <c r="D15" s="9">
        <v>11</v>
      </c>
      <c r="E15" s="9">
        <v>11</v>
      </c>
      <c r="F15" s="9">
        <v>11</v>
      </c>
      <c r="G15" s="9">
        <v>12</v>
      </c>
      <c r="H15" s="9">
        <v>12</v>
      </c>
      <c r="I15" s="9">
        <v>12</v>
      </c>
      <c r="J15" s="9">
        <v>12</v>
      </c>
      <c r="K15" s="9">
        <v>11</v>
      </c>
      <c r="L15" s="8">
        <v>11</v>
      </c>
      <c r="M15" s="8">
        <v>11</v>
      </c>
      <c r="N15" s="8">
        <v>11</v>
      </c>
      <c r="O15" s="85">
        <v>11</v>
      </c>
      <c r="P15" s="85">
        <v>11</v>
      </c>
      <c r="Q15" s="9">
        <v>11</v>
      </c>
      <c r="R15" s="9">
        <v>11</v>
      </c>
      <c r="S15" s="9">
        <v>11</v>
      </c>
      <c r="T15" s="9">
        <v>11</v>
      </c>
      <c r="U15" s="9">
        <v>11</v>
      </c>
      <c r="V15" s="9">
        <v>11</v>
      </c>
      <c r="W15" s="1">
        <v>11</v>
      </c>
      <c r="X15" s="9">
        <v>400</v>
      </c>
      <c r="Y15" s="9">
        <v>411</v>
      </c>
      <c r="Z15" s="9">
        <v>411</v>
      </c>
      <c r="AA15" s="9">
        <v>411</v>
      </c>
      <c r="AB15" s="9">
        <v>411</v>
      </c>
      <c r="AC15" s="9">
        <v>451</v>
      </c>
      <c r="AD15" s="8">
        <v>451</v>
      </c>
      <c r="AE15" s="8">
        <v>420</v>
      </c>
      <c r="AF15" s="8">
        <v>376</v>
      </c>
      <c r="AG15" s="8">
        <v>368</v>
      </c>
      <c r="AH15" s="8">
        <v>368</v>
      </c>
      <c r="AI15" s="9">
        <v>368</v>
      </c>
      <c r="AJ15" s="9">
        <v>370</v>
      </c>
      <c r="AK15" s="9">
        <v>373</v>
      </c>
      <c r="AL15" s="9">
        <v>373</v>
      </c>
      <c r="AM15" s="9">
        <v>377</v>
      </c>
      <c r="AN15" s="9">
        <v>377</v>
      </c>
      <c r="AO15" s="9">
        <v>369</v>
      </c>
      <c r="AP15" s="9">
        <v>377</v>
      </c>
      <c r="AQ15" s="9">
        <v>377</v>
      </c>
      <c r="AR15" s="9">
        <v>377</v>
      </c>
      <c r="AS15" s="9">
        <v>376</v>
      </c>
      <c r="AT15" s="9">
        <v>17920.763080000001</v>
      </c>
      <c r="AU15" s="8">
        <v>19264.877489999999</v>
      </c>
      <c r="AV15" s="9">
        <v>22469.387600000002</v>
      </c>
      <c r="AW15" s="8">
        <v>23726.706409999999</v>
      </c>
      <c r="AX15" s="8">
        <v>25577.528309999998</v>
      </c>
      <c r="AY15" s="8">
        <v>26576.512780000005</v>
      </c>
      <c r="AZ15" s="86">
        <v>27246.435699999998</v>
      </c>
      <c r="BA15" s="9">
        <v>27182.042999999998</v>
      </c>
      <c r="BB15" s="9">
        <v>28534.402040000001</v>
      </c>
      <c r="BC15" s="9">
        <v>26261.301469999999</v>
      </c>
      <c r="BD15" s="9">
        <v>24936.536759999995</v>
      </c>
      <c r="BE15" s="9">
        <v>23936.669179999997</v>
      </c>
      <c r="BF15" s="9">
        <v>24930.934240000002</v>
      </c>
      <c r="BG15" s="9">
        <v>23015.314450000002</v>
      </c>
      <c r="BH15" s="9">
        <v>22955.008290000002</v>
      </c>
      <c r="BI15" s="9">
        <v>22691.455239999999</v>
      </c>
      <c r="BJ15" s="9">
        <v>21879.001519999998</v>
      </c>
      <c r="BK15" s="9">
        <v>21407.126929999999</v>
      </c>
      <c r="BL15" s="9">
        <v>20486.765640000001</v>
      </c>
      <c r="BM15" s="1">
        <v>20461.666389999999</v>
      </c>
      <c r="BN15" s="1">
        <v>20523.263049999998</v>
      </c>
      <c r="BO15" s="1">
        <v>543840.4440299999</v>
      </c>
      <c r="BP15" s="1">
        <v>7980.1242899999997</v>
      </c>
      <c r="BQ15" s="1">
        <v>8562.8669699999991</v>
      </c>
      <c r="BR15" s="9">
        <v>8226.4259500000007</v>
      </c>
      <c r="BS15" s="9">
        <v>8716.708340000001</v>
      </c>
      <c r="BT15" s="9">
        <v>9780.9945299999999</v>
      </c>
      <c r="BU15" s="9">
        <v>10773.68599</v>
      </c>
      <c r="BV15" s="9">
        <v>11183.5445</v>
      </c>
      <c r="BW15" s="9">
        <v>11003.40272</v>
      </c>
      <c r="BX15" s="9">
        <v>11732.70284</v>
      </c>
      <c r="BY15" s="9">
        <v>10581.64301</v>
      </c>
      <c r="BZ15" s="9">
        <v>9888.0684199999996</v>
      </c>
      <c r="CA15" s="9">
        <v>9451.4310399999995</v>
      </c>
      <c r="CB15" s="9">
        <v>10024.951439999999</v>
      </c>
      <c r="CC15" s="9">
        <v>9032.7901099999999</v>
      </c>
      <c r="CD15" s="8">
        <v>9177.1130799999992</v>
      </c>
      <c r="CE15" s="8">
        <v>9059.9682700000012</v>
      </c>
      <c r="CF15" s="8">
        <v>8652.3070799999987</v>
      </c>
      <c r="CG15" s="8">
        <v>8501.9162400000005</v>
      </c>
      <c r="CH15" s="8">
        <v>8095.5300099999995</v>
      </c>
      <c r="CI15" s="8">
        <v>8070.3114800000003</v>
      </c>
      <c r="CJ15" s="9">
        <v>8148.5581000000002</v>
      </c>
      <c r="CK15" s="9">
        <v>215825.39499</v>
      </c>
      <c r="CL15" s="9">
        <v>652.89416592412715</v>
      </c>
      <c r="CM15" s="1">
        <v>692.98545325656426</v>
      </c>
      <c r="CN15" s="9">
        <v>802.69798079151667</v>
      </c>
      <c r="CO15" s="9">
        <v>845.83491962747223</v>
      </c>
      <c r="CP15" s="9">
        <v>908.67112938571825</v>
      </c>
      <c r="CQ15" s="9">
        <v>939.23940624829959</v>
      </c>
      <c r="CR15" s="9">
        <v>956.90702366700771</v>
      </c>
      <c r="CS15" s="9">
        <v>944.73473536994345</v>
      </c>
      <c r="CT15" s="9">
        <v>979.72326089817909</v>
      </c>
      <c r="CU15" s="9">
        <v>888.94509723925398</v>
      </c>
      <c r="CV15" s="9">
        <v>834.35694686114061</v>
      </c>
      <c r="CW15" s="9">
        <v>794.7292793767582</v>
      </c>
      <c r="CX15" s="9">
        <v>822.49443106213948</v>
      </c>
      <c r="CY15" s="9">
        <v>757.00219558836295</v>
      </c>
      <c r="CZ15" s="9">
        <v>754.37145363967352</v>
      </c>
      <c r="DA15" s="9">
        <v>745.31238129238</v>
      </c>
      <c r="DB15" s="9">
        <v>718.20794774346746</v>
      </c>
      <c r="DC15" s="9">
        <v>701.92762887596473</v>
      </c>
      <c r="DD15" s="9">
        <v>669.86445382654904</v>
      </c>
      <c r="DE15" s="9">
        <v>664.55098792373406</v>
      </c>
      <c r="DF15" s="9">
        <v>661.16082794719046</v>
      </c>
      <c r="DG15" s="9">
        <v>290.73408141336898</v>
      </c>
      <c r="DH15" s="9">
        <v>308.01868589412516</v>
      </c>
      <c r="DI15" s="9">
        <v>293.88141843242471</v>
      </c>
      <c r="DJ15" s="1">
        <v>310.7425097599131</v>
      </c>
      <c r="DK15" s="1">
        <v>347.48108724078008</v>
      </c>
      <c r="DL15" s="1">
        <v>380.75237771481704</v>
      </c>
      <c r="DM15" s="1">
        <v>392.77109121258508</v>
      </c>
      <c r="DN15" s="1">
        <v>382.43250357775236</v>
      </c>
      <c r="DO15" s="1">
        <v>402.84011802456985</v>
      </c>
      <c r="DP15" s="1">
        <v>358.18863300515329</v>
      </c>
      <c r="DQ15" s="1">
        <v>330.84700801352437</v>
      </c>
      <c r="DR15" s="1">
        <v>313.80009152544613</v>
      </c>
      <c r="DS15" s="1">
        <v>330.73236051616067</v>
      </c>
      <c r="DT15" s="1">
        <v>297.09965338139665</v>
      </c>
      <c r="DU15" s="1">
        <v>301.5878734137134</v>
      </c>
      <c r="DV15" s="1">
        <v>297.57926295727106</v>
      </c>
      <c r="DW15" s="1">
        <v>284.02373414950392</v>
      </c>
      <c r="DX15" s="1">
        <v>278.77304258340553</v>
      </c>
      <c r="DY15" s="1">
        <v>264.70297380651283</v>
      </c>
      <c r="DZ15" s="1">
        <v>262.1063878505671</v>
      </c>
      <c r="EA15" s="1">
        <v>262.50735113838471</v>
      </c>
      <c r="EB15" s="1">
        <v>14.85366855129835</v>
      </c>
      <c r="EC15" s="1">
        <v>14.715503641573301</v>
      </c>
      <c r="ED15" s="1">
        <v>14.649828972147738</v>
      </c>
      <c r="EE15" s="1">
        <v>14.653703683227432</v>
      </c>
      <c r="EF15" s="1">
        <v>15.965143812923904</v>
      </c>
      <c r="EG15" s="1">
        <v>15.912486751914226</v>
      </c>
      <c r="EH15" s="1">
        <v>14.683076077328765</v>
      </c>
      <c r="EI15" s="1">
        <v>12.992431377473398</v>
      </c>
      <c r="EJ15" s="1">
        <v>12.555443214719379</v>
      </c>
      <c r="EK15" s="1">
        <v>12.359695876936835</v>
      </c>
      <c r="EL15" s="1">
        <v>12.266638069802152</v>
      </c>
      <c r="EM15" s="1">
        <v>12.236065296645968</v>
      </c>
      <c r="EN15" s="1">
        <v>12.27609123488844</v>
      </c>
      <c r="EO15" s="1">
        <v>12.260782200795294</v>
      </c>
      <c r="EP15" s="1">
        <v>12.38647161389761</v>
      </c>
      <c r="EQ15" s="86">
        <v>12.379043867663803</v>
      </c>
      <c r="ER15" s="1">
        <v>12.109495938004082</v>
      </c>
      <c r="ES15" s="1">
        <v>12.351220197060329</v>
      </c>
      <c r="ET15" s="1">
        <v>12.302732541097386</v>
      </c>
      <c r="EU15" s="1">
        <v>12.186123686001114</v>
      </c>
      <c r="EV15" s="1">
        <v>12.072297664390538</v>
      </c>
      <c r="EW15" s="1">
        <v>44194.23694204686</v>
      </c>
      <c r="EX15" s="1">
        <v>46873.181240875907</v>
      </c>
      <c r="EY15" s="1">
        <v>54670.042822384428</v>
      </c>
      <c r="EZ15" s="1">
        <v>57729.212676399024</v>
      </c>
      <c r="FA15" s="1">
        <v>59344.613248259855</v>
      </c>
      <c r="FB15" s="1">
        <v>58927.966252771628</v>
      </c>
      <c r="FC15" s="1">
        <v>62563.572215843858</v>
      </c>
      <c r="FD15" s="1">
        <v>68296.590452261298</v>
      </c>
      <c r="FE15" s="1">
        <v>76705.381827956982</v>
      </c>
      <c r="FF15" s="1">
        <v>71362.232255434777</v>
      </c>
      <c r="FG15" s="1">
        <v>67762.328152173897</v>
      </c>
      <c r="FH15" s="1">
        <v>64869.022168021671</v>
      </c>
      <c r="FI15" s="1">
        <v>67108.84048452221</v>
      </c>
      <c r="FJ15" s="1">
        <v>61703.255898123331</v>
      </c>
      <c r="FK15" s="1">
        <v>61213.355440000007</v>
      </c>
      <c r="FL15" s="1">
        <v>60189.536445623336</v>
      </c>
      <c r="FM15" s="1">
        <v>58656.840536193027</v>
      </c>
      <c r="FN15" s="1">
        <v>57391.761206434312</v>
      </c>
      <c r="FO15" s="1">
        <v>54341.553421750665</v>
      </c>
      <c r="FP15" s="1">
        <v>54274.977161803705</v>
      </c>
      <c r="FQ15" s="1">
        <v>54510.658831341294</v>
      </c>
      <c r="FR15" s="5">
        <v>11</v>
      </c>
      <c r="FS15" s="5">
        <v>10</v>
      </c>
      <c r="FT15" s="5">
        <v>10</v>
      </c>
      <c r="FU15" s="5">
        <v>10</v>
      </c>
      <c r="FV15" s="5">
        <v>20</v>
      </c>
      <c r="FW15" s="5">
        <v>13</v>
      </c>
    </row>
    <row r="16" spans="1:180" x14ac:dyDescent="0.2">
      <c r="A16" s="5">
        <v>14</v>
      </c>
      <c r="B16" s="6" t="s">
        <v>160</v>
      </c>
      <c r="C16" s="9">
        <v>9</v>
      </c>
      <c r="D16" s="9">
        <v>11</v>
      </c>
      <c r="E16" s="9">
        <v>11</v>
      </c>
      <c r="F16" s="9">
        <v>12</v>
      </c>
      <c r="G16" s="9">
        <v>13</v>
      </c>
      <c r="H16" s="9">
        <v>13</v>
      </c>
      <c r="I16" s="9">
        <v>12</v>
      </c>
      <c r="J16" s="9">
        <v>11</v>
      </c>
      <c r="K16" s="9">
        <v>11</v>
      </c>
      <c r="L16" s="8">
        <v>9</v>
      </c>
      <c r="M16" s="8">
        <v>10</v>
      </c>
      <c r="N16" s="8">
        <v>10</v>
      </c>
      <c r="O16" s="85">
        <v>11</v>
      </c>
      <c r="P16" s="85">
        <v>11</v>
      </c>
      <c r="Q16" s="9">
        <v>11</v>
      </c>
      <c r="R16" s="9">
        <v>10</v>
      </c>
      <c r="S16" s="9">
        <v>10</v>
      </c>
      <c r="T16" s="9">
        <v>10</v>
      </c>
      <c r="U16" s="9">
        <v>10</v>
      </c>
      <c r="V16" s="9">
        <v>10</v>
      </c>
      <c r="W16" s="1">
        <v>11</v>
      </c>
      <c r="X16" s="9">
        <v>201</v>
      </c>
      <c r="Y16" s="9">
        <v>201</v>
      </c>
      <c r="Z16" s="9">
        <v>219</v>
      </c>
      <c r="AA16" s="9">
        <v>247</v>
      </c>
      <c r="AB16" s="9">
        <v>277</v>
      </c>
      <c r="AC16" s="9">
        <v>294</v>
      </c>
      <c r="AD16" s="8">
        <v>294</v>
      </c>
      <c r="AE16" s="8">
        <v>252</v>
      </c>
      <c r="AF16" s="8">
        <v>226</v>
      </c>
      <c r="AG16" s="8">
        <v>228</v>
      </c>
      <c r="AH16" s="8">
        <v>202</v>
      </c>
      <c r="AI16" s="9">
        <v>210</v>
      </c>
      <c r="AJ16" s="9">
        <v>210</v>
      </c>
      <c r="AK16" s="9">
        <v>230</v>
      </c>
      <c r="AL16" s="9">
        <v>230</v>
      </c>
      <c r="AM16" s="9">
        <v>230</v>
      </c>
      <c r="AN16" s="9">
        <v>210</v>
      </c>
      <c r="AO16" s="9">
        <v>205</v>
      </c>
      <c r="AP16" s="9">
        <v>210</v>
      </c>
      <c r="AQ16" s="9">
        <v>217</v>
      </c>
      <c r="AR16" s="9">
        <v>217</v>
      </c>
      <c r="AS16" s="9">
        <v>227</v>
      </c>
      <c r="AT16" s="9">
        <v>5974.2366700000002</v>
      </c>
      <c r="AU16" s="8">
        <v>6745.5990500000007</v>
      </c>
      <c r="AV16" s="9">
        <v>6717.3300299999992</v>
      </c>
      <c r="AW16" s="8">
        <v>7608.6129199999996</v>
      </c>
      <c r="AX16" s="8">
        <v>8884.3681699999997</v>
      </c>
      <c r="AY16" s="8">
        <v>9743.7060199999996</v>
      </c>
      <c r="AZ16" s="86">
        <v>9893.7242299999998</v>
      </c>
      <c r="BA16" s="9">
        <v>9604.5585700000011</v>
      </c>
      <c r="BB16" s="9">
        <v>9659.3633200000004</v>
      </c>
      <c r="BC16" s="9">
        <v>9067.0215700000008</v>
      </c>
      <c r="BD16" s="9">
        <v>9204.8970900000004</v>
      </c>
      <c r="BE16" s="9">
        <v>8874.9260599999998</v>
      </c>
      <c r="BF16" s="9">
        <v>8939.9778699999988</v>
      </c>
      <c r="BG16" s="9">
        <v>8970.1144999999997</v>
      </c>
      <c r="BH16" s="9">
        <v>9536.5347199999997</v>
      </c>
      <c r="BI16" s="9">
        <v>10051.946019999999</v>
      </c>
      <c r="BJ16" s="9">
        <v>9803.6104400000004</v>
      </c>
      <c r="BK16" s="9">
        <v>9475.8856500000002</v>
      </c>
      <c r="BL16" s="9">
        <v>8812.3290400000005</v>
      </c>
      <c r="BM16" s="1">
        <v>8878.5981100000008</v>
      </c>
      <c r="BN16" s="1">
        <v>8910.4053600000007</v>
      </c>
      <c r="BO16" s="1">
        <v>206156.69275000002</v>
      </c>
      <c r="BP16" s="1">
        <v>2433.3011999999999</v>
      </c>
      <c r="BQ16" s="1">
        <v>2876.8728099999998</v>
      </c>
      <c r="BR16" s="9">
        <v>2238.3937000000001</v>
      </c>
      <c r="BS16" s="9">
        <v>2571.5404900000003</v>
      </c>
      <c r="BT16" s="9">
        <v>2998.2887899999996</v>
      </c>
      <c r="BU16" s="9">
        <v>3380.0546199999999</v>
      </c>
      <c r="BV16" s="9">
        <v>3400.2273399999995</v>
      </c>
      <c r="BW16" s="9">
        <v>3248.3896100000002</v>
      </c>
      <c r="BX16" s="9">
        <v>3279.9153899999997</v>
      </c>
      <c r="BY16" s="9">
        <v>3041.8271500000001</v>
      </c>
      <c r="BZ16" s="9">
        <v>3110.9726700000001</v>
      </c>
      <c r="CA16" s="9">
        <v>2982.1010699999997</v>
      </c>
      <c r="CB16" s="9">
        <v>3018.1887000000002</v>
      </c>
      <c r="CC16" s="9">
        <v>3028.1549800000003</v>
      </c>
      <c r="CD16" s="8">
        <v>3273.9992700000003</v>
      </c>
      <c r="CE16" s="8">
        <v>3548.2948200000001</v>
      </c>
      <c r="CF16" s="8">
        <v>3399.1423199999999</v>
      </c>
      <c r="CG16" s="8">
        <v>3248.1357399999997</v>
      </c>
      <c r="CH16" s="8">
        <v>2999.52783</v>
      </c>
      <c r="CI16" s="8">
        <v>3108.8039899999999</v>
      </c>
      <c r="CJ16" s="9">
        <v>3100.1464000000001</v>
      </c>
      <c r="CK16" s="9">
        <v>71729.883989999988</v>
      </c>
      <c r="CL16" s="9">
        <v>421.40492013185764</v>
      </c>
      <c r="CM16" s="1">
        <v>464.91012444885854</v>
      </c>
      <c r="CN16" s="9">
        <v>451.47538951104957</v>
      </c>
      <c r="CO16" s="9">
        <v>496.2609106074608</v>
      </c>
      <c r="CP16" s="9">
        <v>564.56924892008396</v>
      </c>
      <c r="CQ16" s="9">
        <v>604.24787329048661</v>
      </c>
      <c r="CR16" s="9">
        <v>598.49172445546935</v>
      </c>
      <c r="CS16" s="9">
        <v>569.84573886734699</v>
      </c>
      <c r="CT16" s="9">
        <v>560.68079854018868</v>
      </c>
      <c r="CU16" s="9">
        <v>511.58044032945412</v>
      </c>
      <c r="CV16" s="9">
        <v>505.97818104439227</v>
      </c>
      <c r="CW16" s="9">
        <v>477.12477738682406</v>
      </c>
      <c r="CX16" s="9">
        <v>471.29140213008299</v>
      </c>
      <c r="CY16" s="9">
        <v>464.41520397811377</v>
      </c>
      <c r="CZ16" s="9">
        <v>485.22880122739355</v>
      </c>
      <c r="DA16" s="9">
        <v>502.30834476467885</v>
      </c>
      <c r="DB16" s="9">
        <v>481.08662350104254</v>
      </c>
      <c r="DC16" s="9">
        <v>457.26226100054976</v>
      </c>
      <c r="DD16" s="9">
        <v>419.55536909120514</v>
      </c>
      <c r="DE16" s="9">
        <v>418.27686828173313</v>
      </c>
      <c r="DF16" s="9">
        <v>415.3707261441611</v>
      </c>
      <c r="DG16" s="9">
        <v>171.6378433736796</v>
      </c>
      <c r="DH16" s="9">
        <v>198.27554027549817</v>
      </c>
      <c r="DI16" s="9">
        <v>150.44365292062025</v>
      </c>
      <c r="DJ16" s="1">
        <v>167.72505562437735</v>
      </c>
      <c r="DK16" s="1">
        <v>190.53033573414001</v>
      </c>
      <c r="DL16" s="1">
        <v>209.61129282312689</v>
      </c>
      <c r="DM16" s="1">
        <v>205.6867441369177</v>
      </c>
      <c r="DN16" s="1">
        <v>192.72941738533885</v>
      </c>
      <c r="DO16" s="1">
        <v>190.38372603728234</v>
      </c>
      <c r="DP16" s="1">
        <v>171.62628993316582</v>
      </c>
      <c r="DQ16" s="1">
        <v>171.00509407709376</v>
      </c>
      <c r="DR16" s="1">
        <v>160.32069445418676</v>
      </c>
      <c r="DS16" s="1">
        <v>159.11072767746936</v>
      </c>
      <c r="DT16" s="1">
        <v>156.77851299602042</v>
      </c>
      <c r="DU16" s="1">
        <v>166.58448667625279</v>
      </c>
      <c r="DV16" s="1">
        <v>177.3127406598712</v>
      </c>
      <c r="DW16" s="1">
        <v>166.80404750235058</v>
      </c>
      <c r="DX16" s="1">
        <v>156.73995522614749</v>
      </c>
      <c r="DY16" s="1">
        <v>142.80765052038859</v>
      </c>
      <c r="DZ16" s="1">
        <v>146.45789582190653</v>
      </c>
      <c r="EA16" s="1">
        <v>144.5175622538913</v>
      </c>
      <c r="EB16" s="1">
        <v>13.994509186640967</v>
      </c>
      <c r="EC16" s="1">
        <v>14.942520322558133</v>
      </c>
      <c r="ED16" s="1">
        <v>16.356451803562422</v>
      </c>
      <c r="EE16" s="1">
        <v>17.798983946685563</v>
      </c>
      <c r="EF16" s="1">
        <v>18.47847997622787</v>
      </c>
      <c r="EG16" s="1">
        <v>17.99233408945512</v>
      </c>
      <c r="EH16" s="1">
        <v>15.070057955468036</v>
      </c>
      <c r="EI16" s="1">
        <v>13.303955902441073</v>
      </c>
      <c r="EJ16" s="1">
        <v>13.052132950353478</v>
      </c>
      <c r="EK16" s="1">
        <v>11.235523228390495</v>
      </c>
      <c r="EL16" s="1">
        <v>11.409403382108355</v>
      </c>
      <c r="EM16" s="1">
        <v>11.172692087751214</v>
      </c>
      <c r="EN16" s="1">
        <v>12.015218936023118</v>
      </c>
      <c r="EO16" s="1">
        <v>11.802540459294459</v>
      </c>
      <c r="EP16" s="1">
        <v>11.604414793923018</v>
      </c>
      <c r="EQ16" s="86">
        <v>10.394512698794339</v>
      </c>
      <c r="ER16" s="1">
        <v>9.9741422059385059</v>
      </c>
      <c r="ES16" s="1">
        <v>10.051199736946179</v>
      </c>
      <c r="ET16" s="1">
        <v>10.277095659446884</v>
      </c>
      <c r="EU16" s="1">
        <v>10.169509173000643</v>
      </c>
      <c r="EV16" s="1">
        <v>10.526271862521604</v>
      </c>
      <c r="EW16" s="1">
        <v>29722.570497512439</v>
      </c>
      <c r="EX16" s="1">
        <v>32121.900238095241</v>
      </c>
      <c r="EY16" s="1">
        <v>28829.74261802575</v>
      </c>
      <c r="EZ16" s="1">
        <v>29040.507328244275</v>
      </c>
      <c r="FA16" s="1">
        <v>31118.627565674255</v>
      </c>
      <c r="FB16" s="1">
        <v>33141.857210884351</v>
      </c>
      <c r="FC16" s="1">
        <v>36240.748095238094</v>
      </c>
      <c r="FD16" s="1">
        <v>40186.437531380754</v>
      </c>
      <c r="FE16" s="1">
        <v>42552.261321585902</v>
      </c>
      <c r="FF16" s="1">
        <v>42172.193348837209</v>
      </c>
      <c r="FG16" s="1">
        <v>44683.966456310678</v>
      </c>
      <c r="FH16" s="1">
        <v>42261.55266666667</v>
      </c>
      <c r="FI16" s="1">
        <v>40636.263045454543</v>
      </c>
      <c r="FJ16" s="1">
        <v>39000.497826086954</v>
      </c>
      <c r="FK16" s="1">
        <v>41463.194434782607</v>
      </c>
      <c r="FL16" s="1">
        <v>45690.663727272724</v>
      </c>
      <c r="FM16" s="1">
        <v>47246.315373493977</v>
      </c>
      <c r="FN16" s="1">
        <v>45666.918795180725</v>
      </c>
      <c r="FO16" s="1">
        <v>41275.545854800941</v>
      </c>
      <c r="FP16" s="1">
        <v>40915.198663594478</v>
      </c>
      <c r="FQ16" s="1">
        <v>40136.961081081085</v>
      </c>
      <c r="FR16" s="5">
        <v>23</v>
      </c>
      <c r="FS16" s="5">
        <v>26</v>
      </c>
      <c r="FT16" s="5">
        <v>22</v>
      </c>
      <c r="FU16" s="5">
        <v>25</v>
      </c>
      <c r="FV16" s="5">
        <v>27</v>
      </c>
      <c r="FW16" s="5">
        <v>21</v>
      </c>
    </row>
    <row r="17" spans="1:179" x14ac:dyDescent="0.2">
      <c r="A17" s="5">
        <v>15</v>
      </c>
      <c r="B17" s="6" t="s">
        <v>161</v>
      </c>
      <c r="C17" s="9">
        <v>7</v>
      </c>
      <c r="D17" s="9">
        <v>7</v>
      </c>
      <c r="E17" s="9">
        <v>7</v>
      </c>
      <c r="F17" s="9">
        <v>7</v>
      </c>
      <c r="G17" s="9">
        <v>7</v>
      </c>
      <c r="H17" s="9">
        <v>7</v>
      </c>
      <c r="I17" s="9">
        <v>7</v>
      </c>
      <c r="J17" s="9">
        <v>7</v>
      </c>
      <c r="K17" s="9">
        <v>7</v>
      </c>
      <c r="L17" s="8">
        <v>7</v>
      </c>
      <c r="M17" s="8">
        <v>7</v>
      </c>
      <c r="N17" s="8">
        <v>7</v>
      </c>
      <c r="O17" s="85">
        <v>7</v>
      </c>
      <c r="P17" s="85">
        <v>7</v>
      </c>
      <c r="Q17" s="9">
        <v>7</v>
      </c>
      <c r="R17" s="9">
        <v>7</v>
      </c>
      <c r="S17" s="9">
        <v>7</v>
      </c>
      <c r="T17" s="9">
        <v>7</v>
      </c>
      <c r="U17" s="9">
        <v>7</v>
      </c>
      <c r="V17" s="9">
        <v>7</v>
      </c>
      <c r="W17" s="1">
        <v>7</v>
      </c>
      <c r="X17" s="9">
        <v>57</v>
      </c>
      <c r="Y17" s="9">
        <v>73</v>
      </c>
      <c r="Z17" s="9">
        <v>77</v>
      </c>
      <c r="AA17" s="9">
        <v>77</v>
      </c>
      <c r="AB17" s="9">
        <v>77</v>
      </c>
      <c r="AC17" s="9">
        <v>77</v>
      </c>
      <c r="AD17" s="8">
        <v>77</v>
      </c>
      <c r="AE17" s="8">
        <v>77</v>
      </c>
      <c r="AF17" s="8">
        <v>77</v>
      </c>
      <c r="AG17" s="8">
        <v>77</v>
      </c>
      <c r="AH17" s="8">
        <v>77</v>
      </c>
      <c r="AI17" s="9">
        <v>77</v>
      </c>
      <c r="AJ17" s="9">
        <v>77</v>
      </c>
      <c r="AK17" s="9">
        <v>77</v>
      </c>
      <c r="AL17" s="9">
        <v>77</v>
      </c>
      <c r="AM17" s="9">
        <v>77</v>
      </c>
      <c r="AN17" s="9">
        <v>77</v>
      </c>
      <c r="AO17" s="9">
        <v>77</v>
      </c>
      <c r="AP17" s="9">
        <v>77</v>
      </c>
      <c r="AQ17" s="9">
        <v>77</v>
      </c>
      <c r="AR17" s="9">
        <v>77</v>
      </c>
      <c r="AS17" s="9">
        <v>77</v>
      </c>
      <c r="AT17" s="9">
        <v>992.61457000000007</v>
      </c>
      <c r="AU17" s="8">
        <v>1025.4606600000002</v>
      </c>
      <c r="AV17" s="9">
        <v>1192.1413699999998</v>
      </c>
      <c r="AW17" s="8">
        <v>1451.43903</v>
      </c>
      <c r="AX17" s="8">
        <v>1649.49485</v>
      </c>
      <c r="AY17" s="8">
        <v>1676.9300899999998</v>
      </c>
      <c r="AZ17" s="86">
        <v>1844.9515199999998</v>
      </c>
      <c r="BA17" s="9">
        <v>1923.3080799999998</v>
      </c>
      <c r="BB17" s="9">
        <v>2019.6785999999997</v>
      </c>
      <c r="BC17" s="9">
        <v>1855.6409499999997</v>
      </c>
      <c r="BD17" s="9">
        <v>1878.2229299999999</v>
      </c>
      <c r="BE17" s="9">
        <v>1842.83294</v>
      </c>
      <c r="BF17" s="9">
        <v>1834.0567799999999</v>
      </c>
      <c r="BG17" s="9">
        <v>1806.71054</v>
      </c>
      <c r="BH17" s="9">
        <v>1588.3982999999998</v>
      </c>
      <c r="BI17" s="9">
        <v>1554.4522699999998</v>
      </c>
      <c r="BJ17" s="9">
        <v>1285.9419799999998</v>
      </c>
      <c r="BK17" s="9">
        <v>1286.98388</v>
      </c>
      <c r="BL17" s="9">
        <v>1290.2085299999999</v>
      </c>
      <c r="BM17" s="1">
        <v>1128.4349499999998</v>
      </c>
      <c r="BN17" s="1">
        <v>1069.7827500000001</v>
      </c>
      <c r="BO17" s="1">
        <v>34198.268179999999</v>
      </c>
      <c r="BP17" s="1">
        <v>341.697</v>
      </c>
      <c r="BQ17" s="1">
        <v>354.07615000000004</v>
      </c>
      <c r="BR17" s="9">
        <v>302.45391999999998</v>
      </c>
      <c r="BS17" s="9">
        <v>364.89956999999998</v>
      </c>
      <c r="BT17" s="9">
        <v>350.88318000000004</v>
      </c>
      <c r="BU17" s="9">
        <v>300.35082999999997</v>
      </c>
      <c r="BV17" s="9">
        <v>346.01866999999999</v>
      </c>
      <c r="BW17" s="9">
        <v>368.15105999999997</v>
      </c>
      <c r="BX17" s="9">
        <v>395.71744000000001</v>
      </c>
      <c r="BY17" s="9">
        <v>353.52534000000003</v>
      </c>
      <c r="BZ17" s="9">
        <v>360.71130000000005</v>
      </c>
      <c r="CA17" s="9">
        <v>350.36299000000002</v>
      </c>
      <c r="CB17" s="9">
        <v>351.49178999999998</v>
      </c>
      <c r="CC17" s="9">
        <v>341.80000999999999</v>
      </c>
      <c r="CD17" s="8">
        <v>285.65958999999998</v>
      </c>
      <c r="CE17" s="8">
        <v>277.03439000000003</v>
      </c>
      <c r="CF17" s="8">
        <v>204.79631000000001</v>
      </c>
      <c r="CG17" s="8">
        <v>205.88245000000001</v>
      </c>
      <c r="CH17" s="8">
        <v>204.77100999999999</v>
      </c>
      <c r="CI17" s="8">
        <v>164.7303</v>
      </c>
      <c r="CJ17" s="9">
        <v>148.09114</v>
      </c>
      <c r="CK17" s="9">
        <v>7074.7246100000002</v>
      </c>
      <c r="CL17" s="9">
        <v>190.689457630487</v>
      </c>
      <c r="CM17" s="1">
        <v>195.24184456457061</v>
      </c>
      <c r="CN17" s="9">
        <v>226.57717127242745</v>
      </c>
      <c r="CO17" s="9">
        <v>275.3010251811242</v>
      </c>
      <c r="CP17" s="9">
        <v>311.37567223751512</v>
      </c>
      <c r="CQ17" s="9">
        <v>315.39433328449945</v>
      </c>
      <c r="CR17" s="9">
        <v>346.12001429203917</v>
      </c>
      <c r="CS17" s="9">
        <v>359.29424327691578</v>
      </c>
      <c r="CT17" s="9">
        <v>376.67768527849898</v>
      </c>
      <c r="CU17" s="9">
        <v>347.69167996092636</v>
      </c>
      <c r="CV17" s="9">
        <v>353.78728032702008</v>
      </c>
      <c r="CW17" s="9">
        <v>348.28469594979464</v>
      </c>
      <c r="CX17" s="9">
        <v>348.14928060222292</v>
      </c>
      <c r="CY17" s="9">
        <v>342.46702697109237</v>
      </c>
      <c r="CZ17" s="9">
        <v>299.02739197307665</v>
      </c>
      <c r="DA17" s="9">
        <v>291.23526548160351</v>
      </c>
      <c r="DB17" s="9">
        <v>239.63148577911196</v>
      </c>
      <c r="DC17" s="9">
        <v>238.62476600228598</v>
      </c>
      <c r="DD17" s="9">
        <v>238.82163713833873</v>
      </c>
      <c r="DE17" s="9">
        <v>209.36571308670781</v>
      </c>
      <c r="DF17" s="9">
        <v>199.12363096392374</v>
      </c>
      <c r="DG17" s="9">
        <v>65.642816026732817</v>
      </c>
      <c r="DH17" s="9">
        <v>67.414073829337909</v>
      </c>
      <c r="DI17" s="9">
        <v>57.484083145153392</v>
      </c>
      <c r="DJ17" s="1">
        <v>69.212156785635969</v>
      </c>
      <c r="DK17" s="1">
        <v>66.236330504055246</v>
      </c>
      <c r="DL17" s="1">
        <v>56.489504448748981</v>
      </c>
      <c r="DM17" s="1">
        <v>64.914435803555648</v>
      </c>
      <c r="DN17" s="1">
        <v>68.774502582183516</v>
      </c>
      <c r="DO17" s="1">
        <v>73.802796803181124</v>
      </c>
      <c r="DP17" s="1">
        <v>66.240087756932553</v>
      </c>
      <c r="DQ17" s="1">
        <v>67.944580897126983</v>
      </c>
      <c r="DR17" s="1">
        <v>66.216565156584934</v>
      </c>
      <c r="DS17" s="1">
        <v>66.721824079016585</v>
      </c>
      <c r="DT17" s="1">
        <v>64.789146159179239</v>
      </c>
      <c r="DU17" s="1">
        <v>53.777470165888722</v>
      </c>
      <c r="DV17" s="1">
        <v>51.903931485258212</v>
      </c>
      <c r="DW17" s="1">
        <v>38.16318683940905</v>
      </c>
      <c r="DX17" s="1">
        <v>38.173478486169813</v>
      </c>
      <c r="DY17" s="1">
        <v>37.903754865634887</v>
      </c>
      <c r="DZ17" s="1">
        <v>30.563460238879788</v>
      </c>
      <c r="EA17" s="1">
        <v>27.56489157297289</v>
      </c>
      <c r="EB17" s="1">
        <v>13.927617374525729</v>
      </c>
      <c r="EC17" s="1">
        <v>14.630070387591264</v>
      </c>
      <c r="ED17" s="1">
        <v>14.639015068845479</v>
      </c>
      <c r="EE17" s="1">
        <v>14.571021812732775</v>
      </c>
      <c r="EF17" s="1">
        <v>14.499782190006478</v>
      </c>
      <c r="EG17" s="1">
        <v>14.4643352540936</v>
      </c>
      <c r="EH17" s="1">
        <v>14.426707160483771</v>
      </c>
      <c r="EI17" s="1">
        <v>14.342365047599444</v>
      </c>
      <c r="EJ17" s="1">
        <v>14.379263865992648</v>
      </c>
      <c r="EK17" s="1">
        <v>14.476060358150958</v>
      </c>
      <c r="EL17" s="1">
        <v>14.531914304307898</v>
      </c>
      <c r="EM17" s="1">
        <v>14.573247745442195</v>
      </c>
      <c r="EN17" s="1">
        <v>14.660013795929988</v>
      </c>
      <c r="EO17" s="1">
        <v>14.531680336825954</v>
      </c>
      <c r="EP17" s="1">
        <v>14.460102807823729</v>
      </c>
      <c r="EQ17" s="86">
        <v>14.392809383708308</v>
      </c>
      <c r="ER17" s="1">
        <v>14.304904542590142</v>
      </c>
      <c r="ES17" s="1">
        <v>14.248953539450557</v>
      </c>
      <c r="ET17" s="1">
        <v>14.25693069888994</v>
      </c>
      <c r="EU17" s="1">
        <v>14.315789985660359</v>
      </c>
      <c r="EV17" s="1">
        <v>14.34898357576944</v>
      </c>
      <c r="EW17" s="1">
        <v>15270.993384615385</v>
      </c>
      <c r="EX17" s="1">
        <v>13672.808800000003</v>
      </c>
      <c r="EY17" s="1">
        <v>15482.355454545454</v>
      </c>
      <c r="EZ17" s="1">
        <v>18849.857532467533</v>
      </c>
      <c r="FA17" s="1">
        <v>21422.011038961042</v>
      </c>
      <c r="FB17" s="1">
        <v>21778.312857142857</v>
      </c>
      <c r="FC17" s="1">
        <v>23960.409350649348</v>
      </c>
      <c r="FD17" s="1">
        <v>24978.027012987011</v>
      </c>
      <c r="FE17" s="1">
        <v>26229.592207792204</v>
      </c>
      <c r="FF17" s="1">
        <v>24099.233116883112</v>
      </c>
      <c r="FG17" s="1">
        <v>24392.505584415583</v>
      </c>
      <c r="FH17" s="1">
        <v>23932.895324675323</v>
      </c>
      <c r="FI17" s="1">
        <v>23818.919220779218</v>
      </c>
      <c r="FJ17" s="1">
        <v>23463.773246753248</v>
      </c>
      <c r="FK17" s="1">
        <v>20628.549350649348</v>
      </c>
      <c r="FL17" s="1">
        <v>20187.691818181815</v>
      </c>
      <c r="FM17" s="1">
        <v>16700.545194805192</v>
      </c>
      <c r="FN17" s="1">
        <v>16714.076363636363</v>
      </c>
      <c r="FO17" s="1">
        <v>16755.954935064932</v>
      </c>
      <c r="FP17" s="1">
        <v>14654.99935064935</v>
      </c>
      <c r="FQ17" s="1">
        <v>13893.282467532468</v>
      </c>
      <c r="FR17" s="5">
        <v>40</v>
      </c>
      <c r="FS17" s="5">
        <v>38</v>
      </c>
      <c r="FT17" s="5">
        <v>41</v>
      </c>
      <c r="FU17" s="5">
        <v>41</v>
      </c>
      <c r="FV17" s="5">
        <v>11</v>
      </c>
      <c r="FW17" s="5">
        <v>43</v>
      </c>
    </row>
    <row r="18" spans="1:179" x14ac:dyDescent="0.2">
      <c r="A18" s="5">
        <v>16</v>
      </c>
      <c r="B18" s="6" t="s">
        <v>194</v>
      </c>
      <c r="C18" s="9">
        <v>7</v>
      </c>
      <c r="D18" s="9">
        <v>7</v>
      </c>
      <c r="E18" s="9">
        <v>7</v>
      </c>
      <c r="F18" s="9">
        <v>7</v>
      </c>
      <c r="G18" s="9">
        <v>7</v>
      </c>
      <c r="H18" s="9">
        <v>7</v>
      </c>
      <c r="I18" s="9">
        <v>6</v>
      </c>
      <c r="J18" s="9">
        <v>6</v>
      </c>
      <c r="K18" s="9">
        <v>5</v>
      </c>
      <c r="L18" s="8">
        <v>5</v>
      </c>
      <c r="M18" s="8">
        <v>5</v>
      </c>
      <c r="N18" s="8">
        <v>5</v>
      </c>
      <c r="O18" s="85">
        <v>5</v>
      </c>
      <c r="P18" s="85">
        <v>4</v>
      </c>
      <c r="Q18" s="9">
        <v>4</v>
      </c>
      <c r="R18" s="9">
        <v>4</v>
      </c>
      <c r="S18" s="9">
        <v>4</v>
      </c>
      <c r="T18" s="9">
        <v>4</v>
      </c>
      <c r="U18" s="9">
        <v>4</v>
      </c>
      <c r="V18" s="9">
        <v>4</v>
      </c>
      <c r="W18" s="1">
        <v>4</v>
      </c>
      <c r="X18" s="9">
        <v>140</v>
      </c>
      <c r="Y18" s="9">
        <v>142</v>
      </c>
      <c r="Z18" s="9">
        <v>142</v>
      </c>
      <c r="AA18" s="9">
        <v>142</v>
      </c>
      <c r="AB18" s="9">
        <v>148</v>
      </c>
      <c r="AC18" s="9">
        <v>148</v>
      </c>
      <c r="AD18" s="8">
        <v>148</v>
      </c>
      <c r="AE18" s="8">
        <v>144</v>
      </c>
      <c r="AF18" s="8">
        <v>144</v>
      </c>
      <c r="AG18" s="8">
        <v>136</v>
      </c>
      <c r="AH18" s="8">
        <v>130</v>
      </c>
      <c r="AI18" s="9">
        <v>128</v>
      </c>
      <c r="AJ18" s="9">
        <v>128</v>
      </c>
      <c r="AK18" s="9">
        <v>128</v>
      </c>
      <c r="AL18" s="9">
        <v>121</v>
      </c>
      <c r="AM18" s="9">
        <v>121</v>
      </c>
      <c r="AN18" s="9">
        <v>121</v>
      </c>
      <c r="AO18" s="9">
        <v>121</v>
      </c>
      <c r="AP18" s="9">
        <v>121</v>
      </c>
      <c r="AQ18" s="9">
        <v>121</v>
      </c>
      <c r="AR18" s="9">
        <v>121</v>
      </c>
      <c r="AS18" s="9">
        <v>121</v>
      </c>
      <c r="AT18" s="9">
        <v>3323.20784</v>
      </c>
      <c r="AU18" s="8">
        <v>3427.1990500000002</v>
      </c>
      <c r="AV18" s="9">
        <v>3629.6057399999995</v>
      </c>
      <c r="AW18" s="8">
        <v>3759.21668</v>
      </c>
      <c r="AX18" s="8">
        <v>4027.6706300000001</v>
      </c>
      <c r="AY18" s="8">
        <v>4186.7847000000002</v>
      </c>
      <c r="AZ18" s="86">
        <v>4263.7774799999997</v>
      </c>
      <c r="BA18" s="9">
        <v>4423.2295199999999</v>
      </c>
      <c r="BB18" s="9">
        <v>4615.2829300000003</v>
      </c>
      <c r="BC18" s="9">
        <v>4212.1456900000003</v>
      </c>
      <c r="BD18" s="9">
        <v>3878.1224599999996</v>
      </c>
      <c r="BE18" s="9">
        <v>3681.05069</v>
      </c>
      <c r="BF18" s="9">
        <v>3727.6325899999997</v>
      </c>
      <c r="BG18" s="9">
        <v>3624.7906600000001</v>
      </c>
      <c r="BH18" s="9">
        <v>3567.2570299999998</v>
      </c>
      <c r="BI18" s="9">
        <v>3781.7195099999999</v>
      </c>
      <c r="BJ18" s="9">
        <v>3872.7572199999995</v>
      </c>
      <c r="BK18" s="9">
        <v>3712.7233700000002</v>
      </c>
      <c r="BL18" s="9">
        <v>3616.7439800000002</v>
      </c>
      <c r="BM18" s="1">
        <v>4035.40823</v>
      </c>
      <c r="BN18" s="1">
        <v>3922.6922599999998</v>
      </c>
      <c r="BO18" s="1">
        <v>92759.061889999983</v>
      </c>
      <c r="BP18" s="1">
        <v>1121.7849100000001</v>
      </c>
      <c r="BQ18" s="1">
        <v>1170.0747200000001</v>
      </c>
      <c r="BR18" s="9">
        <v>921.78815000000009</v>
      </c>
      <c r="BS18" s="9">
        <v>952.21775000000002</v>
      </c>
      <c r="BT18" s="9">
        <v>985.68140000000005</v>
      </c>
      <c r="BU18" s="9">
        <v>1017.7933599999999</v>
      </c>
      <c r="BV18" s="9">
        <v>1045.86374</v>
      </c>
      <c r="BW18" s="9">
        <v>1097.8344199999999</v>
      </c>
      <c r="BX18" s="9">
        <v>1172.8194699999999</v>
      </c>
      <c r="BY18" s="9">
        <v>1030.3525299999999</v>
      </c>
      <c r="BZ18" s="9">
        <v>937.58520999999996</v>
      </c>
      <c r="CA18" s="9">
        <v>881.50251000000003</v>
      </c>
      <c r="CB18" s="9">
        <v>894.94547000000011</v>
      </c>
      <c r="CC18" s="9">
        <v>872.69984999999997</v>
      </c>
      <c r="CD18" s="8">
        <v>866.38387999999998</v>
      </c>
      <c r="CE18" s="8">
        <v>937.66332000000011</v>
      </c>
      <c r="CF18" s="8">
        <v>968.44191000000001</v>
      </c>
      <c r="CG18" s="8">
        <v>908.91639000000009</v>
      </c>
      <c r="CH18" s="8">
        <v>888.86972000000003</v>
      </c>
      <c r="CI18" s="8">
        <v>1024.6154900000001</v>
      </c>
      <c r="CJ18" s="9">
        <v>995.21384</v>
      </c>
      <c r="CK18" s="9">
        <v>24746.705009999998</v>
      </c>
      <c r="CL18" s="9">
        <v>367.00210127404921</v>
      </c>
      <c r="CM18" s="1">
        <v>379.5890128222685</v>
      </c>
      <c r="CN18" s="9">
        <v>402.83777159321744</v>
      </c>
      <c r="CO18" s="9">
        <v>416.83522139274908</v>
      </c>
      <c r="CP18" s="9">
        <v>446.3121401934664</v>
      </c>
      <c r="CQ18" s="9">
        <v>464.52817345061999</v>
      </c>
      <c r="CR18" s="9">
        <v>474.46026599430883</v>
      </c>
      <c r="CS18" s="9">
        <v>494.67977837306921</v>
      </c>
      <c r="CT18" s="9">
        <v>517.7910652334466</v>
      </c>
      <c r="CU18" s="9">
        <v>473.25830261733159</v>
      </c>
      <c r="CV18" s="9">
        <v>437.82253671850509</v>
      </c>
      <c r="CW18" s="9">
        <v>417.6458331810569</v>
      </c>
      <c r="CX18" s="9">
        <v>424.6009664835392</v>
      </c>
      <c r="CY18" s="9">
        <v>411.953515229196</v>
      </c>
      <c r="CZ18" s="9">
        <v>401.83432246508789</v>
      </c>
      <c r="DA18" s="9">
        <v>421.02910391755915</v>
      </c>
      <c r="DB18" s="9">
        <v>426.44844242053517</v>
      </c>
      <c r="DC18" s="9">
        <v>405.86151266192286</v>
      </c>
      <c r="DD18" s="9">
        <v>393.97933848046256</v>
      </c>
      <c r="DE18" s="9">
        <v>439.66021563592369</v>
      </c>
      <c r="DF18" s="9">
        <v>427.72600968122237</v>
      </c>
      <c r="DG18" s="9">
        <v>123.88554642658771</v>
      </c>
      <c r="DH18" s="9">
        <v>129.59489700287241</v>
      </c>
      <c r="DI18" s="9">
        <v>102.30617615979266</v>
      </c>
      <c r="DJ18" s="1">
        <v>105.58526693793969</v>
      </c>
      <c r="DK18" s="1">
        <v>109.22481394236854</v>
      </c>
      <c r="DL18" s="1">
        <v>112.92524558785391</v>
      </c>
      <c r="DM18" s="1">
        <v>116.38055470807606</v>
      </c>
      <c r="DN18" s="1">
        <v>122.77827436273915</v>
      </c>
      <c r="DO18" s="1">
        <v>131.57924484985497</v>
      </c>
      <c r="DP18" s="1">
        <v>115.76591251412131</v>
      </c>
      <c r="DQ18" s="1">
        <v>105.8491420180559</v>
      </c>
      <c r="DR18" s="1">
        <v>100.01379531129002</v>
      </c>
      <c r="DS18" s="1">
        <v>101.93995849576615</v>
      </c>
      <c r="DT18" s="1">
        <v>99.181388573620978</v>
      </c>
      <c r="DU18" s="1">
        <v>97.593971078241609</v>
      </c>
      <c r="DV18" s="1">
        <v>104.39260403952157</v>
      </c>
      <c r="DW18" s="1">
        <v>106.63992619043343</v>
      </c>
      <c r="DX18" s="1">
        <v>99.359457779536712</v>
      </c>
      <c r="DY18" s="1">
        <v>96.82640137577944</v>
      </c>
      <c r="DZ18" s="1">
        <v>111.63248960249744</v>
      </c>
      <c r="EA18" s="1">
        <v>108.51701238544941</v>
      </c>
      <c r="EB18" s="1">
        <v>15.683267247525768</v>
      </c>
      <c r="EC18" s="1">
        <v>15.772198208387145</v>
      </c>
      <c r="ED18" s="1">
        <v>15.748028118806744</v>
      </c>
      <c r="EE18" s="1">
        <v>16.408088457155504</v>
      </c>
      <c r="EF18" s="1">
        <v>16.392117159425727</v>
      </c>
      <c r="EG18" s="1">
        <v>16.449494936332435</v>
      </c>
      <c r="EH18" s="1">
        <v>16.042900234628519</v>
      </c>
      <c r="EI18" s="1">
        <v>16.166569296926628</v>
      </c>
      <c r="EJ18" s="1">
        <v>15.247413675051169</v>
      </c>
      <c r="EK18" s="1">
        <v>14.637867817716012</v>
      </c>
      <c r="EL18" s="1">
        <v>14.488776086334129</v>
      </c>
      <c r="EM18" s="1">
        <v>14.556713159077654</v>
      </c>
      <c r="EN18" s="1">
        <v>14.60338329070159</v>
      </c>
      <c r="EO18" s="1">
        <v>13.698685084094057</v>
      </c>
      <c r="EP18" s="1">
        <v>13.562133304116983</v>
      </c>
      <c r="EQ18" s="86">
        <v>13.381593677015013</v>
      </c>
      <c r="ER18" s="1">
        <v>13.266717854829121</v>
      </c>
      <c r="ES18" s="1">
        <v>13.188082057258788</v>
      </c>
      <c r="ET18" s="1">
        <v>13.173482290014952</v>
      </c>
      <c r="EU18" s="1">
        <v>13.19258080604175</v>
      </c>
      <c r="EV18" s="1">
        <v>13.194830755884327</v>
      </c>
      <c r="EW18" s="1">
        <v>23568.849929078013</v>
      </c>
      <c r="EX18" s="1">
        <v>24135.204577464792</v>
      </c>
      <c r="EY18" s="1">
        <v>25560.603802816895</v>
      </c>
      <c r="EZ18" s="1">
        <v>25925.63227586207</v>
      </c>
      <c r="FA18" s="1">
        <v>27213.990743243241</v>
      </c>
      <c r="FB18" s="1">
        <v>28289.085810810811</v>
      </c>
      <c r="FC18" s="1">
        <v>29203.95534246575</v>
      </c>
      <c r="FD18" s="1">
        <v>30716.871666666662</v>
      </c>
      <c r="FE18" s="1">
        <v>32966.306642857147</v>
      </c>
      <c r="FF18" s="1">
        <v>31670.268345864664</v>
      </c>
      <c r="FG18" s="1">
        <v>30062.964806201548</v>
      </c>
      <c r="FH18" s="1">
        <v>28758.208515625</v>
      </c>
      <c r="FI18" s="1">
        <v>29122.129609374999</v>
      </c>
      <c r="FJ18" s="1">
        <v>29114.784417670682</v>
      </c>
      <c r="FK18" s="1">
        <v>29481.463057851237</v>
      </c>
      <c r="FL18" s="1">
        <v>31253.880247933881</v>
      </c>
      <c r="FM18" s="1">
        <v>32006.258016528922</v>
      </c>
      <c r="FN18" s="1">
        <v>30683.664214876033</v>
      </c>
      <c r="FO18" s="1">
        <v>29890.446115702478</v>
      </c>
      <c r="FP18" s="1">
        <v>33350.481239669418</v>
      </c>
      <c r="FQ18" s="1">
        <v>32418.944297520658</v>
      </c>
      <c r="FR18" s="5">
        <v>31</v>
      </c>
      <c r="FS18" s="5">
        <v>24</v>
      </c>
      <c r="FT18" s="5">
        <v>31</v>
      </c>
      <c r="FU18" s="5">
        <v>28</v>
      </c>
      <c r="FV18" s="5">
        <v>15</v>
      </c>
      <c r="FW18" s="5">
        <v>26</v>
      </c>
    </row>
    <row r="19" spans="1:179" x14ac:dyDescent="0.2">
      <c r="A19" s="5">
        <v>17</v>
      </c>
      <c r="B19" s="6" t="s">
        <v>422</v>
      </c>
      <c r="C19" s="9">
        <v>11</v>
      </c>
      <c r="D19" s="9">
        <v>12</v>
      </c>
      <c r="E19" s="9">
        <v>12</v>
      </c>
      <c r="F19" s="9">
        <v>12</v>
      </c>
      <c r="G19" s="9">
        <v>12</v>
      </c>
      <c r="H19" s="9">
        <v>12</v>
      </c>
      <c r="I19" s="9">
        <v>12</v>
      </c>
      <c r="J19" s="9">
        <v>12</v>
      </c>
      <c r="K19" s="9">
        <v>12</v>
      </c>
      <c r="L19" s="8">
        <v>12</v>
      </c>
      <c r="M19" s="8">
        <v>12</v>
      </c>
      <c r="N19" s="8">
        <v>12</v>
      </c>
      <c r="O19" s="85">
        <v>12</v>
      </c>
      <c r="P19" s="85">
        <v>11</v>
      </c>
      <c r="Q19" s="9">
        <v>12</v>
      </c>
      <c r="R19" s="9">
        <v>12</v>
      </c>
      <c r="S19" s="9">
        <v>12</v>
      </c>
      <c r="T19" s="9">
        <v>12</v>
      </c>
      <c r="U19" s="9">
        <v>10</v>
      </c>
      <c r="V19" s="9">
        <v>11</v>
      </c>
      <c r="W19" s="1">
        <v>11</v>
      </c>
      <c r="X19" s="9">
        <v>84</v>
      </c>
      <c r="Y19" s="9">
        <v>95</v>
      </c>
      <c r="Z19" s="9">
        <v>106</v>
      </c>
      <c r="AA19" s="9">
        <v>117</v>
      </c>
      <c r="AB19" s="9">
        <v>117</v>
      </c>
      <c r="AC19" s="9">
        <v>117</v>
      </c>
      <c r="AD19" s="8">
        <v>117</v>
      </c>
      <c r="AE19" s="8">
        <v>117</v>
      </c>
      <c r="AF19" s="8">
        <v>109</v>
      </c>
      <c r="AG19" s="8">
        <v>109</v>
      </c>
      <c r="AH19" s="8">
        <v>109</v>
      </c>
      <c r="AI19" s="9">
        <v>109</v>
      </c>
      <c r="AJ19" s="9">
        <v>109</v>
      </c>
      <c r="AK19" s="9">
        <v>109</v>
      </c>
      <c r="AL19" s="9">
        <v>105</v>
      </c>
      <c r="AM19" s="9">
        <v>109</v>
      </c>
      <c r="AN19" s="9">
        <v>109</v>
      </c>
      <c r="AO19" s="9">
        <v>109</v>
      </c>
      <c r="AP19" s="9">
        <v>109</v>
      </c>
      <c r="AQ19" s="9">
        <v>99</v>
      </c>
      <c r="AR19" s="9">
        <v>104</v>
      </c>
      <c r="AS19" s="9">
        <v>104</v>
      </c>
      <c r="AT19" s="9">
        <v>1586.6926699999999</v>
      </c>
      <c r="AU19" s="8">
        <v>1720.6447499999999</v>
      </c>
      <c r="AV19" s="9">
        <v>2122.9802300000001</v>
      </c>
      <c r="AW19" s="8">
        <v>2477.1434199999999</v>
      </c>
      <c r="AX19" s="8">
        <v>2882.0992699999997</v>
      </c>
      <c r="AY19" s="8">
        <v>3334.4634299999998</v>
      </c>
      <c r="AZ19" s="86">
        <v>3657.4352699999999</v>
      </c>
      <c r="BA19" s="9">
        <v>3738.1399000000001</v>
      </c>
      <c r="BB19" s="9">
        <v>4268.49586</v>
      </c>
      <c r="BC19" s="9">
        <v>4089.9086299999999</v>
      </c>
      <c r="BD19" s="9">
        <v>3920.1754599999999</v>
      </c>
      <c r="BE19" s="9">
        <v>4104.7272800000001</v>
      </c>
      <c r="BF19" s="9">
        <v>4056.15425</v>
      </c>
      <c r="BG19" s="9">
        <v>4061.5361600000001</v>
      </c>
      <c r="BH19" s="9">
        <v>3852.3891599999997</v>
      </c>
      <c r="BI19" s="9">
        <v>3922.14023</v>
      </c>
      <c r="BJ19" s="9">
        <v>3663.4543100000001</v>
      </c>
      <c r="BK19" s="9">
        <v>3635.8427000000001</v>
      </c>
      <c r="BL19" s="9">
        <v>3413.3557900000001</v>
      </c>
      <c r="BM19" s="1">
        <v>3430.90211</v>
      </c>
      <c r="BN19" s="1">
        <v>3018.1693000000005</v>
      </c>
      <c r="BO19" s="1">
        <v>74222.649049999993</v>
      </c>
      <c r="BP19" s="1">
        <v>574.13084000000003</v>
      </c>
      <c r="BQ19" s="1">
        <v>616.68965000000003</v>
      </c>
      <c r="BR19" s="9">
        <v>611.94541000000004</v>
      </c>
      <c r="BS19" s="9">
        <v>718.21387000000004</v>
      </c>
      <c r="BT19" s="9">
        <v>758.80786000000001</v>
      </c>
      <c r="BU19" s="9">
        <v>826.8134</v>
      </c>
      <c r="BV19" s="9">
        <v>913.95568000000003</v>
      </c>
      <c r="BW19" s="9">
        <v>935.10575999999992</v>
      </c>
      <c r="BX19" s="9">
        <v>1116.6522499999999</v>
      </c>
      <c r="BY19" s="9">
        <v>1055.8630800000001</v>
      </c>
      <c r="BZ19" s="9">
        <v>1003.2029</v>
      </c>
      <c r="CA19" s="9">
        <v>1053.2385899999999</v>
      </c>
      <c r="CB19" s="9">
        <v>1043.1046999999999</v>
      </c>
      <c r="CC19" s="9">
        <v>1040.2994800000001</v>
      </c>
      <c r="CD19" s="8">
        <v>984.57949000000008</v>
      </c>
      <c r="CE19" s="8">
        <v>1017.76986</v>
      </c>
      <c r="CF19" s="8">
        <v>936.19458999999995</v>
      </c>
      <c r="CG19" s="8">
        <v>952.85012000000006</v>
      </c>
      <c r="CH19" s="8">
        <v>894.90985999999998</v>
      </c>
      <c r="CI19" s="8">
        <v>901.89254000000005</v>
      </c>
      <c r="CJ19" s="9">
        <v>743.90958999999998</v>
      </c>
      <c r="CK19" s="9">
        <v>19841.933580000004</v>
      </c>
      <c r="CL19" s="9">
        <v>130.88893330595391</v>
      </c>
      <c r="CM19" s="1">
        <v>139.19959593600811</v>
      </c>
      <c r="CN19" s="9">
        <v>168.50079203668835</v>
      </c>
      <c r="CO19" s="9">
        <v>191.65072165935857</v>
      </c>
      <c r="CP19" s="9">
        <v>214.37874796786843</v>
      </c>
      <c r="CQ19" s="9">
        <v>239.15525645090699</v>
      </c>
      <c r="CR19" s="9">
        <v>254.15309088755498</v>
      </c>
      <c r="CS19" s="9">
        <v>252.42941920124707</v>
      </c>
      <c r="CT19" s="9">
        <v>281.17195432908312</v>
      </c>
      <c r="CU19" s="9">
        <v>264.45426889435061</v>
      </c>
      <c r="CV19" s="9">
        <v>249.37521666363233</v>
      </c>
      <c r="CW19" s="9">
        <v>255.52067183561783</v>
      </c>
      <c r="CX19" s="9">
        <v>247.73650861491728</v>
      </c>
      <c r="CY19" s="9">
        <v>243.93507799169478</v>
      </c>
      <c r="CZ19" s="9">
        <v>227.44475882972236</v>
      </c>
      <c r="DA19" s="9">
        <v>227.80593591965822</v>
      </c>
      <c r="DB19" s="9">
        <v>209.23019751355261</v>
      </c>
      <c r="DC19" s="9">
        <v>204.44398396716281</v>
      </c>
      <c r="DD19" s="9">
        <v>189.64274635537021</v>
      </c>
      <c r="DE19" s="9">
        <v>188.90215185420135</v>
      </c>
      <c r="DF19" s="9">
        <v>164.75755033470497</v>
      </c>
      <c r="DG19" s="9">
        <v>47.361013664764272</v>
      </c>
      <c r="DH19" s="9">
        <v>49.889990422438025</v>
      </c>
      <c r="DI19" s="9">
        <v>48.570064295048098</v>
      </c>
      <c r="DJ19" s="1">
        <v>55.566506718961286</v>
      </c>
      <c r="DK19" s="1">
        <v>56.44228867070828</v>
      </c>
      <c r="DL19" s="1">
        <v>59.300926480410183</v>
      </c>
      <c r="DM19" s="1">
        <v>63.510258926943941</v>
      </c>
      <c r="DN19" s="1">
        <v>63.145898816826175</v>
      </c>
      <c r="DO19" s="1">
        <v>73.555487866507576</v>
      </c>
      <c r="DP19" s="1">
        <v>68.272307314096963</v>
      </c>
      <c r="DQ19" s="1">
        <v>63.81702632899097</v>
      </c>
      <c r="DR19" s="1">
        <v>65.564461110799741</v>
      </c>
      <c r="DS19" s="1">
        <v>63.709390859041086</v>
      </c>
      <c r="DT19" s="1">
        <v>62.480186016248481</v>
      </c>
      <c r="DU19" s="1">
        <v>58.129497138274857</v>
      </c>
      <c r="DV19" s="1">
        <v>59.114157554769406</v>
      </c>
      <c r="DW19" s="1">
        <v>53.468710785373325</v>
      </c>
      <c r="DX19" s="1">
        <v>53.578906110649172</v>
      </c>
      <c r="DY19" s="1">
        <v>49.720326280695126</v>
      </c>
      <c r="DZ19" s="1">
        <v>49.657330954059596</v>
      </c>
      <c r="EA19" s="1">
        <v>40.60896176993608</v>
      </c>
      <c r="EB19" s="1">
        <v>7.7752179178527632</v>
      </c>
      <c r="EC19" s="1">
        <v>8.4775096286037108</v>
      </c>
      <c r="ED19" s="1">
        <v>9.2163808241771434</v>
      </c>
      <c r="EE19" s="1">
        <v>8.8934052187917079</v>
      </c>
      <c r="EF19" s="1">
        <v>8.5201802157093365</v>
      </c>
      <c r="EG19" s="1">
        <v>8.26665767430495</v>
      </c>
      <c r="EH19" s="1">
        <v>7.9982966435844913</v>
      </c>
      <c r="EI19" s="1">
        <v>7.2719057530536659</v>
      </c>
      <c r="EJ19" s="1">
        <v>7.0903621886417136</v>
      </c>
      <c r="EK19" s="1">
        <v>7.0060633408839736</v>
      </c>
      <c r="EL19" s="1">
        <v>6.8631051189387806</v>
      </c>
      <c r="EM19" s="1">
        <v>6.7092140714121369</v>
      </c>
      <c r="EN19" s="1">
        <v>6.6063015042102533</v>
      </c>
      <c r="EO19" s="1">
        <v>6.2497239831967208</v>
      </c>
      <c r="EP19" s="1">
        <v>6.3837359561409208</v>
      </c>
      <c r="EQ19" s="86">
        <v>6.279016460267191</v>
      </c>
      <c r="ER19" s="1">
        <v>6.1724891412331591</v>
      </c>
      <c r="ES19" s="1">
        <v>6.0862898943554731</v>
      </c>
      <c r="ET19" s="1">
        <v>5.4730474729160274</v>
      </c>
      <c r="EU19" s="1">
        <v>5.7030032964785748</v>
      </c>
      <c r="EV19" s="1">
        <v>5.6516517925439649</v>
      </c>
      <c r="EW19" s="1">
        <v>17728.409720670392</v>
      </c>
      <c r="EX19" s="1">
        <v>17120.843283582089</v>
      </c>
      <c r="EY19" s="1">
        <v>19040.181434977578</v>
      </c>
      <c r="EZ19" s="1">
        <v>21172.165982905983</v>
      </c>
      <c r="FA19" s="1">
        <v>24633.327094017091</v>
      </c>
      <c r="FB19" s="1">
        <v>28499.687435897435</v>
      </c>
      <c r="FC19" s="1">
        <v>31260.130512820513</v>
      </c>
      <c r="FD19" s="1">
        <v>33080.884070796463</v>
      </c>
      <c r="FE19" s="1">
        <v>39160.512477064221</v>
      </c>
      <c r="FF19" s="1">
        <v>37522.097522935779</v>
      </c>
      <c r="FG19" s="1">
        <v>35964.912477064223</v>
      </c>
      <c r="FH19" s="1">
        <v>37658.048440366976</v>
      </c>
      <c r="FI19" s="1">
        <v>37212.424311926603</v>
      </c>
      <c r="FJ19" s="1">
        <v>37958.281869158876</v>
      </c>
      <c r="FK19" s="1">
        <v>36003.637009345788</v>
      </c>
      <c r="FL19" s="1">
        <v>35982.937889908259</v>
      </c>
      <c r="FM19" s="1">
        <v>33609.672568807342</v>
      </c>
      <c r="FN19" s="1">
        <v>33356.355045871562</v>
      </c>
      <c r="FO19" s="1">
        <v>32820.728750000002</v>
      </c>
      <c r="FP19" s="1">
        <v>33801.991231527092</v>
      </c>
      <c r="FQ19" s="1">
        <v>29020.858653846157</v>
      </c>
      <c r="FR19" s="5">
        <v>35</v>
      </c>
      <c r="FS19" s="5">
        <v>39</v>
      </c>
      <c r="FT19" s="5">
        <v>35</v>
      </c>
      <c r="FU19" s="5">
        <v>39</v>
      </c>
      <c r="FV19" s="5">
        <v>38</v>
      </c>
      <c r="FW19" s="5">
        <v>29</v>
      </c>
    </row>
    <row r="20" spans="1:179" x14ac:dyDescent="0.2">
      <c r="A20" s="5">
        <v>18</v>
      </c>
      <c r="B20" s="6" t="s">
        <v>195</v>
      </c>
      <c r="C20" s="9">
        <v>12</v>
      </c>
      <c r="D20" s="9">
        <v>12</v>
      </c>
      <c r="E20" s="9">
        <v>12</v>
      </c>
      <c r="F20" s="9">
        <v>12</v>
      </c>
      <c r="G20" s="9">
        <v>12</v>
      </c>
      <c r="H20" s="9">
        <v>12</v>
      </c>
      <c r="I20" s="9">
        <v>11</v>
      </c>
      <c r="J20" s="9">
        <v>10</v>
      </c>
      <c r="K20" s="9">
        <v>10</v>
      </c>
      <c r="L20" s="8">
        <v>11</v>
      </c>
      <c r="M20" s="8">
        <v>11</v>
      </c>
      <c r="N20" s="8">
        <v>11</v>
      </c>
      <c r="O20" s="85">
        <v>11</v>
      </c>
      <c r="P20" s="85">
        <v>11</v>
      </c>
      <c r="Q20" s="9">
        <v>11</v>
      </c>
      <c r="R20" s="9">
        <v>10</v>
      </c>
      <c r="S20" s="9">
        <v>10</v>
      </c>
      <c r="T20" s="9">
        <v>10</v>
      </c>
      <c r="U20" s="9">
        <v>10</v>
      </c>
      <c r="V20" s="9">
        <v>10</v>
      </c>
      <c r="W20" s="1">
        <v>10</v>
      </c>
      <c r="X20" s="9">
        <v>343</v>
      </c>
      <c r="Y20" s="9">
        <v>383</v>
      </c>
      <c r="Z20" s="9">
        <v>383</v>
      </c>
      <c r="AA20" s="9">
        <v>383</v>
      </c>
      <c r="AB20" s="9">
        <v>383</v>
      </c>
      <c r="AC20" s="9">
        <v>383</v>
      </c>
      <c r="AD20" s="8">
        <v>383</v>
      </c>
      <c r="AE20" s="8">
        <v>363</v>
      </c>
      <c r="AF20" s="8">
        <v>317</v>
      </c>
      <c r="AG20" s="8">
        <v>320</v>
      </c>
      <c r="AH20" s="8">
        <v>348</v>
      </c>
      <c r="AI20" s="9">
        <v>348</v>
      </c>
      <c r="AJ20" s="9">
        <v>347</v>
      </c>
      <c r="AK20" s="9">
        <v>347</v>
      </c>
      <c r="AL20" s="9">
        <v>347</v>
      </c>
      <c r="AM20" s="9">
        <v>348</v>
      </c>
      <c r="AN20" s="9">
        <v>330</v>
      </c>
      <c r="AO20" s="9">
        <v>333</v>
      </c>
      <c r="AP20" s="9">
        <v>333</v>
      </c>
      <c r="AQ20" s="9">
        <v>333</v>
      </c>
      <c r="AR20" s="9">
        <v>333</v>
      </c>
      <c r="AS20" s="9">
        <v>328</v>
      </c>
      <c r="AT20" s="9">
        <v>20902.438259999999</v>
      </c>
      <c r="AU20" s="8">
        <v>23390.60484</v>
      </c>
      <c r="AV20" s="9">
        <v>24859.716930000002</v>
      </c>
      <c r="AW20" s="8">
        <v>26658.96313</v>
      </c>
      <c r="AX20" s="8">
        <v>28088.98978</v>
      </c>
      <c r="AY20" s="8">
        <v>29323.519379999998</v>
      </c>
      <c r="AZ20" s="86">
        <v>30197.0952</v>
      </c>
      <c r="BA20" s="9">
        <v>29580.29839</v>
      </c>
      <c r="BB20" s="9">
        <v>29911.767629999998</v>
      </c>
      <c r="BC20" s="9">
        <v>29137.171849999999</v>
      </c>
      <c r="BD20" s="9">
        <v>30384.907260000004</v>
      </c>
      <c r="BE20" s="9">
        <v>30048.410179999999</v>
      </c>
      <c r="BF20" s="9">
        <v>30327.674980000003</v>
      </c>
      <c r="BG20" s="9">
        <v>29784.123019999999</v>
      </c>
      <c r="BH20" s="9">
        <v>29651.810249999999</v>
      </c>
      <c r="BI20" s="9">
        <v>29506.414080000002</v>
      </c>
      <c r="BJ20" s="9">
        <v>30263.36678</v>
      </c>
      <c r="BK20" s="9">
        <v>30018.841260000001</v>
      </c>
      <c r="BL20" s="9">
        <v>28147.49554</v>
      </c>
      <c r="BM20" s="1">
        <v>27213.337159999999</v>
      </c>
      <c r="BN20" s="1">
        <v>26850.222520000003</v>
      </c>
      <c r="BO20" s="1">
        <v>654080.7475099999</v>
      </c>
      <c r="BP20" s="1">
        <v>9564.5344800000003</v>
      </c>
      <c r="BQ20" s="1">
        <v>10833.27994</v>
      </c>
      <c r="BR20" s="9">
        <v>9324.2279600000002</v>
      </c>
      <c r="BS20" s="9">
        <v>10038.14215</v>
      </c>
      <c r="BT20" s="9">
        <v>11283.655470000002</v>
      </c>
      <c r="BU20" s="9">
        <v>12889.22638</v>
      </c>
      <c r="BV20" s="9">
        <v>13404.64388</v>
      </c>
      <c r="BW20" s="9">
        <v>12940.932959999998</v>
      </c>
      <c r="BX20" s="9">
        <v>12888.337820000001</v>
      </c>
      <c r="BY20" s="9">
        <v>12101.558919999999</v>
      </c>
      <c r="BZ20" s="9">
        <v>12930.47047</v>
      </c>
      <c r="CA20" s="9">
        <v>12746.40077</v>
      </c>
      <c r="CB20" s="9">
        <v>12799.72819</v>
      </c>
      <c r="CC20" s="9">
        <v>12460.54463</v>
      </c>
      <c r="CD20" s="8">
        <v>12483.749540000001</v>
      </c>
      <c r="CE20" s="8">
        <v>12519.978360000001</v>
      </c>
      <c r="CF20" s="8">
        <v>12918.66761</v>
      </c>
      <c r="CG20" s="8">
        <v>12816.333860000001</v>
      </c>
      <c r="CH20" s="8">
        <v>11715.793809999999</v>
      </c>
      <c r="CI20" s="8">
        <v>11201.40295</v>
      </c>
      <c r="CJ20" s="9">
        <v>10977.548059999999</v>
      </c>
      <c r="CK20" s="9">
        <v>273353.20422999997</v>
      </c>
      <c r="CL20" s="9">
        <v>345.96018336848419</v>
      </c>
      <c r="CM20" s="1">
        <v>383.61960193176134</v>
      </c>
      <c r="CN20" s="9">
        <v>404.64103507566119</v>
      </c>
      <c r="CO20" s="9">
        <v>430.85277550867266</v>
      </c>
      <c r="CP20" s="9">
        <v>450.79509812655084</v>
      </c>
      <c r="CQ20" s="9">
        <v>467.36008286345088</v>
      </c>
      <c r="CR20" s="9">
        <v>477.73723667817012</v>
      </c>
      <c r="CS20" s="9">
        <v>463.66131467884793</v>
      </c>
      <c r="CT20" s="9">
        <v>463.12214684507643</v>
      </c>
      <c r="CU20" s="9">
        <v>445.2441240965673</v>
      </c>
      <c r="CV20" s="9">
        <v>457.18288535415894</v>
      </c>
      <c r="CW20" s="9">
        <v>444.54747558624456</v>
      </c>
      <c r="CX20" s="9">
        <v>443.27559294228621</v>
      </c>
      <c r="CY20" s="9">
        <v>430.37350941849019</v>
      </c>
      <c r="CZ20" s="9">
        <v>423.0206804547721</v>
      </c>
      <c r="DA20" s="9">
        <v>416.28530092267277</v>
      </c>
      <c r="DB20" s="9">
        <v>422.36833676284994</v>
      </c>
      <c r="DC20" s="9">
        <v>414.24643215429876</v>
      </c>
      <c r="DD20" s="9">
        <v>384.20131037111531</v>
      </c>
      <c r="DE20" s="9">
        <v>367.81119405646143</v>
      </c>
      <c r="DF20" s="9">
        <v>359.36808095910891</v>
      </c>
      <c r="DG20" s="9">
        <v>158.3044074272984</v>
      </c>
      <c r="DH20" s="9">
        <v>177.67212804566944</v>
      </c>
      <c r="DI20" s="9">
        <v>151.77024193958997</v>
      </c>
      <c r="DJ20" s="1">
        <v>162.23291900693269</v>
      </c>
      <c r="DK20" s="1">
        <v>181.08933837295314</v>
      </c>
      <c r="DL20" s="1">
        <v>205.42929485848697</v>
      </c>
      <c r="DM20" s="1">
        <v>212.06998499266723</v>
      </c>
      <c r="DN20" s="1">
        <v>202.84480941655687</v>
      </c>
      <c r="DO20" s="1">
        <v>199.54937983927474</v>
      </c>
      <c r="DP20" s="1">
        <v>184.92350696481208</v>
      </c>
      <c r="DQ20" s="1">
        <v>194.5567826775505</v>
      </c>
      <c r="DR20" s="1">
        <v>188.57504444230347</v>
      </c>
      <c r="DS20" s="1">
        <v>187.0834841993003</v>
      </c>
      <c r="DT20" s="1">
        <v>180.05191282878411</v>
      </c>
      <c r="DU20" s="1">
        <v>178.09652026347189</v>
      </c>
      <c r="DV20" s="1">
        <v>176.63559336648308</v>
      </c>
      <c r="DW20" s="1">
        <v>180.29838488537797</v>
      </c>
      <c r="DX20" s="1">
        <v>176.85961056324038</v>
      </c>
      <c r="DY20" s="1">
        <v>159.9155892020012</v>
      </c>
      <c r="DZ20" s="1">
        <v>151.39640426764439</v>
      </c>
      <c r="EA20" s="1">
        <v>146.92542592598923</v>
      </c>
      <c r="EB20" s="1">
        <v>6.3080633229291632</v>
      </c>
      <c r="EC20" s="1">
        <v>6.2550088080323203</v>
      </c>
      <c r="ED20" s="1">
        <v>6.2132949582816615</v>
      </c>
      <c r="EE20" s="1">
        <v>6.1667026843636368</v>
      </c>
      <c r="EF20" s="1">
        <v>6.1268216443608603</v>
      </c>
      <c r="EG20" s="1">
        <v>6.0818994770872106</v>
      </c>
      <c r="EH20" s="1">
        <v>5.7216331121336976</v>
      </c>
      <c r="EI20" s="1">
        <v>4.9414665540255225</v>
      </c>
      <c r="EJ20" s="1">
        <v>4.9213033290291452</v>
      </c>
      <c r="EK20" s="1">
        <v>5.2840675996031861</v>
      </c>
      <c r="EL20" s="1">
        <v>5.1890750336901696</v>
      </c>
      <c r="EM20" s="1">
        <v>5.0937625501988339</v>
      </c>
      <c r="EN20" s="1">
        <v>5.0500736759584335</v>
      </c>
      <c r="EO20" s="1">
        <v>4.9785714242812018</v>
      </c>
      <c r="EP20" s="1">
        <v>4.9367218889404878</v>
      </c>
      <c r="EQ20" s="86">
        <v>4.6303821190484111</v>
      </c>
      <c r="ER20" s="1">
        <v>4.6227668053622297</v>
      </c>
      <c r="ES20" s="1">
        <v>4.5680576303142688</v>
      </c>
      <c r="ET20" s="1">
        <v>4.5227838187201499</v>
      </c>
      <c r="EU20" s="1">
        <v>4.4789808034458964</v>
      </c>
      <c r="EV20" s="1">
        <v>4.3685028632698435</v>
      </c>
      <c r="EW20" s="1">
        <v>57582.474545454541</v>
      </c>
      <c r="EX20" s="1">
        <v>61072.075300261095</v>
      </c>
      <c r="EY20" s="1">
        <v>64907.877101827682</v>
      </c>
      <c r="EZ20" s="1">
        <v>69605.647859007833</v>
      </c>
      <c r="FA20" s="1">
        <v>73339.398903394263</v>
      </c>
      <c r="FB20" s="1">
        <v>76562.713785900778</v>
      </c>
      <c r="FC20" s="1">
        <v>80957.359785522785</v>
      </c>
      <c r="FD20" s="1">
        <v>87000.877617647056</v>
      </c>
      <c r="FE20" s="1">
        <v>93914.498053375195</v>
      </c>
      <c r="FF20" s="1">
        <v>87237.041467065865</v>
      </c>
      <c r="FG20" s="1">
        <v>87312.951896551735</v>
      </c>
      <c r="FH20" s="1">
        <v>86470.245122302164</v>
      </c>
      <c r="FI20" s="1">
        <v>87399.639711815573</v>
      </c>
      <c r="FJ20" s="1">
        <v>85833.207550432271</v>
      </c>
      <c r="FK20" s="1">
        <v>85328.950359712224</v>
      </c>
      <c r="FL20" s="1">
        <v>87039.569557522133</v>
      </c>
      <c r="FM20" s="1">
        <v>91292.20748114631</v>
      </c>
      <c r="FN20" s="1">
        <v>90146.67045045046</v>
      </c>
      <c r="FO20" s="1">
        <v>84527.013633633629</v>
      </c>
      <c r="FP20" s="1">
        <v>81721.733213213214</v>
      </c>
      <c r="FQ20" s="1">
        <v>81241.217912254171</v>
      </c>
      <c r="FR20" s="5">
        <v>9</v>
      </c>
      <c r="FS20" s="5">
        <v>28</v>
      </c>
      <c r="FT20" s="5">
        <v>9</v>
      </c>
      <c r="FU20" s="5">
        <v>24</v>
      </c>
      <c r="FV20" s="5">
        <v>41</v>
      </c>
      <c r="FW20" s="5">
        <v>5</v>
      </c>
    </row>
    <row r="21" spans="1:179" x14ac:dyDescent="0.2">
      <c r="A21" s="5">
        <v>19</v>
      </c>
      <c r="B21" s="6" t="s">
        <v>166</v>
      </c>
      <c r="C21" s="9">
        <v>8</v>
      </c>
      <c r="D21" s="9">
        <v>9</v>
      </c>
      <c r="E21" s="9">
        <v>10</v>
      </c>
      <c r="F21" s="9">
        <v>10</v>
      </c>
      <c r="G21" s="9">
        <v>10</v>
      </c>
      <c r="H21" s="9">
        <v>9</v>
      </c>
      <c r="I21" s="9">
        <v>10</v>
      </c>
      <c r="J21" s="9">
        <v>10</v>
      </c>
      <c r="K21" s="9">
        <v>10</v>
      </c>
      <c r="L21" s="8">
        <v>10</v>
      </c>
      <c r="M21" s="8">
        <v>10</v>
      </c>
      <c r="N21" s="8">
        <v>10</v>
      </c>
      <c r="O21" s="85">
        <v>10</v>
      </c>
      <c r="P21" s="85">
        <v>10</v>
      </c>
      <c r="Q21" s="9">
        <v>9</v>
      </c>
      <c r="R21" s="9">
        <v>8</v>
      </c>
      <c r="S21" s="9">
        <v>9</v>
      </c>
      <c r="T21" s="9">
        <v>9</v>
      </c>
      <c r="U21" s="9">
        <v>9</v>
      </c>
      <c r="V21" s="9">
        <v>9</v>
      </c>
      <c r="W21" s="1">
        <v>9</v>
      </c>
      <c r="X21" s="9">
        <v>69</v>
      </c>
      <c r="Y21" s="9">
        <v>92</v>
      </c>
      <c r="Z21" s="9">
        <v>104</v>
      </c>
      <c r="AA21" s="9">
        <v>142</v>
      </c>
      <c r="AB21" s="9">
        <v>140</v>
      </c>
      <c r="AC21" s="9">
        <v>140</v>
      </c>
      <c r="AD21" s="8">
        <v>135</v>
      </c>
      <c r="AE21" s="8">
        <v>140</v>
      </c>
      <c r="AF21" s="8">
        <v>132</v>
      </c>
      <c r="AG21" s="8">
        <v>129</v>
      </c>
      <c r="AH21" s="8">
        <v>129</v>
      </c>
      <c r="AI21" s="9">
        <v>129</v>
      </c>
      <c r="AJ21" s="9">
        <v>129</v>
      </c>
      <c r="AK21" s="9">
        <v>129</v>
      </c>
      <c r="AL21" s="9">
        <v>129</v>
      </c>
      <c r="AM21" s="9">
        <v>124</v>
      </c>
      <c r="AN21" s="9">
        <v>120</v>
      </c>
      <c r="AO21" s="9">
        <v>124</v>
      </c>
      <c r="AP21" s="9">
        <v>114</v>
      </c>
      <c r="AQ21" s="9">
        <v>113</v>
      </c>
      <c r="AR21" s="9">
        <v>114</v>
      </c>
      <c r="AS21" s="9">
        <v>114</v>
      </c>
      <c r="AT21" s="9">
        <v>1602.8158600000002</v>
      </c>
      <c r="AU21" s="8">
        <v>1791.5390199999999</v>
      </c>
      <c r="AV21" s="9">
        <v>2097.5069600000002</v>
      </c>
      <c r="AW21" s="8">
        <v>2424.0540499999997</v>
      </c>
      <c r="AX21" s="8">
        <v>2525.9869800000001</v>
      </c>
      <c r="AY21" s="8">
        <v>2589.97757</v>
      </c>
      <c r="AZ21" s="86">
        <v>2840.8336800000002</v>
      </c>
      <c r="BA21" s="9">
        <v>2934.9717599999999</v>
      </c>
      <c r="BB21" s="9">
        <v>3122.1810800000003</v>
      </c>
      <c r="BC21" s="9">
        <v>2923.64518</v>
      </c>
      <c r="BD21" s="9">
        <v>2917.1087299999999</v>
      </c>
      <c r="BE21" s="9">
        <v>2758.1421800000003</v>
      </c>
      <c r="BF21" s="9">
        <v>2728.1435000000001</v>
      </c>
      <c r="BG21" s="9">
        <v>2611.7992100000001</v>
      </c>
      <c r="BH21" s="9">
        <v>2673.4415299999996</v>
      </c>
      <c r="BI21" s="9">
        <v>2601.6833199999996</v>
      </c>
      <c r="BJ21" s="9">
        <v>2537.3044599999998</v>
      </c>
      <c r="BK21" s="9">
        <v>2637.9981699999998</v>
      </c>
      <c r="BL21" s="9">
        <v>2527.2169399999998</v>
      </c>
      <c r="BM21" s="1">
        <v>2469.2152099999998</v>
      </c>
      <c r="BN21" s="1">
        <v>2288.3300600000002</v>
      </c>
      <c r="BO21" s="1">
        <v>58823.215569999993</v>
      </c>
      <c r="BP21" s="1">
        <v>542.48520999999994</v>
      </c>
      <c r="BQ21" s="1">
        <v>610.15427</v>
      </c>
      <c r="BR21" s="9">
        <v>540.75112000000001</v>
      </c>
      <c r="BS21" s="9">
        <v>660.74407999999994</v>
      </c>
      <c r="BT21" s="9">
        <v>617.92247999999995</v>
      </c>
      <c r="BU21" s="9">
        <v>582.50532999999996</v>
      </c>
      <c r="BV21" s="9">
        <v>622.44020999999998</v>
      </c>
      <c r="BW21" s="9">
        <v>643.89137000000005</v>
      </c>
      <c r="BX21" s="9">
        <v>697.54453999999998</v>
      </c>
      <c r="BY21" s="9">
        <v>636.45143000000007</v>
      </c>
      <c r="BZ21" s="9">
        <v>636.06577000000004</v>
      </c>
      <c r="CA21" s="9">
        <v>588.1176999999999</v>
      </c>
      <c r="CB21" s="9">
        <v>591.80418000000009</v>
      </c>
      <c r="CC21" s="9">
        <v>565.95237999999995</v>
      </c>
      <c r="CD21" s="8">
        <v>580.43081999999993</v>
      </c>
      <c r="CE21" s="8">
        <v>563.92138</v>
      </c>
      <c r="CF21" s="8">
        <v>561.93626000000006</v>
      </c>
      <c r="CG21" s="8">
        <v>605.82481000000007</v>
      </c>
      <c r="CH21" s="8">
        <v>592.47451000000001</v>
      </c>
      <c r="CI21" s="8">
        <v>566.81588999999997</v>
      </c>
      <c r="CJ21" s="9">
        <v>512.04187000000002</v>
      </c>
      <c r="CK21" s="9">
        <v>14352.237259999998</v>
      </c>
      <c r="CL21" s="9">
        <v>253.33644449560006</v>
      </c>
      <c r="CM21" s="1">
        <v>281.38983976196164</v>
      </c>
      <c r="CN21" s="9">
        <v>326.41841636034081</v>
      </c>
      <c r="CO21" s="9">
        <v>373.65893589664233</v>
      </c>
      <c r="CP21" s="9">
        <v>388.04597381423861</v>
      </c>
      <c r="CQ21" s="9">
        <v>396.79966136689023</v>
      </c>
      <c r="CR21" s="9">
        <v>434.96479956584642</v>
      </c>
      <c r="CS21" s="9">
        <v>449.31596996846355</v>
      </c>
      <c r="CT21" s="9">
        <v>477.34447164556843</v>
      </c>
      <c r="CU21" s="9">
        <v>445.64098031524821</v>
      </c>
      <c r="CV21" s="9">
        <v>442.44624511066797</v>
      </c>
      <c r="CW21" s="9">
        <v>416.63069192693575</v>
      </c>
      <c r="CX21" s="9">
        <v>410.07400241365798</v>
      </c>
      <c r="CY21" s="9">
        <v>387.77635955864753</v>
      </c>
      <c r="CZ21" s="9">
        <v>388.91218208847971</v>
      </c>
      <c r="DA21" s="9">
        <v>369.52369876108571</v>
      </c>
      <c r="DB21" s="9">
        <v>352.32350924214541</v>
      </c>
      <c r="DC21" s="9">
        <v>358.70743657619909</v>
      </c>
      <c r="DD21" s="9">
        <v>339.25667401251434</v>
      </c>
      <c r="DE21" s="9">
        <v>328.91040413388578</v>
      </c>
      <c r="DF21" s="9">
        <v>301.97969245399707</v>
      </c>
      <c r="DG21" s="9">
        <v>85.743645120187992</v>
      </c>
      <c r="DH21" s="9">
        <v>95.834481051591425</v>
      </c>
      <c r="DI21" s="9">
        <v>84.152819323889446</v>
      </c>
      <c r="DJ21" s="1">
        <v>101.85124784358911</v>
      </c>
      <c r="DK21" s="1">
        <v>94.926194153743964</v>
      </c>
      <c r="DL21" s="1">
        <v>89.243212128824979</v>
      </c>
      <c r="DM21" s="1">
        <v>95.302862357071646</v>
      </c>
      <c r="DN21" s="1">
        <v>98.573580641836529</v>
      </c>
      <c r="DO21" s="1">
        <v>106.64629032200499</v>
      </c>
      <c r="DP21" s="1">
        <v>97.012059167946504</v>
      </c>
      <c r="DQ21" s="1">
        <v>96.473919084917256</v>
      </c>
      <c r="DR21" s="1">
        <v>88.838017873856671</v>
      </c>
      <c r="DS21" s="1">
        <v>88.955551178936489</v>
      </c>
      <c r="DT21" s="1">
        <v>84.027498270034442</v>
      </c>
      <c r="DU21" s="1">
        <v>84.436713586029157</v>
      </c>
      <c r="DV21" s="1">
        <v>80.095187814040244</v>
      </c>
      <c r="DW21" s="1">
        <v>78.029010004422815</v>
      </c>
      <c r="DX21" s="1">
        <v>82.378322729982372</v>
      </c>
      <c r="DY21" s="1">
        <v>79.534498411439969</v>
      </c>
      <c r="DZ21" s="1">
        <v>75.502387436455223</v>
      </c>
      <c r="EA21" s="1">
        <v>67.571653726460042</v>
      </c>
      <c r="EB21" s="1">
        <v>14.470228369166586</v>
      </c>
      <c r="EC21" s="1">
        <v>16.31213869272408</v>
      </c>
      <c r="ED21" s="1">
        <v>21.927028104294983</v>
      </c>
      <c r="EE21" s="1">
        <v>21.542895543523294</v>
      </c>
      <c r="EF21" s="1">
        <v>21.471250989319859</v>
      </c>
      <c r="EG21" s="1">
        <v>20.66119846430589</v>
      </c>
      <c r="EH21" s="1">
        <v>21.444848525269961</v>
      </c>
      <c r="EI21" s="1">
        <v>20.196447291388949</v>
      </c>
      <c r="EJ21" s="1">
        <v>19.707726495047527</v>
      </c>
      <c r="EK21" s="1">
        <v>19.618510983108997</v>
      </c>
      <c r="EL21" s="1">
        <v>19.513371253041168</v>
      </c>
      <c r="EM21" s="1">
        <v>19.458850580421984</v>
      </c>
      <c r="EN21" s="1">
        <v>19.322249203301308</v>
      </c>
      <c r="EO21" s="1">
        <v>18.986208539148397</v>
      </c>
      <c r="EP21" s="1">
        <v>17.831723215606331</v>
      </c>
      <c r="EQ21" s="86">
        <v>16.836478813734786</v>
      </c>
      <c r="ER21" s="1">
        <v>17.042602432298882</v>
      </c>
      <c r="ES21" s="1">
        <v>15.338102301676379</v>
      </c>
      <c r="ET21" s="1">
        <v>15.135111590588332</v>
      </c>
      <c r="EU21" s="1">
        <v>15.102472988793007</v>
      </c>
      <c r="EV21" s="1">
        <v>14.986019260676542</v>
      </c>
      <c r="EW21" s="1">
        <v>19910.756024844723</v>
      </c>
      <c r="EX21" s="1">
        <v>18281.010408163267</v>
      </c>
      <c r="EY21" s="1">
        <v>17052.902113821139</v>
      </c>
      <c r="EZ21" s="1">
        <v>17191.872695035461</v>
      </c>
      <c r="FA21" s="1">
        <v>18042.764142857144</v>
      </c>
      <c r="FB21" s="1">
        <v>18836.200509090908</v>
      </c>
      <c r="FC21" s="1">
        <v>20660.608581818182</v>
      </c>
      <c r="FD21" s="1">
        <v>21580.674705882353</v>
      </c>
      <c r="FE21" s="1">
        <v>23924.759233716475</v>
      </c>
      <c r="FF21" s="1">
        <v>22663.91612403101</v>
      </c>
      <c r="FG21" s="1">
        <v>22613.245968992247</v>
      </c>
      <c r="FH21" s="1">
        <v>21380.947131782948</v>
      </c>
      <c r="FI21" s="1">
        <v>21148.399224806202</v>
      </c>
      <c r="FJ21" s="1">
        <v>20246.505503875967</v>
      </c>
      <c r="FK21" s="1">
        <v>21133.925138339921</v>
      </c>
      <c r="FL21" s="1">
        <v>21325.273114754098</v>
      </c>
      <c r="FM21" s="1">
        <v>20797.577540983606</v>
      </c>
      <c r="FN21" s="1">
        <v>22168.051848739495</v>
      </c>
      <c r="FO21" s="1">
        <v>22266.228546255505</v>
      </c>
      <c r="FP21" s="1">
        <v>21755.200088105728</v>
      </c>
      <c r="FQ21" s="1">
        <v>20073.070701754386</v>
      </c>
      <c r="FR21" s="5">
        <v>38</v>
      </c>
      <c r="FS21" s="5">
        <v>33</v>
      </c>
      <c r="FT21" s="5">
        <v>39</v>
      </c>
      <c r="FU21" s="5">
        <v>36</v>
      </c>
      <c r="FV21" s="5">
        <v>9</v>
      </c>
      <c r="FW21" s="5">
        <v>39</v>
      </c>
    </row>
    <row r="22" spans="1:179" x14ac:dyDescent="0.2">
      <c r="A22" s="5">
        <v>20</v>
      </c>
      <c r="B22" s="6" t="s">
        <v>162</v>
      </c>
      <c r="C22" s="9">
        <v>9</v>
      </c>
      <c r="D22" s="9">
        <v>9</v>
      </c>
      <c r="E22" s="9">
        <v>8</v>
      </c>
      <c r="F22" s="9">
        <v>9</v>
      </c>
      <c r="G22" s="9">
        <v>9</v>
      </c>
      <c r="H22" s="9">
        <v>9</v>
      </c>
      <c r="I22" s="9">
        <v>8</v>
      </c>
      <c r="J22" s="9">
        <v>8</v>
      </c>
      <c r="K22" s="9">
        <v>8</v>
      </c>
      <c r="L22" s="8">
        <v>7</v>
      </c>
      <c r="M22" s="8">
        <v>7</v>
      </c>
      <c r="N22" s="8">
        <v>7</v>
      </c>
      <c r="O22" s="85">
        <v>7</v>
      </c>
      <c r="P22" s="85">
        <v>7</v>
      </c>
      <c r="Q22" s="9">
        <v>7</v>
      </c>
      <c r="R22" s="9">
        <v>7</v>
      </c>
      <c r="S22" s="9">
        <v>7</v>
      </c>
      <c r="T22" s="9">
        <v>7</v>
      </c>
      <c r="U22" s="9">
        <v>7</v>
      </c>
      <c r="V22" s="9">
        <v>7</v>
      </c>
      <c r="W22" s="1">
        <v>6</v>
      </c>
      <c r="X22" s="9">
        <v>188</v>
      </c>
      <c r="Y22" s="9">
        <v>277</v>
      </c>
      <c r="Z22" s="9">
        <v>277</v>
      </c>
      <c r="AA22" s="9">
        <v>270</v>
      </c>
      <c r="AB22" s="9">
        <v>280</v>
      </c>
      <c r="AC22" s="9">
        <v>280</v>
      </c>
      <c r="AD22" s="8">
        <v>280</v>
      </c>
      <c r="AE22" s="8">
        <v>233</v>
      </c>
      <c r="AF22" s="8">
        <v>224</v>
      </c>
      <c r="AG22" s="8">
        <v>227</v>
      </c>
      <c r="AH22" s="8">
        <v>226</v>
      </c>
      <c r="AI22" s="9">
        <v>226</v>
      </c>
      <c r="AJ22" s="9">
        <v>226</v>
      </c>
      <c r="AK22" s="9">
        <v>224</v>
      </c>
      <c r="AL22" s="9">
        <v>219</v>
      </c>
      <c r="AM22" s="9">
        <v>219</v>
      </c>
      <c r="AN22" s="9">
        <v>219</v>
      </c>
      <c r="AO22" s="9">
        <v>219</v>
      </c>
      <c r="AP22" s="9">
        <v>219</v>
      </c>
      <c r="AQ22" s="9">
        <v>219</v>
      </c>
      <c r="AR22" s="9">
        <v>219</v>
      </c>
      <c r="AS22" s="9">
        <v>211</v>
      </c>
      <c r="AT22" s="9">
        <v>7589.1462499999998</v>
      </c>
      <c r="AU22" s="8">
        <v>10260.117450000002</v>
      </c>
      <c r="AV22" s="9">
        <v>10682.29407</v>
      </c>
      <c r="AW22" s="8">
        <v>12614.25353</v>
      </c>
      <c r="AX22" s="8">
        <v>14202.456109999999</v>
      </c>
      <c r="AY22" s="8">
        <v>14973.578680000001</v>
      </c>
      <c r="AZ22" s="86">
        <v>14895.224029999999</v>
      </c>
      <c r="BA22" s="9">
        <v>14505.57222</v>
      </c>
      <c r="BB22" s="9">
        <v>16735.330139999998</v>
      </c>
      <c r="BC22" s="9">
        <v>16115.007600000001</v>
      </c>
      <c r="BD22" s="9">
        <v>16157.922149999999</v>
      </c>
      <c r="BE22" s="9">
        <v>16702.108789999998</v>
      </c>
      <c r="BF22" s="9">
        <v>16200.815930000001</v>
      </c>
      <c r="BG22" s="9">
        <v>16639.79912</v>
      </c>
      <c r="BH22" s="9">
        <v>16055.92498</v>
      </c>
      <c r="BI22" s="9">
        <v>15556.53226</v>
      </c>
      <c r="BJ22" s="9">
        <v>15169.327929999999</v>
      </c>
      <c r="BK22" s="9">
        <v>14670.79926</v>
      </c>
      <c r="BL22" s="9">
        <v>14095.20342</v>
      </c>
      <c r="BM22" s="1">
        <v>13705.59498</v>
      </c>
      <c r="BN22" s="1">
        <v>13658.885410000001</v>
      </c>
      <c r="BO22" s="1">
        <v>322554.25666999997</v>
      </c>
      <c r="BP22" s="1">
        <v>3246.4238599999999</v>
      </c>
      <c r="BQ22" s="1">
        <v>4431.5804600000001</v>
      </c>
      <c r="BR22" s="9">
        <v>3692.1237799999999</v>
      </c>
      <c r="BS22" s="9">
        <v>4457.6353600000002</v>
      </c>
      <c r="BT22" s="9">
        <v>5233.9126999999999</v>
      </c>
      <c r="BU22" s="9">
        <v>5868.5253400000001</v>
      </c>
      <c r="BV22" s="9">
        <v>5809.0596299999997</v>
      </c>
      <c r="BW22" s="9">
        <v>5630.9807500000006</v>
      </c>
      <c r="BX22" s="9">
        <v>6767.4088199999987</v>
      </c>
      <c r="BY22" s="9">
        <v>6512.9047099999989</v>
      </c>
      <c r="BZ22" s="9">
        <v>6537.6646499999997</v>
      </c>
      <c r="CA22" s="9">
        <v>6920.4868000000006</v>
      </c>
      <c r="CB22" s="9">
        <v>6662.23279</v>
      </c>
      <c r="CC22" s="9">
        <v>6845.2932799999999</v>
      </c>
      <c r="CD22" s="8">
        <v>6508.4501600000003</v>
      </c>
      <c r="CE22" s="8">
        <v>6249.9953100000002</v>
      </c>
      <c r="CF22" s="8">
        <v>5990.1026600000005</v>
      </c>
      <c r="CG22" s="8">
        <v>5479.7602900000002</v>
      </c>
      <c r="CH22" s="8">
        <v>5211.4778900000001</v>
      </c>
      <c r="CI22" s="8">
        <v>5104.1570900000006</v>
      </c>
      <c r="CJ22" s="9">
        <v>5107.3452699999998</v>
      </c>
      <c r="CK22" s="9">
        <v>126075.05439000002</v>
      </c>
      <c r="CL22" s="9">
        <v>93.524381410017057</v>
      </c>
      <c r="CM22" s="1">
        <v>125.63968213121775</v>
      </c>
      <c r="CN22" s="9">
        <v>130.09214647386327</v>
      </c>
      <c r="CO22" s="9">
        <v>152.77784598775835</v>
      </c>
      <c r="CP22" s="9">
        <v>171.05742014788603</v>
      </c>
      <c r="CQ22" s="9">
        <v>179.40395616285775</v>
      </c>
      <c r="CR22" s="9">
        <v>177.57465193566276</v>
      </c>
      <c r="CS22" s="9">
        <v>171.97495979186331</v>
      </c>
      <c r="CT22" s="9">
        <v>197.40261212247714</v>
      </c>
      <c r="CU22" s="9">
        <v>189.28185662799345</v>
      </c>
      <c r="CV22" s="9">
        <v>188.77557926893286</v>
      </c>
      <c r="CW22" s="9">
        <v>194.13962363881404</v>
      </c>
      <c r="CX22" s="9">
        <v>187.86733190469425</v>
      </c>
      <c r="CY22" s="9">
        <v>192.46547560779555</v>
      </c>
      <c r="CZ22" s="9">
        <v>185.12471958449441</v>
      </c>
      <c r="DA22" s="9">
        <v>178.79680486736612</v>
      </c>
      <c r="DB22" s="9">
        <v>173.75631854925476</v>
      </c>
      <c r="DC22" s="9">
        <v>167.50774597156985</v>
      </c>
      <c r="DD22" s="9">
        <v>160.19574028264856</v>
      </c>
      <c r="DE22" s="9">
        <v>154.89598354573783</v>
      </c>
      <c r="DF22" s="9">
        <v>153.52738076419104</v>
      </c>
      <c r="DG22" s="9">
        <v>40.007106636167386</v>
      </c>
      <c r="DH22" s="9">
        <v>54.266665371683018</v>
      </c>
      <c r="DI22" s="9">
        <v>44.963778795072407</v>
      </c>
      <c r="DJ22" s="1">
        <v>53.988761751141517</v>
      </c>
      <c r="DK22" s="1">
        <v>63.03836440732762</v>
      </c>
      <c r="DL22" s="1">
        <v>70.312961606448781</v>
      </c>
      <c r="DM22" s="1">
        <v>69.253187450767058</v>
      </c>
      <c r="DN22" s="1">
        <v>66.759702642741132</v>
      </c>
      <c r="DO22" s="1">
        <v>79.825385408781088</v>
      </c>
      <c r="DP22" s="1">
        <v>76.498548815453418</v>
      </c>
      <c r="DQ22" s="1">
        <v>76.380577893165253</v>
      </c>
      <c r="DR22" s="1">
        <v>80.441381363399728</v>
      </c>
      <c r="DS22" s="1">
        <v>77.25634956863972</v>
      </c>
      <c r="DT22" s="1">
        <v>79.176594459395545</v>
      </c>
      <c r="DU22" s="1">
        <v>75.042391659185355</v>
      </c>
      <c r="DV22" s="1">
        <v>71.83343776024951</v>
      </c>
      <c r="DW22" s="1">
        <v>68.613335458013154</v>
      </c>
      <c r="DX22" s="1">
        <v>62.566618108195421</v>
      </c>
      <c r="DY22" s="1">
        <v>59.229833985269671</v>
      </c>
      <c r="DZ22" s="1">
        <v>57.685451363564312</v>
      </c>
      <c r="EA22" s="1">
        <v>57.407124990404327</v>
      </c>
      <c r="EB22" s="1">
        <v>3.4005313243164195</v>
      </c>
      <c r="EC22" s="1">
        <v>3.3834868520802304</v>
      </c>
      <c r="ED22" s="1">
        <v>3.278355220938113</v>
      </c>
      <c r="EE22" s="1">
        <v>3.3827210555252458</v>
      </c>
      <c r="EF22" s="1">
        <v>3.3621017962376381</v>
      </c>
      <c r="EG22" s="1">
        <v>3.3474960676719929</v>
      </c>
      <c r="EH22" s="1">
        <v>2.7699071096386301</v>
      </c>
      <c r="EI22" s="1">
        <v>2.6485161645240209</v>
      </c>
      <c r="EJ22" s="1">
        <v>2.6712278568660688</v>
      </c>
      <c r="EK22" s="1">
        <v>2.6496090692779535</v>
      </c>
      <c r="EL22" s="1">
        <v>2.6312428334338946</v>
      </c>
      <c r="EM22" s="1">
        <v>2.6226652139777782</v>
      </c>
      <c r="EN22" s="1">
        <v>2.5956288755920975</v>
      </c>
      <c r="EO22" s="1">
        <v>2.5284856102027709</v>
      </c>
      <c r="EP22" s="1">
        <v>2.5216610089072113</v>
      </c>
      <c r="EQ22" s="86">
        <v>2.5124469516390189</v>
      </c>
      <c r="ER22" s="1">
        <v>2.5046146712736048</v>
      </c>
      <c r="ES22" s="1">
        <v>2.4963801860307346</v>
      </c>
      <c r="ET22" s="1">
        <v>2.4816500360539209</v>
      </c>
      <c r="EU22" s="1">
        <v>2.4685121991580958</v>
      </c>
      <c r="EV22" s="1">
        <v>2.3650257386539022</v>
      </c>
      <c r="EW22" s="1">
        <v>32641.489247311827</v>
      </c>
      <c r="EX22" s="1">
        <v>37040.13519855596</v>
      </c>
      <c r="EY22" s="1">
        <v>39057.747970749544</v>
      </c>
      <c r="EZ22" s="1">
        <v>45870.012836363632</v>
      </c>
      <c r="FA22" s="1">
        <v>50723.057535714281</v>
      </c>
      <c r="FB22" s="1">
        <v>53477.066714285713</v>
      </c>
      <c r="FC22" s="1">
        <v>58071.04884990253</v>
      </c>
      <c r="FD22" s="1">
        <v>63481.716498905909</v>
      </c>
      <c r="FE22" s="1">
        <v>74214.324345898</v>
      </c>
      <c r="FF22" s="1">
        <v>71147.936423841064</v>
      </c>
      <c r="FG22" s="1">
        <v>71495.230752212388</v>
      </c>
      <c r="FH22" s="1">
        <v>73903.136238938052</v>
      </c>
      <c r="FI22" s="1">
        <v>72003.626355555563</v>
      </c>
      <c r="FJ22" s="1">
        <v>75123.246591422125</v>
      </c>
      <c r="FK22" s="1">
        <v>73314.725936073068</v>
      </c>
      <c r="FL22" s="1">
        <v>71034.393881278535</v>
      </c>
      <c r="FM22" s="1">
        <v>69266.337579908679</v>
      </c>
      <c r="FN22" s="1">
        <v>66989.950958904112</v>
      </c>
      <c r="FO22" s="1">
        <v>64361.659452054795</v>
      </c>
      <c r="FP22" s="1">
        <v>62582.625479452057</v>
      </c>
      <c r="FQ22" s="1">
        <v>63529.699581395347</v>
      </c>
      <c r="FR22" s="5">
        <v>16</v>
      </c>
      <c r="FS22" s="5">
        <v>41</v>
      </c>
      <c r="FT22" s="5">
        <v>16</v>
      </c>
      <c r="FU22" s="5">
        <v>37</v>
      </c>
      <c r="FV22" s="5">
        <v>43</v>
      </c>
      <c r="FW22" s="5">
        <v>10</v>
      </c>
    </row>
    <row r="23" spans="1:179" x14ac:dyDescent="0.2">
      <c r="A23" s="5">
        <v>21</v>
      </c>
      <c r="B23" s="6" t="s">
        <v>196</v>
      </c>
      <c r="C23" s="9">
        <v>11</v>
      </c>
      <c r="D23" s="9">
        <v>11</v>
      </c>
      <c r="E23" s="9">
        <v>11</v>
      </c>
      <c r="F23" s="9">
        <v>11</v>
      </c>
      <c r="G23" s="9">
        <v>12</v>
      </c>
      <c r="H23" s="9">
        <v>12</v>
      </c>
      <c r="I23" s="9">
        <v>12</v>
      </c>
      <c r="J23" s="9">
        <v>12</v>
      </c>
      <c r="K23" s="9">
        <v>12</v>
      </c>
      <c r="L23" s="8">
        <v>12</v>
      </c>
      <c r="M23" s="8">
        <v>12</v>
      </c>
      <c r="N23" s="8">
        <v>12</v>
      </c>
      <c r="O23" s="85">
        <v>12</v>
      </c>
      <c r="P23" s="85">
        <v>12</v>
      </c>
      <c r="Q23" s="9">
        <v>12</v>
      </c>
      <c r="R23" s="9">
        <v>12</v>
      </c>
      <c r="S23" s="9">
        <v>12</v>
      </c>
      <c r="T23" s="9">
        <v>11</v>
      </c>
      <c r="U23" s="9">
        <v>10</v>
      </c>
      <c r="V23" s="9">
        <v>10</v>
      </c>
      <c r="W23" s="1">
        <v>10</v>
      </c>
      <c r="X23" s="9">
        <v>213</v>
      </c>
      <c r="Y23" s="9">
        <v>221</v>
      </c>
      <c r="Z23" s="9">
        <v>252</v>
      </c>
      <c r="AA23" s="9">
        <v>253</v>
      </c>
      <c r="AB23" s="9">
        <v>253</v>
      </c>
      <c r="AC23" s="9">
        <v>293</v>
      </c>
      <c r="AD23" s="8">
        <v>293</v>
      </c>
      <c r="AE23" s="8">
        <v>293</v>
      </c>
      <c r="AF23" s="8">
        <v>248</v>
      </c>
      <c r="AG23" s="8">
        <v>249</v>
      </c>
      <c r="AH23" s="8">
        <v>249</v>
      </c>
      <c r="AI23" s="9">
        <v>249</v>
      </c>
      <c r="AJ23" s="9">
        <v>253</v>
      </c>
      <c r="AK23" s="9">
        <v>253</v>
      </c>
      <c r="AL23" s="9">
        <v>253</v>
      </c>
      <c r="AM23" s="9">
        <v>253</v>
      </c>
      <c r="AN23" s="9">
        <v>253</v>
      </c>
      <c r="AO23" s="9">
        <v>243</v>
      </c>
      <c r="AP23" s="9">
        <v>233</v>
      </c>
      <c r="AQ23" s="9">
        <v>233</v>
      </c>
      <c r="AR23" s="9">
        <v>235</v>
      </c>
      <c r="AS23" s="9">
        <v>235</v>
      </c>
      <c r="AT23" s="9">
        <v>6442.36636</v>
      </c>
      <c r="AU23" s="8">
        <v>7090.0302099999999</v>
      </c>
      <c r="AV23" s="9">
        <v>7627.41525</v>
      </c>
      <c r="AW23" s="8">
        <v>7896.4713099999999</v>
      </c>
      <c r="AX23" s="8">
        <v>8628.2255999999998</v>
      </c>
      <c r="AY23" s="8">
        <v>9494.4112800000003</v>
      </c>
      <c r="AZ23" s="86">
        <v>9800.9172899999994</v>
      </c>
      <c r="BA23" s="9">
        <v>10225.07452</v>
      </c>
      <c r="BB23" s="9">
        <v>10543.749980000001</v>
      </c>
      <c r="BC23" s="9">
        <v>10163.083350000001</v>
      </c>
      <c r="BD23" s="9">
        <v>10185.398280000001</v>
      </c>
      <c r="BE23" s="9">
        <v>9818.9387399999996</v>
      </c>
      <c r="BF23" s="9">
        <v>10559.23589</v>
      </c>
      <c r="BG23" s="9">
        <v>10789.199219999999</v>
      </c>
      <c r="BH23" s="9">
        <v>10718.583040000001</v>
      </c>
      <c r="BI23" s="9">
        <v>10642.99548</v>
      </c>
      <c r="BJ23" s="9">
        <v>10624.12959</v>
      </c>
      <c r="BK23" s="9">
        <v>10522.91842</v>
      </c>
      <c r="BL23" s="9">
        <v>9458.3110899999992</v>
      </c>
      <c r="BM23" s="1">
        <v>9333.8330100000003</v>
      </c>
      <c r="BN23" s="1">
        <v>9389.0046299999995</v>
      </c>
      <c r="BO23" s="1">
        <v>217816.43877000004</v>
      </c>
      <c r="BP23" s="1">
        <v>2655.5987400000004</v>
      </c>
      <c r="BQ23" s="1">
        <v>2956.4607999999998</v>
      </c>
      <c r="BR23" s="9">
        <v>2546.6193800000001</v>
      </c>
      <c r="BS23" s="9">
        <v>2655.1997799999999</v>
      </c>
      <c r="BT23" s="9">
        <v>2823.6327000000006</v>
      </c>
      <c r="BU23" s="9">
        <v>3140.13672</v>
      </c>
      <c r="BV23" s="9">
        <v>3257.25677</v>
      </c>
      <c r="BW23" s="9">
        <v>3447.8846899999999</v>
      </c>
      <c r="BX23" s="9">
        <v>3594.2253000000001</v>
      </c>
      <c r="BY23" s="9">
        <v>3417.34602</v>
      </c>
      <c r="BZ23" s="9">
        <v>3506.2221100000002</v>
      </c>
      <c r="CA23" s="9">
        <v>3365.0863200000003</v>
      </c>
      <c r="CB23" s="9">
        <v>3737.01478</v>
      </c>
      <c r="CC23" s="9">
        <v>3836.3772299999996</v>
      </c>
      <c r="CD23" s="8">
        <v>3833.2278199999996</v>
      </c>
      <c r="CE23" s="8">
        <v>3835.2853400000004</v>
      </c>
      <c r="CF23" s="8">
        <v>3848.4614000000001</v>
      </c>
      <c r="CG23" s="8">
        <v>3763.0660600000001</v>
      </c>
      <c r="CH23" s="8">
        <v>3322.76116</v>
      </c>
      <c r="CI23" s="8">
        <v>3297.3397999999997</v>
      </c>
      <c r="CJ23" s="9">
        <v>3349.3314099999998</v>
      </c>
      <c r="CK23" s="9">
        <v>76688.658959999986</v>
      </c>
      <c r="CL23" s="9">
        <v>408.7683955167858</v>
      </c>
      <c r="CM23" s="1">
        <v>438.26281460386241</v>
      </c>
      <c r="CN23" s="9">
        <v>458.44817869431324</v>
      </c>
      <c r="CO23" s="9">
        <v>460.32495373655809</v>
      </c>
      <c r="CP23" s="9">
        <v>486.1724914197307</v>
      </c>
      <c r="CQ23" s="9">
        <v>517.44235166172325</v>
      </c>
      <c r="CR23" s="9">
        <v>516.31798519225651</v>
      </c>
      <c r="CS23" s="9">
        <v>521.98278029931907</v>
      </c>
      <c r="CT23" s="9">
        <v>523.92384181915668</v>
      </c>
      <c r="CU23" s="9">
        <v>491.76469947966586</v>
      </c>
      <c r="CV23" s="9">
        <v>479.56022031054243</v>
      </c>
      <c r="CW23" s="9">
        <v>450.85447363105226</v>
      </c>
      <c r="CX23" s="9">
        <v>475.35290892836343</v>
      </c>
      <c r="CY23" s="9">
        <v>475.24854860075152</v>
      </c>
      <c r="CZ23" s="9">
        <v>460.55893632485521</v>
      </c>
      <c r="DA23" s="9">
        <v>445.45454546632953</v>
      </c>
      <c r="DB23" s="9">
        <v>431.60519533049279</v>
      </c>
      <c r="DC23" s="9">
        <v>415.79320987809336</v>
      </c>
      <c r="DD23" s="9">
        <v>364.45123842223649</v>
      </c>
      <c r="DE23" s="9">
        <v>351.22015424183166</v>
      </c>
      <c r="DF23" s="9">
        <v>345.08149907575006</v>
      </c>
      <c r="DG23" s="9">
        <v>168.49784309475348</v>
      </c>
      <c r="DH23" s="9">
        <v>182.75053745842737</v>
      </c>
      <c r="DI23" s="9">
        <v>153.06535416288514</v>
      </c>
      <c r="DJ23" s="1">
        <v>154.78492454496353</v>
      </c>
      <c r="DK23" s="1">
        <v>159.1025325778711</v>
      </c>
      <c r="DL23" s="1">
        <v>171.13643816535088</v>
      </c>
      <c r="DM23" s="1">
        <v>171.5941684821868</v>
      </c>
      <c r="DN23" s="1">
        <v>176.01206065710471</v>
      </c>
      <c r="DO23" s="1">
        <v>178.59872731348767</v>
      </c>
      <c r="DP23" s="1">
        <v>165.35632747155734</v>
      </c>
      <c r="DQ23" s="1">
        <v>165.08383877643465</v>
      </c>
      <c r="DR23" s="1">
        <v>154.51407343505383</v>
      </c>
      <c r="DS23" s="1">
        <v>168.23195019855626</v>
      </c>
      <c r="DT23" s="1">
        <v>168.98684260670009</v>
      </c>
      <c r="DU23" s="1">
        <v>164.7071558695545</v>
      </c>
      <c r="DV23" s="1">
        <v>160.52297410760315</v>
      </c>
      <c r="DW23" s="1">
        <v>156.34371928522964</v>
      </c>
      <c r="DX23" s="1">
        <v>148.69043487944381</v>
      </c>
      <c r="DY23" s="1">
        <v>128.03389613856604</v>
      </c>
      <c r="DZ23" s="1">
        <v>124.07466384956574</v>
      </c>
      <c r="EA23" s="1">
        <v>123.10062135567354</v>
      </c>
      <c r="EB23" s="1">
        <v>13.872710068482871</v>
      </c>
      <c r="EC23" s="1">
        <v>15.342843239169438</v>
      </c>
      <c r="ED23" s="1">
        <v>15.01454015735276</v>
      </c>
      <c r="EE23" s="1">
        <v>14.491994046212959</v>
      </c>
      <c r="EF23" s="1">
        <v>16.244757132148827</v>
      </c>
      <c r="EG23" s="1">
        <v>15.701298983090357</v>
      </c>
      <c r="EH23" s="1">
        <v>15.178374897595635</v>
      </c>
      <c r="EI23" s="1">
        <v>12.478587795134922</v>
      </c>
      <c r="EJ23" s="1">
        <v>12.220782972321198</v>
      </c>
      <c r="EK23" s="1">
        <v>11.88091143607733</v>
      </c>
      <c r="EL23" s="1">
        <v>11.570583481662498</v>
      </c>
      <c r="EM23" s="1">
        <v>11.480727948929321</v>
      </c>
      <c r="EN23" s="1">
        <v>11.299685987092705</v>
      </c>
      <c r="EO23" s="1">
        <v>10.993095294527077</v>
      </c>
      <c r="EP23" s="1">
        <v>10.751531299034385</v>
      </c>
      <c r="EQ23" s="86">
        <v>10.431550383853402</v>
      </c>
      <c r="ER23" s="1">
        <v>9.7287826758269844</v>
      </c>
      <c r="ES23" s="1">
        <v>9.0878300843832207</v>
      </c>
      <c r="ET23" s="1">
        <v>8.8708799277295984</v>
      </c>
      <c r="EU23" s="1">
        <v>8.7408744941012877</v>
      </c>
      <c r="EV23" s="1">
        <v>8.5358398230606944</v>
      </c>
      <c r="EW23" s="1">
        <v>29688.324239631336</v>
      </c>
      <c r="EX23" s="1">
        <v>29978.986088794925</v>
      </c>
      <c r="EY23" s="1">
        <v>30207.585148514852</v>
      </c>
      <c r="EZ23" s="1">
        <v>31211.349051383397</v>
      </c>
      <c r="FA23" s="1">
        <v>31605.221978021978</v>
      </c>
      <c r="FB23" s="1">
        <v>32404.134061433451</v>
      </c>
      <c r="FC23" s="1">
        <v>33450.229658703065</v>
      </c>
      <c r="FD23" s="1">
        <v>37800.645175600737</v>
      </c>
      <c r="FE23" s="1">
        <v>42429.577384305834</v>
      </c>
      <c r="FF23" s="1">
        <v>40815.595783132536</v>
      </c>
      <c r="FG23" s="1">
        <v>40905.213975903622</v>
      </c>
      <c r="FH23" s="1">
        <v>39119.277848605576</v>
      </c>
      <c r="FI23" s="1">
        <v>41736.110237154149</v>
      </c>
      <c r="FJ23" s="1">
        <v>42645.05620553359</v>
      </c>
      <c r="FK23" s="1">
        <v>42365.940869565224</v>
      </c>
      <c r="FL23" s="1">
        <v>42067.175810276683</v>
      </c>
      <c r="FM23" s="1">
        <v>42839.232217741934</v>
      </c>
      <c r="FN23" s="1">
        <v>44213.942941176472</v>
      </c>
      <c r="FO23" s="1">
        <v>40593.609828326182</v>
      </c>
      <c r="FP23" s="1">
        <v>39888.175256410257</v>
      </c>
      <c r="FQ23" s="1">
        <v>39953.211191489354</v>
      </c>
      <c r="FR23" s="5">
        <v>20</v>
      </c>
      <c r="FS23" s="5">
        <v>30</v>
      </c>
      <c r="FT23" s="5">
        <v>20</v>
      </c>
      <c r="FU23" s="5">
        <v>27</v>
      </c>
      <c r="FV23" s="5">
        <v>29</v>
      </c>
      <c r="FW23" s="5">
        <v>22</v>
      </c>
    </row>
    <row r="24" spans="1:179" x14ac:dyDescent="0.2">
      <c r="A24" s="5">
        <v>22</v>
      </c>
      <c r="B24" s="6" t="s">
        <v>163</v>
      </c>
      <c r="C24" s="9">
        <v>13</v>
      </c>
      <c r="D24" s="9">
        <v>14</v>
      </c>
      <c r="E24" s="9">
        <v>15</v>
      </c>
      <c r="F24" s="9">
        <v>15</v>
      </c>
      <c r="G24" s="9">
        <v>15</v>
      </c>
      <c r="H24" s="9">
        <v>15</v>
      </c>
      <c r="I24" s="9">
        <v>15</v>
      </c>
      <c r="J24" s="9">
        <v>15</v>
      </c>
      <c r="K24" s="9">
        <v>15</v>
      </c>
      <c r="L24" s="8">
        <v>14</v>
      </c>
      <c r="M24" s="8">
        <v>14</v>
      </c>
      <c r="N24" s="8">
        <v>14</v>
      </c>
      <c r="O24" s="85">
        <v>14</v>
      </c>
      <c r="P24" s="85">
        <v>14</v>
      </c>
      <c r="Q24" s="9">
        <v>14</v>
      </c>
      <c r="R24" s="9">
        <v>13</v>
      </c>
      <c r="S24" s="9">
        <v>14</v>
      </c>
      <c r="T24" s="9">
        <v>14</v>
      </c>
      <c r="U24" s="9">
        <v>14</v>
      </c>
      <c r="V24" s="9">
        <v>13</v>
      </c>
      <c r="W24" s="1">
        <v>13</v>
      </c>
      <c r="X24" s="9">
        <v>350</v>
      </c>
      <c r="Y24" s="9">
        <v>369</v>
      </c>
      <c r="Z24" s="9">
        <v>419</v>
      </c>
      <c r="AA24" s="9">
        <v>454</v>
      </c>
      <c r="AB24" s="9">
        <v>455</v>
      </c>
      <c r="AC24" s="9">
        <v>455</v>
      </c>
      <c r="AD24" s="8">
        <v>455</v>
      </c>
      <c r="AE24" s="8">
        <v>411</v>
      </c>
      <c r="AF24" s="8">
        <v>388</v>
      </c>
      <c r="AG24" s="8">
        <v>388</v>
      </c>
      <c r="AH24" s="8">
        <v>369</v>
      </c>
      <c r="AI24" s="9">
        <v>369</v>
      </c>
      <c r="AJ24" s="9">
        <v>368</v>
      </c>
      <c r="AK24" s="9">
        <v>368</v>
      </c>
      <c r="AL24" s="9">
        <v>368</v>
      </c>
      <c r="AM24" s="9">
        <v>368</v>
      </c>
      <c r="AN24" s="9">
        <v>359</v>
      </c>
      <c r="AO24" s="9">
        <v>363</v>
      </c>
      <c r="AP24" s="9">
        <v>360</v>
      </c>
      <c r="AQ24" s="9">
        <v>359</v>
      </c>
      <c r="AR24" s="9">
        <v>354</v>
      </c>
      <c r="AS24" s="9">
        <v>359</v>
      </c>
      <c r="AT24" s="9">
        <v>11293.292780000002</v>
      </c>
      <c r="AU24" s="8">
        <v>12123.051360000001</v>
      </c>
      <c r="AV24" s="9">
        <v>13016.784470000001</v>
      </c>
      <c r="AW24" s="8">
        <v>13921.41761</v>
      </c>
      <c r="AX24" s="8">
        <v>15252.185739999999</v>
      </c>
      <c r="AY24" s="8">
        <v>16295.403590000002</v>
      </c>
      <c r="AZ24" s="86">
        <v>17615.115419999998</v>
      </c>
      <c r="BA24" s="9">
        <v>17158.804530000001</v>
      </c>
      <c r="BB24" s="9">
        <v>17962.667740000001</v>
      </c>
      <c r="BC24" s="9">
        <v>17191.22882</v>
      </c>
      <c r="BD24" s="9">
        <v>17553.795600000001</v>
      </c>
      <c r="BE24" s="9">
        <v>17143.65554</v>
      </c>
      <c r="BF24" s="9">
        <v>17360.925869999999</v>
      </c>
      <c r="BG24" s="9">
        <v>17111.007880000001</v>
      </c>
      <c r="BH24" s="9">
        <v>16998.838380000001</v>
      </c>
      <c r="BI24" s="9">
        <v>17349.526619999997</v>
      </c>
      <c r="BJ24" s="9">
        <v>17310.118890000002</v>
      </c>
      <c r="BK24" s="9">
        <v>17501.950709999997</v>
      </c>
      <c r="BL24" s="9">
        <v>17187.846669999999</v>
      </c>
      <c r="BM24" s="1">
        <v>16874.67051</v>
      </c>
      <c r="BN24" s="1">
        <v>16879.55661</v>
      </c>
      <c r="BO24" s="1">
        <v>376379.52239000006</v>
      </c>
      <c r="BP24" s="1">
        <v>4636.2748199999996</v>
      </c>
      <c r="BQ24" s="1">
        <v>4966.2152299999998</v>
      </c>
      <c r="BR24" s="9">
        <v>4161.1093000000001</v>
      </c>
      <c r="BS24" s="9">
        <v>4475.5423799999999</v>
      </c>
      <c r="BT24" s="9">
        <v>5013.3701799999999</v>
      </c>
      <c r="BU24" s="9">
        <v>5467.54342</v>
      </c>
      <c r="BV24" s="9">
        <v>6062.3527800000002</v>
      </c>
      <c r="BW24" s="9">
        <v>5819.9605199999996</v>
      </c>
      <c r="BX24" s="9">
        <v>6166.8937100000003</v>
      </c>
      <c r="BY24" s="9">
        <v>5873.3096699999996</v>
      </c>
      <c r="BZ24" s="9">
        <v>6141.8637099999996</v>
      </c>
      <c r="CA24" s="9">
        <v>5960.9038499999997</v>
      </c>
      <c r="CB24" s="9">
        <v>6102.2301400000006</v>
      </c>
      <c r="CC24" s="9">
        <v>5953.2728199999992</v>
      </c>
      <c r="CD24" s="8">
        <v>5914.1102499999997</v>
      </c>
      <c r="CE24" s="8">
        <v>6084.1532800000004</v>
      </c>
      <c r="CF24" s="8">
        <v>6111.0635499999999</v>
      </c>
      <c r="CG24" s="8">
        <v>6215.8136600000007</v>
      </c>
      <c r="CH24" s="8">
        <v>6106.6798200000003</v>
      </c>
      <c r="CI24" s="8">
        <v>6014.7548900000002</v>
      </c>
      <c r="CJ24" s="9">
        <v>6060.7995599999995</v>
      </c>
      <c r="CK24" s="9">
        <v>132203.86726</v>
      </c>
      <c r="CL24" s="9">
        <v>501.81190071797334</v>
      </c>
      <c r="CM24" s="1">
        <v>536.07936384121103</v>
      </c>
      <c r="CN24" s="9">
        <v>573.37047460399992</v>
      </c>
      <c r="CO24" s="9">
        <v>608.77280461948396</v>
      </c>
      <c r="CP24" s="9">
        <v>659.34779950534357</v>
      </c>
      <c r="CQ24" s="9">
        <v>696.90806596943469</v>
      </c>
      <c r="CR24" s="9">
        <v>745.15946150450259</v>
      </c>
      <c r="CS24" s="9">
        <v>717.90642859812385</v>
      </c>
      <c r="CT24" s="9">
        <v>743.28906265147623</v>
      </c>
      <c r="CU24" s="9">
        <v>702.92807216177391</v>
      </c>
      <c r="CV24" s="9">
        <v>710.82690480091458</v>
      </c>
      <c r="CW24" s="9">
        <v>686.48879092197683</v>
      </c>
      <c r="CX24" s="9">
        <v>689.2654160046709</v>
      </c>
      <c r="CY24" s="9">
        <v>672.77349737969644</v>
      </c>
      <c r="CZ24" s="9">
        <v>658.55461781289432</v>
      </c>
      <c r="DA24" s="9">
        <v>661.696265650393</v>
      </c>
      <c r="DB24" s="9">
        <v>649.71211208116551</v>
      </c>
      <c r="DC24" s="9">
        <v>648.13407027085771</v>
      </c>
      <c r="DD24" s="9">
        <v>632.32616156651784</v>
      </c>
      <c r="DE24" s="9">
        <v>618.97845466488059</v>
      </c>
      <c r="DF24" s="9">
        <v>616.77398046802</v>
      </c>
      <c r="DG24" s="9">
        <v>206.010587434277</v>
      </c>
      <c r="DH24" s="9">
        <v>219.60523156580382</v>
      </c>
      <c r="DI24" s="9">
        <v>183.29082883094844</v>
      </c>
      <c r="DJ24" s="1">
        <v>195.71200025698818</v>
      </c>
      <c r="DK24" s="1">
        <v>216.7266156233361</v>
      </c>
      <c r="DL24" s="1">
        <v>233.83128189438776</v>
      </c>
      <c r="DM24" s="1">
        <v>256.4513161160499</v>
      </c>
      <c r="DN24" s="1">
        <v>243.50105884068134</v>
      </c>
      <c r="DO24" s="1">
        <v>255.18395772415394</v>
      </c>
      <c r="DP24" s="1">
        <v>240.15236413694623</v>
      </c>
      <c r="DQ24" s="1">
        <v>248.70985570142798</v>
      </c>
      <c r="DR24" s="1">
        <v>238.69434772769918</v>
      </c>
      <c r="DS24" s="1">
        <v>242.27142189872978</v>
      </c>
      <c r="DT24" s="1">
        <v>234.07178607218825</v>
      </c>
      <c r="DU24" s="1">
        <v>229.11945677267335</v>
      </c>
      <c r="DV24" s="1">
        <v>232.04445822629546</v>
      </c>
      <c r="DW24" s="1">
        <v>229.37057979575349</v>
      </c>
      <c r="DX24" s="1">
        <v>230.18466194166299</v>
      </c>
      <c r="DY24" s="1">
        <v>224.65952161628834</v>
      </c>
      <c r="DZ24" s="1">
        <v>220.62674852193211</v>
      </c>
      <c r="EA24" s="1">
        <v>221.45981412956226</v>
      </c>
      <c r="EB24" s="1">
        <v>16.34032924911007</v>
      </c>
      <c r="EC24" s="1">
        <v>18.501832765835566</v>
      </c>
      <c r="ED24" s="1">
        <v>19.948992778370112</v>
      </c>
      <c r="EE24" s="1">
        <v>19.801581678362556</v>
      </c>
      <c r="EF24" s="1">
        <v>19.539218031345339</v>
      </c>
      <c r="EG24" s="1">
        <v>19.379548910432781</v>
      </c>
      <c r="EH24" s="1">
        <v>17.268601272200872</v>
      </c>
      <c r="EI24" s="1">
        <v>16.165373120121533</v>
      </c>
      <c r="EJ24" s="1">
        <v>15.946730801650679</v>
      </c>
      <c r="EK24" s="1">
        <v>15.010868322045987</v>
      </c>
      <c r="EL24" s="1">
        <v>14.874473565190481</v>
      </c>
      <c r="EM24" s="1">
        <v>14.639008360673239</v>
      </c>
      <c r="EN24" s="1">
        <v>14.581857538291425</v>
      </c>
      <c r="EO24" s="1">
        <v>14.358045639999412</v>
      </c>
      <c r="EP24" s="1">
        <v>14.156863214862945</v>
      </c>
      <c r="EQ24" s="86">
        <v>13.575299232639297</v>
      </c>
      <c r="ER24" s="1">
        <v>13.524380847596856</v>
      </c>
      <c r="ES24" s="1">
        <v>13.251479934877581</v>
      </c>
      <c r="ET24" s="1">
        <v>13.199943141281505</v>
      </c>
      <c r="EU24" s="1">
        <v>12.95413991970463</v>
      </c>
      <c r="EV24" s="1">
        <v>13.098455496957207</v>
      </c>
      <c r="EW24" s="1">
        <v>31413.888122392214</v>
      </c>
      <c r="EX24" s="1">
        <v>30769.165888324875</v>
      </c>
      <c r="EY24" s="1">
        <v>29820.812073310426</v>
      </c>
      <c r="EZ24" s="1">
        <v>30630.181760176019</v>
      </c>
      <c r="FA24" s="1">
        <v>33521.287340659335</v>
      </c>
      <c r="FB24" s="1">
        <v>35814.07382417583</v>
      </c>
      <c r="FC24" s="1">
        <v>40681.559861431866</v>
      </c>
      <c r="FD24" s="1">
        <v>42950.699699624536</v>
      </c>
      <c r="FE24" s="1">
        <v>46295.535412371137</v>
      </c>
      <c r="FF24" s="1">
        <v>45419.362800528404</v>
      </c>
      <c r="FG24" s="1">
        <v>47571.261788617892</v>
      </c>
      <c r="FH24" s="1">
        <v>46522.810149253732</v>
      </c>
      <c r="FI24" s="1">
        <v>47176.428994565213</v>
      </c>
      <c r="FJ24" s="1">
        <v>46497.304021739139</v>
      </c>
      <c r="FK24" s="1">
        <v>46192.495597826091</v>
      </c>
      <c r="FL24" s="1">
        <v>47729.09661623108</v>
      </c>
      <c r="FM24" s="1">
        <v>47950.467839335179</v>
      </c>
      <c r="FN24" s="1">
        <v>48414.801410788372</v>
      </c>
      <c r="FO24" s="1">
        <v>47810.421891515987</v>
      </c>
      <c r="FP24" s="1">
        <v>47334.279130434785</v>
      </c>
      <c r="FQ24" s="1">
        <v>47347.984880785414</v>
      </c>
      <c r="FR24" s="5">
        <v>12</v>
      </c>
      <c r="FS24" s="5">
        <v>15</v>
      </c>
      <c r="FT24" s="5">
        <v>13</v>
      </c>
      <c r="FU24" s="5">
        <v>14</v>
      </c>
      <c r="FV24" s="5">
        <v>17</v>
      </c>
      <c r="FW24" s="5">
        <v>17</v>
      </c>
    </row>
    <row r="25" spans="1:179" x14ac:dyDescent="0.2">
      <c r="A25" s="5">
        <v>23</v>
      </c>
      <c r="B25" s="6" t="s">
        <v>59</v>
      </c>
      <c r="C25" s="9">
        <v>6</v>
      </c>
      <c r="D25" s="9">
        <v>7</v>
      </c>
      <c r="E25" s="9">
        <v>7</v>
      </c>
      <c r="F25" s="9">
        <v>6</v>
      </c>
      <c r="G25" s="9">
        <v>7</v>
      </c>
      <c r="H25" s="9">
        <v>7</v>
      </c>
      <c r="I25" s="9">
        <v>7</v>
      </c>
      <c r="J25" s="9">
        <v>7</v>
      </c>
      <c r="K25" s="9">
        <v>7</v>
      </c>
      <c r="L25" s="8">
        <v>7</v>
      </c>
      <c r="M25" s="8">
        <v>7</v>
      </c>
      <c r="N25" s="8">
        <v>7</v>
      </c>
      <c r="O25" s="85">
        <v>7</v>
      </c>
      <c r="P25" s="85">
        <v>7</v>
      </c>
      <c r="Q25" s="9">
        <v>7</v>
      </c>
      <c r="R25" s="9">
        <v>7</v>
      </c>
      <c r="S25" s="9">
        <v>7</v>
      </c>
      <c r="T25" s="9">
        <v>7</v>
      </c>
      <c r="U25" s="9">
        <v>7</v>
      </c>
      <c r="V25" s="9">
        <v>5</v>
      </c>
      <c r="W25" s="1">
        <v>6</v>
      </c>
      <c r="X25" s="9">
        <v>63</v>
      </c>
      <c r="Y25" s="9">
        <v>69</v>
      </c>
      <c r="Z25" s="9">
        <v>74</v>
      </c>
      <c r="AA25" s="9">
        <v>79</v>
      </c>
      <c r="AB25" s="9">
        <v>70</v>
      </c>
      <c r="AC25" s="9">
        <v>80</v>
      </c>
      <c r="AD25" s="8">
        <v>80</v>
      </c>
      <c r="AE25" s="8">
        <v>73</v>
      </c>
      <c r="AF25" s="8">
        <v>73</v>
      </c>
      <c r="AG25" s="8">
        <v>73</v>
      </c>
      <c r="AH25" s="8">
        <v>73</v>
      </c>
      <c r="AI25" s="9">
        <v>73</v>
      </c>
      <c r="AJ25" s="9">
        <v>73</v>
      </c>
      <c r="AK25" s="9">
        <v>73</v>
      </c>
      <c r="AL25" s="9">
        <v>73</v>
      </c>
      <c r="AM25" s="9">
        <v>73</v>
      </c>
      <c r="AN25" s="9">
        <v>73</v>
      </c>
      <c r="AO25" s="9">
        <v>65</v>
      </c>
      <c r="AP25" s="9">
        <v>65</v>
      </c>
      <c r="AQ25" s="9">
        <v>64</v>
      </c>
      <c r="AR25" s="9">
        <v>42</v>
      </c>
      <c r="AS25" s="9">
        <v>52</v>
      </c>
      <c r="AT25" s="9">
        <v>1024.7327</v>
      </c>
      <c r="AU25" s="8">
        <v>1000.71536</v>
      </c>
      <c r="AV25" s="9">
        <v>954.08176000000003</v>
      </c>
      <c r="AW25" s="8">
        <v>1020.04657</v>
      </c>
      <c r="AX25" s="8">
        <v>1208.5974799999999</v>
      </c>
      <c r="AY25" s="8">
        <v>1364.2732799999999</v>
      </c>
      <c r="AZ25" s="86">
        <v>1364.5843600000001</v>
      </c>
      <c r="BA25" s="9">
        <v>1469.17581</v>
      </c>
      <c r="BB25" s="9">
        <v>1568.60212</v>
      </c>
      <c r="BC25" s="9">
        <v>1433.9760100000001</v>
      </c>
      <c r="BD25" s="9">
        <v>1346.1072899999999</v>
      </c>
      <c r="BE25" s="9">
        <v>1326.7198900000001</v>
      </c>
      <c r="BF25" s="9">
        <v>1318.0119400000001</v>
      </c>
      <c r="BG25" s="9">
        <v>1395.57953</v>
      </c>
      <c r="BH25" s="9">
        <v>1274.8834999999999</v>
      </c>
      <c r="BI25" s="9">
        <v>1269.4638299999999</v>
      </c>
      <c r="BJ25" s="9">
        <v>1092.10329</v>
      </c>
      <c r="BK25" s="9">
        <v>1182.4146900000001</v>
      </c>
      <c r="BL25" s="9">
        <v>1093.8731700000001</v>
      </c>
      <c r="BM25" s="1">
        <v>952.56695000000002</v>
      </c>
      <c r="BN25" s="1">
        <v>998.27301</v>
      </c>
      <c r="BO25" s="1">
        <v>28927.33036</v>
      </c>
      <c r="BP25" s="1">
        <v>372.35945000000004</v>
      </c>
      <c r="BQ25" s="1">
        <v>360.92255</v>
      </c>
      <c r="BR25" s="9">
        <v>251.97300000000001</v>
      </c>
      <c r="BS25" s="9">
        <v>275.43693999999999</v>
      </c>
      <c r="BT25" s="9">
        <v>269.27140000000003</v>
      </c>
      <c r="BU25" s="9">
        <v>250.28724</v>
      </c>
      <c r="BV25" s="9">
        <v>243.88308000000001</v>
      </c>
      <c r="BW25" s="9">
        <v>272.96726999999998</v>
      </c>
      <c r="BX25" s="9">
        <v>296.86624</v>
      </c>
      <c r="BY25" s="9">
        <v>249.9684</v>
      </c>
      <c r="BZ25" s="9">
        <v>229.59040999999999</v>
      </c>
      <c r="CA25" s="9">
        <v>225.47644</v>
      </c>
      <c r="CB25" s="9">
        <v>232.00210999999999</v>
      </c>
      <c r="CC25" s="9">
        <v>251.18922000000001</v>
      </c>
      <c r="CD25" s="8">
        <v>219.73338999999999</v>
      </c>
      <c r="CE25" s="8">
        <v>220.34793999999999</v>
      </c>
      <c r="CF25" s="8">
        <v>176.07342999999997</v>
      </c>
      <c r="CG25" s="8">
        <v>221.71965999999998</v>
      </c>
      <c r="CH25" s="8">
        <v>213.32813000000002</v>
      </c>
      <c r="CI25" s="8">
        <v>202.05026000000001</v>
      </c>
      <c r="CJ25" s="9">
        <v>244.03081</v>
      </c>
      <c r="CK25" s="9">
        <v>6408.7227000000003</v>
      </c>
      <c r="CL25" s="9">
        <v>219.78782140251306</v>
      </c>
      <c r="CM25" s="1">
        <v>217.22279042426703</v>
      </c>
      <c r="CN25" s="9">
        <v>209.67320779297998</v>
      </c>
      <c r="CO25" s="9">
        <v>225.99862302878429</v>
      </c>
      <c r="CP25" s="9">
        <v>267.59747918708399</v>
      </c>
      <c r="CQ25" s="9">
        <v>302.35914102396856</v>
      </c>
      <c r="CR25" s="9">
        <v>303.70181782336198</v>
      </c>
      <c r="CS25" s="9">
        <v>327.07602045444224</v>
      </c>
      <c r="CT25" s="9">
        <v>348.05724024709718</v>
      </c>
      <c r="CU25" s="9">
        <v>318.34380930002823</v>
      </c>
      <c r="CV25" s="9">
        <v>300.87291247791529</v>
      </c>
      <c r="CW25" s="9">
        <v>298.8869114621009</v>
      </c>
      <c r="CX25" s="9">
        <v>298.24023974659184</v>
      </c>
      <c r="CY25" s="9">
        <v>315.4437659313615</v>
      </c>
      <c r="CZ25" s="9">
        <v>286.73601143975884</v>
      </c>
      <c r="DA25" s="9">
        <v>283.83833469776971</v>
      </c>
      <c r="DB25" s="9">
        <v>242.56118470618819</v>
      </c>
      <c r="DC25" s="9">
        <v>260.86411218461365</v>
      </c>
      <c r="DD25" s="9">
        <v>241.15887332200359</v>
      </c>
      <c r="DE25" s="9">
        <v>211.51739534192555</v>
      </c>
      <c r="DF25" s="9">
        <v>223.54796941239806</v>
      </c>
      <c r="DG25" s="9">
        <v>79.864800151432647</v>
      </c>
      <c r="DH25" s="9">
        <v>78.344558874405649</v>
      </c>
      <c r="DI25" s="9">
        <v>55.374695756913482</v>
      </c>
      <c r="DJ25" s="1">
        <v>61.025026701733708</v>
      </c>
      <c r="DK25" s="1">
        <v>59.619806469542674</v>
      </c>
      <c r="DL25" s="1">
        <v>55.470290304051012</v>
      </c>
      <c r="DM25" s="1">
        <v>54.278604462651479</v>
      </c>
      <c r="DN25" s="1">
        <v>60.76947889981475</v>
      </c>
      <c r="DO25" s="1">
        <v>65.871671916988362</v>
      </c>
      <c r="DP25" s="1">
        <v>55.493182665331467</v>
      </c>
      <c r="DQ25" s="1">
        <v>51.316515293293364</v>
      </c>
      <c r="DR25" s="1">
        <v>50.79591952078875</v>
      </c>
      <c r="DS25" s="1">
        <v>52.497525104450233</v>
      </c>
      <c r="DT25" s="1">
        <v>56.776465844380269</v>
      </c>
      <c r="DU25" s="1">
        <v>49.420575157445356</v>
      </c>
      <c r="DV25" s="1">
        <v>49.267407913216466</v>
      </c>
      <c r="DW25" s="1">
        <v>39.106722017184005</v>
      </c>
      <c r="DX25" s="1">
        <v>48.915750750503939</v>
      </c>
      <c r="DY25" s="1">
        <v>47.031020496361485</v>
      </c>
      <c r="DZ25" s="1">
        <v>44.865239890339303</v>
      </c>
      <c r="EA25" s="1">
        <v>54.646966814782182</v>
      </c>
      <c r="EB25" s="1">
        <v>14.900115601913006</v>
      </c>
      <c r="EC25" s="1">
        <v>16.147027309190136</v>
      </c>
      <c r="ED25" s="1">
        <v>17.486510794867872</v>
      </c>
      <c r="EE25" s="1">
        <v>15.523653642389226</v>
      </c>
      <c r="EF25" s="1">
        <v>17.684625285291126</v>
      </c>
      <c r="EG25" s="1">
        <v>17.775852804840717</v>
      </c>
      <c r="EH25" s="1">
        <v>16.273372183401992</v>
      </c>
      <c r="EI25" s="1">
        <v>16.230010766577891</v>
      </c>
      <c r="EJ25" s="1">
        <v>16.166066231441736</v>
      </c>
      <c r="EK25" s="1">
        <v>16.246247689101558</v>
      </c>
      <c r="EL25" s="1">
        <v>16.387307090765173</v>
      </c>
      <c r="EM25" s="1">
        <v>16.504369708214224</v>
      </c>
      <c r="EN25" s="1">
        <v>16.532589557754182</v>
      </c>
      <c r="EO25" s="1">
        <v>16.468013550709639</v>
      </c>
      <c r="EP25" s="1">
        <v>16.369367644208555</v>
      </c>
      <c r="EQ25" s="86">
        <v>16.274921048168739</v>
      </c>
      <c r="ER25" s="1">
        <v>14.382641775791589</v>
      </c>
      <c r="ES25" s="1">
        <v>14.298183108723755</v>
      </c>
      <c r="ET25" s="1">
        <v>14.141230256737714</v>
      </c>
      <c r="EU25" s="1">
        <v>9.3724657560658038</v>
      </c>
      <c r="EV25" s="1">
        <v>11.685488917837482</v>
      </c>
      <c r="EW25" s="1">
        <v>15526.253030303031</v>
      </c>
      <c r="EX25" s="1">
        <v>13996.019020979022</v>
      </c>
      <c r="EY25" s="1">
        <v>12471.656993464052</v>
      </c>
      <c r="EZ25" s="1">
        <v>13691.900268456375</v>
      </c>
      <c r="FA25" s="1">
        <v>16114.633066666667</v>
      </c>
      <c r="FB25" s="1">
        <v>17053.415999999997</v>
      </c>
      <c r="FC25" s="1">
        <v>17837.704052287583</v>
      </c>
      <c r="FD25" s="1">
        <v>20125.696027397262</v>
      </c>
      <c r="FE25" s="1">
        <v>21487.700273972605</v>
      </c>
      <c r="FF25" s="1">
        <v>19643.50698630137</v>
      </c>
      <c r="FG25" s="1">
        <v>18439.825890410961</v>
      </c>
      <c r="FH25" s="1">
        <v>18174.245068493154</v>
      </c>
      <c r="FI25" s="1">
        <v>18054.958082191784</v>
      </c>
      <c r="FJ25" s="1">
        <v>19117.52780821918</v>
      </c>
      <c r="FK25" s="1">
        <v>17464.157534246577</v>
      </c>
      <c r="FL25" s="1">
        <v>17389.915479452051</v>
      </c>
      <c r="FM25" s="1">
        <v>15827.58391304348</v>
      </c>
      <c r="FN25" s="1">
        <v>18190.995230769233</v>
      </c>
      <c r="FO25" s="1">
        <v>16959.273953488373</v>
      </c>
      <c r="FP25" s="1">
        <v>17972.961320754719</v>
      </c>
      <c r="FQ25" s="1">
        <v>21239.851276595746</v>
      </c>
      <c r="FR25" s="5">
        <v>41</v>
      </c>
      <c r="FS25" s="5">
        <v>37</v>
      </c>
      <c r="FT25" s="5">
        <v>40</v>
      </c>
      <c r="FU25" s="5">
        <v>38</v>
      </c>
      <c r="FV25" s="5">
        <v>22</v>
      </c>
      <c r="FW25" s="5">
        <v>38</v>
      </c>
    </row>
    <row r="26" spans="1:179" x14ac:dyDescent="0.2">
      <c r="A26" s="5">
        <v>24</v>
      </c>
      <c r="B26" s="6" t="s">
        <v>60</v>
      </c>
      <c r="C26" s="9">
        <v>9</v>
      </c>
      <c r="D26" s="9">
        <v>9</v>
      </c>
      <c r="E26" s="9">
        <v>10</v>
      </c>
      <c r="F26" s="9">
        <v>10</v>
      </c>
      <c r="G26" s="9">
        <v>10</v>
      </c>
      <c r="H26" s="9">
        <v>10</v>
      </c>
      <c r="I26" s="9">
        <v>10</v>
      </c>
      <c r="J26" s="9">
        <v>10</v>
      </c>
      <c r="K26" s="9">
        <v>10</v>
      </c>
      <c r="L26" s="8">
        <v>10</v>
      </c>
      <c r="M26" s="8">
        <v>9</v>
      </c>
      <c r="N26" s="8">
        <v>9</v>
      </c>
      <c r="O26" s="85">
        <v>10</v>
      </c>
      <c r="P26" s="85">
        <v>10</v>
      </c>
      <c r="Q26" s="9">
        <v>10</v>
      </c>
      <c r="R26" s="9">
        <v>10</v>
      </c>
      <c r="S26" s="9">
        <v>10</v>
      </c>
      <c r="T26" s="9">
        <v>10</v>
      </c>
      <c r="U26" s="9">
        <v>10</v>
      </c>
      <c r="V26" s="9">
        <v>10</v>
      </c>
      <c r="W26" s="1">
        <v>10</v>
      </c>
      <c r="X26" s="9">
        <v>166</v>
      </c>
      <c r="Y26" s="9">
        <v>176</v>
      </c>
      <c r="Z26" s="9">
        <v>176</v>
      </c>
      <c r="AA26" s="9">
        <v>181</v>
      </c>
      <c r="AB26" s="9">
        <v>181</v>
      </c>
      <c r="AC26" s="9">
        <v>181</v>
      </c>
      <c r="AD26" s="8">
        <v>181</v>
      </c>
      <c r="AE26" s="8">
        <v>181</v>
      </c>
      <c r="AF26" s="8">
        <v>159</v>
      </c>
      <c r="AG26" s="8">
        <v>158</v>
      </c>
      <c r="AH26" s="8">
        <v>159</v>
      </c>
      <c r="AI26" s="9">
        <v>155</v>
      </c>
      <c r="AJ26" s="9">
        <v>155</v>
      </c>
      <c r="AK26" s="9">
        <v>159</v>
      </c>
      <c r="AL26" s="9">
        <v>159</v>
      </c>
      <c r="AM26" s="9">
        <v>159</v>
      </c>
      <c r="AN26" s="9">
        <v>160</v>
      </c>
      <c r="AO26" s="9">
        <v>167</v>
      </c>
      <c r="AP26" s="9">
        <v>167</v>
      </c>
      <c r="AQ26" s="9">
        <v>167</v>
      </c>
      <c r="AR26" s="9">
        <v>186</v>
      </c>
      <c r="AS26" s="9">
        <v>186</v>
      </c>
      <c r="AT26" s="9">
        <v>5937.7597100000003</v>
      </c>
      <c r="AU26" s="8">
        <v>6451.99071</v>
      </c>
      <c r="AV26" s="9">
        <v>7267.0121800000006</v>
      </c>
      <c r="AW26" s="8">
        <v>7939.2167499999996</v>
      </c>
      <c r="AX26" s="8">
        <v>8370.3375499999984</v>
      </c>
      <c r="AY26" s="8">
        <v>9484.1262500000012</v>
      </c>
      <c r="AZ26" s="86">
        <v>9943.5617799999982</v>
      </c>
      <c r="BA26" s="9">
        <v>9720.1491899999983</v>
      </c>
      <c r="BB26" s="9">
        <v>10011.164629999999</v>
      </c>
      <c r="BC26" s="9">
        <v>9614.2707800000007</v>
      </c>
      <c r="BD26" s="9">
        <v>9402.3443900000002</v>
      </c>
      <c r="BE26" s="9">
        <v>8785.5433300000004</v>
      </c>
      <c r="BF26" s="9">
        <v>9186.2116999999998</v>
      </c>
      <c r="BG26" s="9">
        <v>9434.5268799999976</v>
      </c>
      <c r="BH26" s="9">
        <v>9233.03694</v>
      </c>
      <c r="BI26" s="9">
        <v>9885.7968500000006</v>
      </c>
      <c r="BJ26" s="9">
        <v>9931.5386100000014</v>
      </c>
      <c r="BK26" s="9">
        <v>10168.57554</v>
      </c>
      <c r="BL26" s="9">
        <v>9810.7588800000012</v>
      </c>
      <c r="BM26" s="1">
        <v>9682.5106299999989</v>
      </c>
      <c r="BN26" s="1">
        <v>10012.677929999998</v>
      </c>
      <c r="BO26" s="1">
        <v>207065.68374999997</v>
      </c>
      <c r="BP26" s="1">
        <v>2458.06241</v>
      </c>
      <c r="BQ26" s="1">
        <v>2785.19839</v>
      </c>
      <c r="BR26" s="9">
        <v>2530.7680300000002</v>
      </c>
      <c r="BS26" s="9">
        <v>2771.1632499999996</v>
      </c>
      <c r="BT26" s="9">
        <v>2952.2129900000004</v>
      </c>
      <c r="BU26" s="9">
        <v>3548.0121999999997</v>
      </c>
      <c r="BV26" s="9">
        <v>3793.3337299999998</v>
      </c>
      <c r="BW26" s="9">
        <v>3613.4065500000002</v>
      </c>
      <c r="BX26" s="9">
        <v>3756.00758</v>
      </c>
      <c r="BY26" s="9">
        <v>3560.09861</v>
      </c>
      <c r="BZ26" s="9">
        <v>3464.1555499999995</v>
      </c>
      <c r="CA26" s="9">
        <v>3182.9859000000001</v>
      </c>
      <c r="CB26" s="9">
        <v>3421.98965</v>
      </c>
      <c r="CC26" s="9">
        <v>3594.0515500000001</v>
      </c>
      <c r="CD26" s="8">
        <v>3479.6201699999997</v>
      </c>
      <c r="CE26" s="8">
        <v>3825.0327600000001</v>
      </c>
      <c r="CF26" s="8">
        <v>3848.2111099999997</v>
      </c>
      <c r="CG26" s="8">
        <v>4013.7892500000003</v>
      </c>
      <c r="CH26" s="8">
        <v>3815.7280900000001</v>
      </c>
      <c r="CI26" s="8">
        <v>3684.8017399999999</v>
      </c>
      <c r="CJ26" s="9">
        <v>3837.4815800000001</v>
      </c>
      <c r="CK26" s="9">
        <v>78167.565140000006</v>
      </c>
      <c r="CL26" s="9">
        <v>399.70838836093458</v>
      </c>
      <c r="CM26" s="1">
        <v>431.0799703752445</v>
      </c>
      <c r="CN26" s="9">
        <v>482.93060367323125</v>
      </c>
      <c r="CO26" s="9">
        <v>522.51566326008196</v>
      </c>
      <c r="CP26" s="9">
        <v>543.6757043591183</v>
      </c>
      <c r="CQ26" s="9">
        <v>607.63565120975341</v>
      </c>
      <c r="CR26" s="9">
        <v>626.64580620915262</v>
      </c>
      <c r="CS26" s="9">
        <v>602.34508448346151</v>
      </c>
      <c r="CT26" s="9">
        <v>609.11588467440731</v>
      </c>
      <c r="CU26" s="9">
        <v>571.50709412912249</v>
      </c>
      <c r="CV26" s="9">
        <v>546.52582499165032</v>
      </c>
      <c r="CW26" s="9">
        <v>502.82231525580562</v>
      </c>
      <c r="CX26" s="9">
        <v>518.86146610855485</v>
      </c>
      <c r="CY26" s="9">
        <v>523.78761574641783</v>
      </c>
      <c r="CZ26" s="9">
        <v>503.1106850853281</v>
      </c>
      <c r="DA26" s="9">
        <v>529.26344444599499</v>
      </c>
      <c r="DB26" s="9">
        <v>522.54358345847379</v>
      </c>
      <c r="DC26" s="9">
        <v>525.68023556881315</v>
      </c>
      <c r="DD26" s="9">
        <v>499.70774908385147</v>
      </c>
      <c r="DE26" s="9">
        <v>487.05334584637785</v>
      </c>
      <c r="DF26" s="9">
        <v>497.20903231930589</v>
      </c>
      <c r="DG26" s="9">
        <v>165.46782159894693</v>
      </c>
      <c r="DH26" s="9">
        <v>186.0888047450984</v>
      </c>
      <c r="DI26" s="9">
        <v>168.18264538601809</v>
      </c>
      <c r="DJ26" s="1">
        <v>182.3827525020921</v>
      </c>
      <c r="DK26" s="1">
        <v>191.75409201465112</v>
      </c>
      <c r="DL26" s="1">
        <v>227.31653362871978</v>
      </c>
      <c r="DM26" s="1">
        <v>239.05686172105453</v>
      </c>
      <c r="DN26" s="1">
        <v>223.91813449448136</v>
      </c>
      <c r="DO26" s="1">
        <v>228.52924354870788</v>
      </c>
      <c r="DP26" s="1">
        <v>211.62516200882661</v>
      </c>
      <c r="DQ26" s="1">
        <v>201.35940477533961</v>
      </c>
      <c r="DR26" s="1">
        <v>182.17158342380904</v>
      </c>
      <c r="DS26" s="1">
        <v>193.28300117526146</v>
      </c>
      <c r="DT26" s="1">
        <v>199.53514534310364</v>
      </c>
      <c r="DU26" s="1">
        <v>189.6054460673939</v>
      </c>
      <c r="DV26" s="1">
        <v>204.78369567915718</v>
      </c>
      <c r="DW26" s="1">
        <v>202.47195346946455</v>
      </c>
      <c r="DX26" s="1">
        <v>207.49904154850486</v>
      </c>
      <c r="DY26" s="1">
        <v>194.35284449370991</v>
      </c>
      <c r="DZ26" s="1">
        <v>185.35430373677318</v>
      </c>
      <c r="EA26" s="1">
        <v>190.5614578112133</v>
      </c>
      <c r="EB26" s="1">
        <v>11.790918632871948</v>
      </c>
      <c r="EC26" s="1">
        <v>11.727597799168779</v>
      </c>
      <c r="ED26" s="1">
        <v>11.996180432355917</v>
      </c>
      <c r="EE26" s="1">
        <v>11.829833715158362</v>
      </c>
      <c r="EF26" s="1">
        <v>11.683935143926355</v>
      </c>
      <c r="EG26" s="1">
        <v>11.510235529003669</v>
      </c>
      <c r="EH26" s="1">
        <v>11.304944257452059</v>
      </c>
      <c r="EI26" s="1">
        <v>9.7763971315009499</v>
      </c>
      <c r="EJ26" s="1">
        <v>9.5137894225285731</v>
      </c>
      <c r="EK26" s="1">
        <v>9.3321625850231484</v>
      </c>
      <c r="EL26" s="1">
        <v>8.9235163947837464</v>
      </c>
      <c r="EM26" s="1">
        <v>8.8193015146710945</v>
      </c>
      <c r="EN26" s="1">
        <v>8.9155429008245175</v>
      </c>
      <c r="EO26" s="1">
        <v>8.7409596620611687</v>
      </c>
      <c r="EP26" s="1">
        <v>8.5882915024896</v>
      </c>
      <c r="EQ26" s="86">
        <v>8.4911123097215135</v>
      </c>
      <c r="ER26" s="1">
        <v>8.7119574526953496</v>
      </c>
      <c r="ES26" s="1">
        <v>8.5560957996140026</v>
      </c>
      <c r="ET26" s="1">
        <v>8.4566645315658846</v>
      </c>
      <c r="EU26" s="1">
        <v>9.2945114770210164</v>
      </c>
      <c r="EV26" s="1">
        <v>9.1789675729526738</v>
      </c>
      <c r="EW26" s="1">
        <v>34723.740994152045</v>
      </c>
      <c r="EX26" s="1">
        <v>36659.038124999999</v>
      </c>
      <c r="EY26" s="1">
        <v>40711.552829131659</v>
      </c>
      <c r="EZ26" s="1">
        <v>43863.075966850825</v>
      </c>
      <c r="FA26" s="1">
        <v>46244.958839778992</v>
      </c>
      <c r="FB26" s="1">
        <v>52398.487569060781</v>
      </c>
      <c r="FC26" s="1">
        <v>54936.80541436463</v>
      </c>
      <c r="FD26" s="1">
        <v>57177.348176470572</v>
      </c>
      <c r="FE26" s="1">
        <v>63161.921955835955</v>
      </c>
      <c r="FF26" s="1">
        <v>60657.85981072556</v>
      </c>
      <c r="FG26" s="1">
        <v>59887.543885350322</v>
      </c>
      <c r="FH26" s="1">
        <v>56680.92470967742</v>
      </c>
      <c r="FI26" s="1">
        <v>58510.902547770696</v>
      </c>
      <c r="FJ26" s="1">
        <v>59336.647044025136</v>
      </c>
      <c r="FK26" s="1">
        <v>58069.414716981126</v>
      </c>
      <c r="FL26" s="1">
        <v>61979.917554858941</v>
      </c>
      <c r="FM26" s="1">
        <v>60743.355412844045</v>
      </c>
      <c r="FN26" s="1">
        <v>60889.673892215564</v>
      </c>
      <c r="FO26" s="1">
        <v>58747.059161676654</v>
      </c>
      <c r="FP26" s="1">
        <v>54858.417167138803</v>
      </c>
      <c r="FQ26" s="1">
        <v>53831.601774193536</v>
      </c>
      <c r="FR26" s="5">
        <v>19</v>
      </c>
      <c r="FS26" s="5">
        <v>19</v>
      </c>
      <c r="FT26" s="5">
        <v>19</v>
      </c>
      <c r="FU26" s="5">
        <v>19</v>
      </c>
      <c r="FV26" s="5">
        <v>28</v>
      </c>
      <c r="FW26" s="5">
        <v>15</v>
      </c>
    </row>
    <row r="27" spans="1:179" x14ac:dyDescent="0.2">
      <c r="A27" s="5">
        <v>25</v>
      </c>
      <c r="B27" s="6" t="s">
        <v>61</v>
      </c>
      <c r="C27" s="9">
        <v>7</v>
      </c>
      <c r="D27" s="9">
        <v>7</v>
      </c>
      <c r="E27" s="9">
        <v>8</v>
      </c>
      <c r="F27" s="9">
        <v>8</v>
      </c>
      <c r="G27" s="9">
        <v>8</v>
      </c>
      <c r="H27" s="9">
        <v>8</v>
      </c>
      <c r="I27" s="9">
        <v>8</v>
      </c>
      <c r="J27" s="9">
        <v>8</v>
      </c>
      <c r="K27" s="9">
        <v>8</v>
      </c>
      <c r="L27" s="8">
        <v>8</v>
      </c>
      <c r="M27" s="8">
        <v>8</v>
      </c>
      <c r="N27" s="8">
        <v>8</v>
      </c>
      <c r="O27" s="85">
        <v>8</v>
      </c>
      <c r="P27" s="85">
        <v>8</v>
      </c>
      <c r="Q27" s="9">
        <v>8</v>
      </c>
      <c r="R27" s="9">
        <v>8</v>
      </c>
      <c r="S27" s="9">
        <v>8</v>
      </c>
      <c r="T27" s="9">
        <v>8</v>
      </c>
      <c r="U27" s="9">
        <v>8</v>
      </c>
      <c r="V27" s="9">
        <v>7</v>
      </c>
      <c r="W27" s="1">
        <v>7</v>
      </c>
      <c r="X27" s="9">
        <v>89</v>
      </c>
      <c r="Y27" s="9">
        <v>146</v>
      </c>
      <c r="Z27" s="9">
        <v>148</v>
      </c>
      <c r="AA27" s="9">
        <v>193</v>
      </c>
      <c r="AB27" s="9">
        <v>193</v>
      </c>
      <c r="AC27" s="9">
        <v>193</v>
      </c>
      <c r="AD27" s="8">
        <v>193</v>
      </c>
      <c r="AE27" s="8">
        <v>185</v>
      </c>
      <c r="AF27" s="8">
        <v>168</v>
      </c>
      <c r="AG27" s="8">
        <v>168</v>
      </c>
      <c r="AH27" s="8">
        <v>168</v>
      </c>
      <c r="AI27" s="9">
        <v>168</v>
      </c>
      <c r="AJ27" s="9">
        <v>168</v>
      </c>
      <c r="AK27" s="9">
        <v>168</v>
      </c>
      <c r="AL27" s="9">
        <v>168</v>
      </c>
      <c r="AM27" s="9">
        <v>168</v>
      </c>
      <c r="AN27" s="9">
        <v>168</v>
      </c>
      <c r="AO27" s="9">
        <v>156</v>
      </c>
      <c r="AP27" s="9">
        <v>156</v>
      </c>
      <c r="AQ27" s="9">
        <v>155</v>
      </c>
      <c r="AR27" s="9">
        <v>150</v>
      </c>
      <c r="AS27" s="9">
        <v>136</v>
      </c>
      <c r="AT27" s="9">
        <v>2785.8862999999997</v>
      </c>
      <c r="AU27" s="8">
        <v>3061.1834600000002</v>
      </c>
      <c r="AV27" s="9">
        <v>3374.6155699999999</v>
      </c>
      <c r="AW27" s="8">
        <v>3840.7715499999995</v>
      </c>
      <c r="AX27" s="8">
        <v>4382.5110500000001</v>
      </c>
      <c r="AY27" s="8">
        <v>5080.4166799999994</v>
      </c>
      <c r="AZ27" s="86">
        <v>5281.5298500000008</v>
      </c>
      <c r="BA27" s="9">
        <v>5283.1685300000008</v>
      </c>
      <c r="BB27" s="9">
        <v>5492.0552800000005</v>
      </c>
      <c r="BC27" s="9">
        <v>5196.5168799999992</v>
      </c>
      <c r="BD27" s="9">
        <v>5100.2628800000002</v>
      </c>
      <c r="BE27" s="9">
        <v>5005.54529</v>
      </c>
      <c r="BF27" s="9">
        <v>4921.4478399999998</v>
      </c>
      <c r="BG27" s="9">
        <v>4850.5090900000005</v>
      </c>
      <c r="BH27" s="9">
        <v>4957.4915899999996</v>
      </c>
      <c r="BI27" s="9">
        <v>4884.5630299999993</v>
      </c>
      <c r="BJ27" s="9">
        <v>4874.5509300000003</v>
      </c>
      <c r="BK27" s="9">
        <v>4727.8204299999998</v>
      </c>
      <c r="BL27" s="9">
        <v>4633.3799500000005</v>
      </c>
      <c r="BM27" s="1">
        <v>4557.7206799999994</v>
      </c>
      <c r="BN27" s="1">
        <v>4464.4759800000002</v>
      </c>
      <c r="BO27" s="1">
        <v>104836.45421</v>
      </c>
      <c r="BP27" s="1">
        <v>1052.98705</v>
      </c>
      <c r="BQ27" s="1">
        <v>1179.0815700000001</v>
      </c>
      <c r="BR27" s="9">
        <v>1006.0986299999998</v>
      </c>
      <c r="BS27" s="9">
        <v>1149.80405</v>
      </c>
      <c r="BT27" s="9">
        <v>1290.8728000000001</v>
      </c>
      <c r="BU27" s="9">
        <v>1491.37943</v>
      </c>
      <c r="BV27" s="9">
        <v>1567.1588400000001</v>
      </c>
      <c r="BW27" s="9">
        <v>1563.3323499999999</v>
      </c>
      <c r="BX27" s="9">
        <v>1642.91887</v>
      </c>
      <c r="BY27" s="9">
        <v>1529.9672700000001</v>
      </c>
      <c r="BZ27" s="9">
        <v>1496.40985</v>
      </c>
      <c r="CA27" s="9">
        <v>1467.5448000000001</v>
      </c>
      <c r="CB27" s="9">
        <v>1438.8561299999999</v>
      </c>
      <c r="CC27" s="9">
        <v>1429.9195</v>
      </c>
      <c r="CD27" s="8">
        <v>1477.5853</v>
      </c>
      <c r="CE27" s="8">
        <v>1455.1632500000001</v>
      </c>
      <c r="CF27" s="8">
        <v>1458.4793400000001</v>
      </c>
      <c r="CG27" s="8">
        <v>1418.8966700000001</v>
      </c>
      <c r="CH27" s="8">
        <v>1375.3190299999999</v>
      </c>
      <c r="CI27" s="8">
        <v>1368.3590400000003</v>
      </c>
      <c r="CJ27" s="9">
        <v>1360.4258</v>
      </c>
      <c r="CK27" s="9">
        <v>32077.54522</v>
      </c>
      <c r="CL27" s="9">
        <v>321.21167218255096</v>
      </c>
      <c r="CM27" s="1">
        <v>350.55874243631854</v>
      </c>
      <c r="CN27" s="9">
        <v>383.67530222277685</v>
      </c>
      <c r="CO27" s="9">
        <v>432.05805408497667</v>
      </c>
      <c r="CP27" s="9">
        <v>488.58258740059313</v>
      </c>
      <c r="CQ27" s="9">
        <v>564.2024618725352</v>
      </c>
      <c r="CR27" s="9">
        <v>581.46013847746656</v>
      </c>
      <c r="CS27" s="9">
        <v>576.14729381767552</v>
      </c>
      <c r="CT27" s="9">
        <v>596.94395191190756</v>
      </c>
      <c r="CU27" s="9">
        <v>563.12718759240568</v>
      </c>
      <c r="CV27" s="9">
        <v>549.91758218037501</v>
      </c>
      <c r="CW27" s="9">
        <v>536.5328037322289</v>
      </c>
      <c r="CX27" s="9">
        <v>524.83024262587651</v>
      </c>
      <c r="CY27" s="9">
        <v>512.77102410827604</v>
      </c>
      <c r="CZ27" s="9">
        <v>518.08823089851217</v>
      </c>
      <c r="DA27" s="9">
        <v>505.59537263742988</v>
      </c>
      <c r="DB27" s="9">
        <v>501.93374038236414</v>
      </c>
      <c r="DC27" s="9">
        <v>486.09826372032552</v>
      </c>
      <c r="DD27" s="9">
        <v>476.03470208914325</v>
      </c>
      <c r="DE27" s="9">
        <v>468.64727250051646</v>
      </c>
      <c r="DF27" s="9">
        <v>459.78557968153081</v>
      </c>
      <c r="DG27" s="9">
        <v>121.40902201108186</v>
      </c>
      <c r="DH27" s="9">
        <v>135.02534487398546</v>
      </c>
      <c r="DI27" s="9">
        <v>114.38790224368334</v>
      </c>
      <c r="DJ27" s="1">
        <v>129.34435020537094</v>
      </c>
      <c r="DK27" s="1">
        <v>143.91246603452339</v>
      </c>
      <c r="DL27" s="1">
        <v>165.6241995473604</v>
      </c>
      <c r="DM27" s="1">
        <v>172.5334177790524</v>
      </c>
      <c r="DN27" s="1">
        <v>170.48664975866799</v>
      </c>
      <c r="DO27" s="1">
        <v>178.57258037804118</v>
      </c>
      <c r="DP27" s="1">
        <v>165.79685696383825</v>
      </c>
      <c r="DQ27" s="1">
        <v>161.34503378047404</v>
      </c>
      <c r="DR27" s="1">
        <v>157.30272738110679</v>
      </c>
      <c r="DS27" s="1">
        <v>153.44167740110188</v>
      </c>
      <c r="DT27" s="1">
        <v>151.16377947193868</v>
      </c>
      <c r="DU27" s="1">
        <v>154.41671260175499</v>
      </c>
      <c r="DV27" s="1">
        <v>150.62223603490764</v>
      </c>
      <c r="DW27" s="1">
        <v>150.17998599444354</v>
      </c>
      <c r="DX27" s="1">
        <v>145.88608385144437</v>
      </c>
      <c r="DY27" s="1">
        <v>141.3006469982198</v>
      </c>
      <c r="DZ27" s="1">
        <v>140.70141128030366</v>
      </c>
      <c r="EA27" s="1">
        <v>140.1069616834875</v>
      </c>
      <c r="EB27" s="1">
        <v>16.765492119568485</v>
      </c>
      <c r="EC27" s="1">
        <v>16.902245927116734</v>
      </c>
      <c r="ED27" s="1">
        <v>21.845517613355643</v>
      </c>
      <c r="EE27" s="1">
        <v>21.578238604524898</v>
      </c>
      <c r="EF27" s="1">
        <v>21.455177364695754</v>
      </c>
      <c r="EG27" s="1">
        <v>21.411852341934924</v>
      </c>
      <c r="EH27" s="1">
        <v>20.212529000931191</v>
      </c>
      <c r="EI27" s="1">
        <v>18.286895573003893</v>
      </c>
      <c r="EJ27" s="1">
        <v>18.233784175729305</v>
      </c>
      <c r="EK27" s="1">
        <v>18.177372291391979</v>
      </c>
      <c r="EL27" s="1">
        <v>18.051064930579809</v>
      </c>
      <c r="EM27" s="1">
        <v>17.964206167068028</v>
      </c>
      <c r="EN27" s="1">
        <v>17.867575403978567</v>
      </c>
      <c r="EO27" s="1">
        <v>17.65391208326632</v>
      </c>
      <c r="EP27" s="1">
        <v>17.461203156226208</v>
      </c>
      <c r="EQ27" s="86">
        <v>17.318348313376685</v>
      </c>
      <c r="ER27" s="1">
        <v>16.045435454647883</v>
      </c>
      <c r="ES27" s="1">
        <v>16.033337860839087</v>
      </c>
      <c r="ET27" s="1">
        <v>15.918927560912902</v>
      </c>
      <c r="EU27" s="1">
        <v>15.442106416268119</v>
      </c>
      <c r="EV27" s="1">
        <v>14.011783035984644</v>
      </c>
      <c r="EW27" s="1">
        <v>23709.67063829787</v>
      </c>
      <c r="EX27" s="1">
        <v>20824.377278911565</v>
      </c>
      <c r="EY27" s="1">
        <v>19792.466686217009</v>
      </c>
      <c r="EZ27" s="1">
        <v>19900.370725388599</v>
      </c>
      <c r="FA27" s="1">
        <v>22707.311139896374</v>
      </c>
      <c r="FB27" s="1">
        <v>26323.402487046631</v>
      </c>
      <c r="FC27" s="1">
        <v>27944.602380952383</v>
      </c>
      <c r="FD27" s="1">
        <v>29932.966175637401</v>
      </c>
      <c r="FE27" s="1">
        <v>32690.805238095239</v>
      </c>
      <c r="FF27" s="1">
        <v>30931.648095238088</v>
      </c>
      <c r="FG27" s="1">
        <v>30358.707619047618</v>
      </c>
      <c r="FH27" s="1">
        <v>29794.91244047619</v>
      </c>
      <c r="FI27" s="1">
        <v>29294.332380952379</v>
      </c>
      <c r="FJ27" s="1">
        <v>28872.077916666673</v>
      </c>
      <c r="FK27" s="1">
        <v>29508.878511904761</v>
      </c>
      <c r="FL27" s="1">
        <v>29074.779940476186</v>
      </c>
      <c r="FM27" s="1">
        <v>30089.820555555558</v>
      </c>
      <c r="FN27" s="1">
        <v>30306.541217948718</v>
      </c>
      <c r="FO27" s="1">
        <v>29796.655627009648</v>
      </c>
      <c r="FP27" s="1">
        <v>29886.692983606554</v>
      </c>
      <c r="FQ27" s="1">
        <v>31220.111748251751</v>
      </c>
      <c r="FR27" s="5">
        <v>29</v>
      </c>
      <c r="FS27" s="5">
        <v>21</v>
      </c>
      <c r="FT27" s="5">
        <v>29</v>
      </c>
      <c r="FU27" s="5">
        <v>26</v>
      </c>
      <c r="FV27" s="5">
        <v>13</v>
      </c>
      <c r="FW27" s="5">
        <v>27</v>
      </c>
    </row>
    <row r="28" spans="1:179" x14ac:dyDescent="0.2">
      <c r="A28" s="5">
        <v>26</v>
      </c>
      <c r="B28" s="6" t="s">
        <v>197</v>
      </c>
      <c r="C28" s="9">
        <v>18</v>
      </c>
      <c r="D28" s="9">
        <v>18</v>
      </c>
      <c r="E28" s="9">
        <v>19</v>
      </c>
      <c r="F28" s="9">
        <v>20</v>
      </c>
      <c r="G28" s="9">
        <v>20</v>
      </c>
      <c r="H28" s="9">
        <v>19</v>
      </c>
      <c r="I28" s="9">
        <v>18</v>
      </c>
      <c r="J28" s="9">
        <v>18</v>
      </c>
      <c r="K28" s="9">
        <v>17</v>
      </c>
      <c r="L28" s="8">
        <v>17</v>
      </c>
      <c r="M28" s="8">
        <v>17</v>
      </c>
      <c r="N28" s="8">
        <v>17</v>
      </c>
      <c r="O28" s="85">
        <v>17</v>
      </c>
      <c r="P28" s="85">
        <v>17</v>
      </c>
      <c r="Q28" s="9">
        <v>17</v>
      </c>
      <c r="R28" s="9">
        <v>17</v>
      </c>
      <c r="S28" s="9">
        <v>17</v>
      </c>
      <c r="T28" s="9">
        <v>17</v>
      </c>
      <c r="U28" s="9">
        <v>16</v>
      </c>
      <c r="V28" s="9">
        <v>16</v>
      </c>
      <c r="W28" s="1">
        <v>17</v>
      </c>
      <c r="X28" s="9">
        <v>506</v>
      </c>
      <c r="Y28" s="9">
        <v>545</v>
      </c>
      <c r="Z28" s="9">
        <v>584</v>
      </c>
      <c r="AA28" s="9">
        <v>700</v>
      </c>
      <c r="AB28" s="9">
        <v>740</v>
      </c>
      <c r="AC28" s="9">
        <v>740</v>
      </c>
      <c r="AD28" s="8">
        <v>700</v>
      </c>
      <c r="AE28" s="8">
        <v>633</v>
      </c>
      <c r="AF28" s="8">
        <v>548</v>
      </c>
      <c r="AG28" s="8">
        <v>521</v>
      </c>
      <c r="AH28" s="8">
        <v>554</v>
      </c>
      <c r="AI28" s="9">
        <v>549</v>
      </c>
      <c r="AJ28" s="9">
        <v>549</v>
      </c>
      <c r="AK28" s="9">
        <v>551</v>
      </c>
      <c r="AL28" s="9">
        <v>551</v>
      </c>
      <c r="AM28" s="9">
        <v>557</v>
      </c>
      <c r="AN28" s="9">
        <v>562</v>
      </c>
      <c r="AO28" s="9">
        <v>556</v>
      </c>
      <c r="AP28" s="9">
        <v>566</v>
      </c>
      <c r="AQ28" s="9">
        <v>534</v>
      </c>
      <c r="AR28" s="9">
        <v>535</v>
      </c>
      <c r="AS28" s="9">
        <v>567</v>
      </c>
      <c r="AT28" s="9">
        <v>19115.317220000001</v>
      </c>
      <c r="AU28" s="8">
        <v>20995.509099999999</v>
      </c>
      <c r="AV28" s="9">
        <v>24509.500680000001</v>
      </c>
      <c r="AW28" s="8">
        <v>27705.476710000003</v>
      </c>
      <c r="AX28" s="8">
        <v>30627.192760000005</v>
      </c>
      <c r="AY28" s="8">
        <v>31565.094209999996</v>
      </c>
      <c r="AZ28" s="86">
        <v>31585.36348</v>
      </c>
      <c r="BA28" s="9">
        <v>33448.492100000003</v>
      </c>
      <c r="BB28" s="9">
        <v>34813.354229999997</v>
      </c>
      <c r="BC28" s="9">
        <v>33871.242160000009</v>
      </c>
      <c r="BD28" s="9">
        <v>32446.643650000002</v>
      </c>
      <c r="BE28" s="9">
        <v>32050.240599999997</v>
      </c>
      <c r="BF28" s="9">
        <v>31146.65091</v>
      </c>
      <c r="BG28" s="9">
        <v>31807.763279999999</v>
      </c>
      <c r="BH28" s="9">
        <v>32065.216499999999</v>
      </c>
      <c r="BI28" s="9">
        <v>32214.698250000001</v>
      </c>
      <c r="BJ28" s="9">
        <v>32505.031939999997</v>
      </c>
      <c r="BK28" s="9">
        <v>33209.056700000001</v>
      </c>
      <c r="BL28" s="9">
        <v>30700.599020000001</v>
      </c>
      <c r="BM28" s="1">
        <v>29927.891300000003</v>
      </c>
      <c r="BN28" s="1">
        <v>29739.975250000003</v>
      </c>
      <c r="BO28" s="1">
        <v>688693.36262000003</v>
      </c>
      <c r="BP28" s="1">
        <v>8314.9611599999989</v>
      </c>
      <c r="BQ28" s="1">
        <v>9313.3414200000007</v>
      </c>
      <c r="BR28" s="9">
        <v>8639.3559100000002</v>
      </c>
      <c r="BS28" s="9">
        <v>9833.8115799999996</v>
      </c>
      <c r="BT28" s="9">
        <v>11411.605210000002</v>
      </c>
      <c r="BU28" s="9">
        <v>12620.86256</v>
      </c>
      <c r="BV28" s="9">
        <v>12733.11699</v>
      </c>
      <c r="BW28" s="9">
        <v>13364.03549</v>
      </c>
      <c r="BX28" s="9">
        <v>14216.3104</v>
      </c>
      <c r="BY28" s="9">
        <v>13673.358930000002</v>
      </c>
      <c r="BZ28" s="9">
        <v>12933.784209999998</v>
      </c>
      <c r="CA28" s="9">
        <v>12689.258949999999</v>
      </c>
      <c r="CB28" s="9">
        <v>12233.113149999999</v>
      </c>
      <c r="CC28" s="9">
        <v>12597.91805</v>
      </c>
      <c r="CD28" s="8">
        <v>12764.978009999999</v>
      </c>
      <c r="CE28" s="8">
        <v>12887.94443</v>
      </c>
      <c r="CF28" s="8">
        <v>12992.001609999999</v>
      </c>
      <c r="CG28" s="8">
        <v>13395.10576</v>
      </c>
      <c r="CH28" s="8">
        <v>12227.0471</v>
      </c>
      <c r="CI28" s="8">
        <v>11998.626919999999</v>
      </c>
      <c r="CJ28" s="9">
        <v>11967.3302</v>
      </c>
      <c r="CK28" s="9">
        <v>272101.92452</v>
      </c>
      <c r="CL28" s="9">
        <v>689.91561923632469</v>
      </c>
      <c r="CM28" s="1">
        <v>758.90878979450542</v>
      </c>
      <c r="CN28" s="9">
        <v>883.22285011580436</v>
      </c>
      <c r="CO28" s="9">
        <v>990.51880096893649</v>
      </c>
      <c r="CP28" s="9">
        <v>1085.885180745423</v>
      </c>
      <c r="CQ28" s="9">
        <v>1111.6295870845522</v>
      </c>
      <c r="CR28" s="9">
        <v>1104.5807132296045</v>
      </c>
      <c r="CS28" s="9">
        <v>1160.264973728287</v>
      </c>
      <c r="CT28" s="9">
        <v>1196.1192484039088</v>
      </c>
      <c r="CU28" s="9">
        <v>1154.0534775504477</v>
      </c>
      <c r="CV28" s="9">
        <v>1097.5250721285167</v>
      </c>
      <c r="CW28" s="9">
        <v>1075.7040209488096</v>
      </c>
      <c r="CX28" s="9">
        <v>1039.8110895921009</v>
      </c>
      <c r="CY28" s="9">
        <v>1060.1287540241167</v>
      </c>
      <c r="CZ28" s="9">
        <v>1068.3105052443966</v>
      </c>
      <c r="DA28" s="9">
        <v>1073.4517893056568</v>
      </c>
      <c r="DB28" s="9">
        <v>1083.2293483034084</v>
      </c>
      <c r="DC28" s="9">
        <v>1106.5989307656757</v>
      </c>
      <c r="DD28" s="9">
        <v>1020.3685053905963</v>
      </c>
      <c r="DE28" s="9">
        <v>989.88433993263891</v>
      </c>
      <c r="DF28" s="9">
        <v>978.91212765726152</v>
      </c>
      <c r="DG28" s="9">
        <v>300.10600983515286</v>
      </c>
      <c r="DH28" s="9">
        <v>336.64230918769397</v>
      </c>
      <c r="DI28" s="9">
        <v>311.32729506079107</v>
      </c>
      <c r="DJ28" s="1">
        <v>351.57580420409386</v>
      </c>
      <c r="DK28" s="1">
        <v>404.59774041844832</v>
      </c>
      <c r="DL28" s="1">
        <v>444.46958221905101</v>
      </c>
      <c r="DM28" s="1">
        <v>445.29344914317875</v>
      </c>
      <c r="DN28" s="1">
        <v>463.57313329256914</v>
      </c>
      <c r="DO28" s="1">
        <v>488.44481914561766</v>
      </c>
      <c r="DP28" s="1">
        <v>465.87566373922334</v>
      </c>
      <c r="DQ28" s="1">
        <v>437.49216717442874</v>
      </c>
      <c r="DR28" s="1">
        <v>425.89030908478327</v>
      </c>
      <c r="DS28" s="1">
        <v>408.39468584794162</v>
      </c>
      <c r="DT28" s="1">
        <v>419.87910460972319</v>
      </c>
      <c r="DU28" s="1">
        <v>425.2882592355711</v>
      </c>
      <c r="DV28" s="1">
        <v>429.4495295747609</v>
      </c>
      <c r="DW28" s="1">
        <v>432.95811747346136</v>
      </c>
      <c r="DX28" s="1">
        <v>446.35443413570806</v>
      </c>
      <c r="DY28" s="1">
        <v>406.37949007574196</v>
      </c>
      <c r="DZ28" s="1">
        <v>396.86233720055606</v>
      </c>
      <c r="EA28" s="1">
        <v>393.91306045081529</v>
      </c>
      <c r="EB28" s="1">
        <v>19.709778862430113</v>
      </c>
      <c r="EC28" s="1">
        <v>21.09862034050688</v>
      </c>
      <c r="ED28" s="1">
        <v>25.161197191286345</v>
      </c>
      <c r="EE28" s="1">
        <v>26.315107596328133</v>
      </c>
      <c r="EF28" s="1">
        <v>26.158665135551665</v>
      </c>
      <c r="EG28" s="1">
        <v>24.559883234337157</v>
      </c>
      <c r="EH28" s="1">
        <v>22.064963438887524</v>
      </c>
      <c r="EI28" s="1">
        <v>18.917015495229005</v>
      </c>
      <c r="EJ28" s="1">
        <v>17.816912714562864</v>
      </c>
      <c r="EK28" s="1">
        <v>18.80661042869967</v>
      </c>
      <c r="EL28" s="1">
        <v>18.504036587545087</v>
      </c>
      <c r="EM28" s="1">
        <v>18.348852397142203</v>
      </c>
      <c r="EN28" s="1">
        <v>18.373918062701136</v>
      </c>
      <c r="EO28" s="1">
        <v>18.354920403721597</v>
      </c>
      <c r="EP28" s="1">
        <v>18.560126951109751</v>
      </c>
      <c r="EQ28" s="86">
        <v>18.726970282832767</v>
      </c>
      <c r="ER28" s="1">
        <v>18.53033330323268</v>
      </c>
      <c r="ES28" s="1">
        <v>18.857122300713598</v>
      </c>
      <c r="ET28" s="1">
        <v>17.7053774180056</v>
      </c>
      <c r="EU28" s="1">
        <v>17.652616304529843</v>
      </c>
      <c r="EV28" s="1">
        <v>18.618149568312329</v>
      </c>
      <c r="EW28" s="1">
        <v>36375.48471931494</v>
      </c>
      <c r="EX28" s="1">
        <v>37193.107351638617</v>
      </c>
      <c r="EY28" s="1">
        <v>38176.792336448598</v>
      </c>
      <c r="EZ28" s="1">
        <v>38479.828763888887</v>
      </c>
      <c r="FA28" s="1">
        <v>41388.098324324332</v>
      </c>
      <c r="FB28" s="1">
        <v>43840.408624999996</v>
      </c>
      <c r="FC28" s="1">
        <v>47389.892693173293</v>
      </c>
      <c r="FD28" s="1">
        <v>56644.355800169353</v>
      </c>
      <c r="FE28" s="1">
        <v>65132.561702525716</v>
      </c>
      <c r="FF28" s="1">
        <v>63016.264483720952</v>
      </c>
      <c r="FG28" s="1">
        <v>58833.442701722575</v>
      </c>
      <c r="FH28" s="1">
        <v>58379.308925318757</v>
      </c>
      <c r="FI28" s="1">
        <v>56630.274381818184</v>
      </c>
      <c r="FJ28" s="1">
        <v>57727.338076225038</v>
      </c>
      <c r="FK28" s="1">
        <v>57879.452166064984</v>
      </c>
      <c r="FL28" s="1">
        <v>57577.65549597855</v>
      </c>
      <c r="FM28" s="1">
        <v>58148.536565295166</v>
      </c>
      <c r="FN28" s="1">
        <v>59196.179500891267</v>
      </c>
      <c r="FO28" s="1">
        <v>55819.270945454555</v>
      </c>
      <c r="FP28" s="1">
        <v>55992.313002806368</v>
      </c>
      <c r="FQ28" s="1">
        <v>53974.546733212344</v>
      </c>
      <c r="FR28" s="5">
        <v>8</v>
      </c>
      <c r="FS28" s="5">
        <v>2</v>
      </c>
      <c r="FT28" s="5">
        <v>8</v>
      </c>
      <c r="FU28" s="5">
        <v>1</v>
      </c>
      <c r="FV28" s="5">
        <v>7</v>
      </c>
      <c r="FW28" s="5">
        <v>14</v>
      </c>
    </row>
    <row r="29" spans="1:179" x14ac:dyDescent="0.2">
      <c r="A29" s="5">
        <v>27</v>
      </c>
      <c r="B29" s="6" t="s">
        <v>198</v>
      </c>
      <c r="C29" s="9">
        <v>24</v>
      </c>
      <c r="D29" s="9">
        <v>26</v>
      </c>
      <c r="E29" s="9">
        <v>26</v>
      </c>
      <c r="F29" s="9">
        <v>26</v>
      </c>
      <c r="G29" s="9">
        <v>26</v>
      </c>
      <c r="H29" s="9">
        <v>26</v>
      </c>
      <c r="I29" s="9">
        <v>26</v>
      </c>
      <c r="J29" s="9">
        <v>26</v>
      </c>
      <c r="K29" s="9">
        <v>26</v>
      </c>
      <c r="L29" s="8">
        <v>25</v>
      </c>
      <c r="M29" s="8">
        <v>25</v>
      </c>
      <c r="N29" s="8">
        <v>25</v>
      </c>
      <c r="O29" s="85">
        <v>24</v>
      </c>
      <c r="P29" s="85">
        <v>24</v>
      </c>
      <c r="Q29" s="9">
        <v>24</v>
      </c>
      <c r="R29" s="9">
        <v>24</v>
      </c>
      <c r="S29" s="9">
        <v>24</v>
      </c>
      <c r="T29" s="9">
        <v>23</v>
      </c>
      <c r="U29" s="9">
        <v>23</v>
      </c>
      <c r="V29" s="9">
        <v>23</v>
      </c>
      <c r="W29" s="1">
        <v>23</v>
      </c>
      <c r="X29" s="9">
        <v>703</v>
      </c>
      <c r="Y29" s="9">
        <v>717</v>
      </c>
      <c r="Z29" s="9">
        <v>765</v>
      </c>
      <c r="AA29" s="9">
        <v>813</v>
      </c>
      <c r="AB29" s="9">
        <v>863</v>
      </c>
      <c r="AC29" s="9">
        <v>863</v>
      </c>
      <c r="AD29" s="8">
        <v>863</v>
      </c>
      <c r="AE29" s="8">
        <v>839</v>
      </c>
      <c r="AF29" s="8">
        <v>725</v>
      </c>
      <c r="AG29" s="8">
        <v>726</v>
      </c>
      <c r="AH29" s="8">
        <v>726</v>
      </c>
      <c r="AI29" s="9">
        <v>739</v>
      </c>
      <c r="AJ29" s="9">
        <v>740</v>
      </c>
      <c r="AK29" s="9">
        <v>726</v>
      </c>
      <c r="AL29" s="9">
        <v>725</v>
      </c>
      <c r="AM29" s="9">
        <v>740</v>
      </c>
      <c r="AN29" s="9">
        <v>741</v>
      </c>
      <c r="AO29" s="9">
        <v>741</v>
      </c>
      <c r="AP29" s="9">
        <v>740</v>
      </c>
      <c r="AQ29" s="9">
        <v>746</v>
      </c>
      <c r="AR29" s="9">
        <v>747</v>
      </c>
      <c r="AS29" s="9">
        <v>747</v>
      </c>
      <c r="AT29" s="9">
        <v>39770.871999999996</v>
      </c>
      <c r="AU29" s="8">
        <v>44365.903660000004</v>
      </c>
      <c r="AV29" s="9">
        <v>50347.902730000002</v>
      </c>
      <c r="AW29" s="8">
        <v>55726.44369</v>
      </c>
      <c r="AX29" s="8">
        <v>60106.952819999999</v>
      </c>
      <c r="AY29" s="8">
        <v>63817.629650000003</v>
      </c>
      <c r="AZ29" s="86">
        <v>65511.220100000006</v>
      </c>
      <c r="BA29" s="9">
        <v>64893.156069999997</v>
      </c>
      <c r="BB29" s="9">
        <v>68161.634579999998</v>
      </c>
      <c r="BC29" s="9">
        <v>65059.630239999999</v>
      </c>
      <c r="BD29" s="9">
        <v>64925.277709999995</v>
      </c>
      <c r="BE29" s="9">
        <v>62189.994099999996</v>
      </c>
      <c r="BF29" s="9">
        <v>62586.194230000001</v>
      </c>
      <c r="BG29" s="9">
        <v>60780.419209999993</v>
      </c>
      <c r="BH29" s="9">
        <v>60662.916359999996</v>
      </c>
      <c r="BI29" s="9">
        <v>62749.824030000003</v>
      </c>
      <c r="BJ29" s="9">
        <v>61942.483730000007</v>
      </c>
      <c r="BK29" s="9">
        <v>61053.196660000001</v>
      </c>
      <c r="BL29" s="9">
        <v>57614.03456</v>
      </c>
      <c r="BM29" s="1">
        <v>58058.360149999993</v>
      </c>
      <c r="BN29" s="1">
        <v>59232.014909999998</v>
      </c>
      <c r="BO29" s="1">
        <v>1350769.7928009999</v>
      </c>
      <c r="BP29" s="1">
        <v>18044.256120000002</v>
      </c>
      <c r="BQ29" s="1">
        <v>20308.12758</v>
      </c>
      <c r="BR29" s="9">
        <v>18679.530859999999</v>
      </c>
      <c r="BS29" s="9">
        <v>20739.469090000002</v>
      </c>
      <c r="BT29" s="9">
        <v>24158.273089999999</v>
      </c>
      <c r="BU29" s="9">
        <v>28273.598890000001</v>
      </c>
      <c r="BV29" s="9">
        <v>29247.294510000003</v>
      </c>
      <c r="BW29" s="9">
        <v>28667.295249999999</v>
      </c>
      <c r="BX29" s="9">
        <v>30449.715229999998</v>
      </c>
      <c r="BY29" s="9">
        <v>28657.299580000003</v>
      </c>
      <c r="BZ29" s="9">
        <v>28526.440620000001</v>
      </c>
      <c r="CA29" s="9">
        <v>27014.139269999996</v>
      </c>
      <c r="CB29" s="9">
        <v>27216.091209999999</v>
      </c>
      <c r="CC29" s="9">
        <v>26186.82416</v>
      </c>
      <c r="CD29" s="8">
        <v>26099.823370000002</v>
      </c>
      <c r="CE29" s="8">
        <v>27349.533169999999</v>
      </c>
      <c r="CF29" s="8">
        <v>26951.753060000003</v>
      </c>
      <c r="CG29" s="8">
        <v>26452.87815</v>
      </c>
      <c r="CH29" s="8">
        <v>24533.896649999999</v>
      </c>
      <c r="CI29" s="8">
        <v>24900.354089999997</v>
      </c>
      <c r="CJ29" s="9">
        <v>25595.24797</v>
      </c>
      <c r="CK29" s="9">
        <v>576286.75735000009</v>
      </c>
      <c r="CL29" s="9">
        <v>375.19097179461153</v>
      </c>
      <c r="CM29" s="1">
        <v>412.27594099048338</v>
      </c>
      <c r="CN29" s="9">
        <v>461.60258410566905</v>
      </c>
      <c r="CO29" s="9">
        <v>505.42358935936426</v>
      </c>
      <c r="CP29" s="9">
        <v>540.37749100748658</v>
      </c>
      <c r="CQ29" s="9">
        <v>569.28862812167631</v>
      </c>
      <c r="CR29" s="9">
        <v>578.99102205887777</v>
      </c>
      <c r="CS29" s="9">
        <v>566.18483956803004</v>
      </c>
      <c r="CT29" s="9">
        <v>586.49016709988655</v>
      </c>
      <c r="CU29" s="9">
        <v>551.97065601768145</v>
      </c>
      <c r="CV29" s="9">
        <v>541.66077822752618</v>
      </c>
      <c r="CW29" s="9">
        <v>509.70907710803101</v>
      </c>
      <c r="CX29" s="9">
        <v>505.10014094711454</v>
      </c>
      <c r="CY29" s="9">
        <v>484.01816864923097</v>
      </c>
      <c r="CZ29" s="9">
        <v>477.53858553425562</v>
      </c>
      <c r="DA29" s="9">
        <v>489.08398152878181</v>
      </c>
      <c r="DB29" s="9">
        <v>478.26447220936063</v>
      </c>
      <c r="DC29" s="9">
        <v>467.26868122146817</v>
      </c>
      <c r="DD29" s="9">
        <v>437.77210304339644</v>
      </c>
      <c r="DE29" s="9">
        <v>438.41660427060373</v>
      </c>
      <c r="DF29" s="9">
        <v>444.47059219772456</v>
      </c>
      <c r="DG29" s="9">
        <v>170.22613909430169</v>
      </c>
      <c r="DH29" s="9">
        <v>188.71592184761303</v>
      </c>
      <c r="DI29" s="9">
        <v>171.25876644946774</v>
      </c>
      <c r="DJ29" s="1">
        <v>188.10130729293971</v>
      </c>
      <c r="DK29" s="1">
        <v>217.18929985590776</v>
      </c>
      <c r="DL29" s="1">
        <v>252.21617306105395</v>
      </c>
      <c r="DM29" s="1">
        <v>258.48886518909308</v>
      </c>
      <c r="DN29" s="1">
        <v>250.11864031489381</v>
      </c>
      <c r="DO29" s="1">
        <v>262.00161840934913</v>
      </c>
      <c r="DP29" s="1">
        <v>243.13062325310608</v>
      </c>
      <c r="DQ29" s="1">
        <v>237.99134283734614</v>
      </c>
      <c r="DR29" s="1">
        <v>221.40783570486812</v>
      </c>
      <c r="DS29" s="1">
        <v>219.64670763781831</v>
      </c>
      <c r="DT29" s="1">
        <v>208.53588766589618</v>
      </c>
      <c r="DU29" s="1">
        <v>205.45785601270606</v>
      </c>
      <c r="DV29" s="1">
        <v>213.16742767823638</v>
      </c>
      <c r="DW29" s="1">
        <v>208.09733766156685</v>
      </c>
      <c r="DX29" s="1">
        <v>202.45625395338132</v>
      </c>
      <c r="DY29" s="1">
        <v>186.41734803582966</v>
      </c>
      <c r="DZ29" s="1">
        <v>188.03026225799178</v>
      </c>
      <c r="EA29" s="1">
        <v>192.0639546022411</v>
      </c>
      <c r="EB29" s="1">
        <v>6.7130429522711079</v>
      </c>
      <c r="EC29" s="1">
        <v>7.0560686441408924</v>
      </c>
      <c r="ED29" s="1">
        <v>7.4093229201888393</v>
      </c>
      <c r="EE29" s="1">
        <v>7.7897087977792792</v>
      </c>
      <c r="EF29" s="1">
        <v>7.7277377137942302</v>
      </c>
      <c r="EG29" s="1">
        <v>7.6693602767947242</v>
      </c>
      <c r="EH29" s="1">
        <v>7.3746090958077106</v>
      </c>
      <c r="EI29" s="1">
        <v>6.2791854121324544</v>
      </c>
      <c r="EJ29" s="1">
        <v>6.2062791780365671</v>
      </c>
      <c r="EK29" s="1">
        <v>6.1132966897542289</v>
      </c>
      <c r="EL29" s="1">
        <v>6.1089940008602239</v>
      </c>
      <c r="EM29" s="1">
        <v>6.0137007760503378</v>
      </c>
      <c r="EN29" s="1">
        <v>5.8189570478044361</v>
      </c>
      <c r="EO29" s="1">
        <v>5.7364537111662486</v>
      </c>
      <c r="EP29" s="1">
        <v>5.7957266399234433</v>
      </c>
      <c r="EQ29" s="86">
        <v>5.7476993608231322</v>
      </c>
      <c r="ER29" s="1">
        <v>5.6952201568945364</v>
      </c>
      <c r="ES29" s="1">
        <v>5.6397993633280645</v>
      </c>
      <c r="ET29" s="1">
        <v>5.6513269483485882</v>
      </c>
      <c r="EU29" s="1">
        <v>5.6228679471751155</v>
      </c>
      <c r="EV29" s="1">
        <v>5.588053536527342</v>
      </c>
      <c r="EW29" s="1">
        <v>56015.312676056325</v>
      </c>
      <c r="EX29" s="1">
        <v>59873.014385964918</v>
      </c>
      <c r="EY29" s="1">
        <v>63812.297503168571</v>
      </c>
      <c r="EZ29" s="1">
        <v>66499.336145584719</v>
      </c>
      <c r="FA29" s="1">
        <v>69648.844519119346</v>
      </c>
      <c r="FB29" s="1">
        <v>73948.5859212051</v>
      </c>
      <c r="FC29" s="1">
        <v>76981.457226792016</v>
      </c>
      <c r="FD29" s="1">
        <v>82983.575537084398</v>
      </c>
      <c r="FE29" s="1">
        <v>93951.253728463125</v>
      </c>
      <c r="FF29" s="1">
        <v>89613.815757575765</v>
      </c>
      <c r="FG29" s="1">
        <v>88635.191412969274</v>
      </c>
      <c r="FH29" s="1">
        <v>84097.355104800532</v>
      </c>
      <c r="FI29" s="1">
        <v>85383.621050477494</v>
      </c>
      <c r="FJ29" s="1">
        <v>83777.283542384554</v>
      </c>
      <c r="FK29" s="1">
        <v>82816.268068259378</v>
      </c>
      <c r="FL29" s="1">
        <v>84739.802876434842</v>
      </c>
      <c r="FM29" s="1">
        <v>83593.095452091773</v>
      </c>
      <c r="FN29" s="1">
        <v>82448.611289669148</v>
      </c>
      <c r="FO29" s="1">
        <v>77542.442207267843</v>
      </c>
      <c r="FP29" s="1">
        <v>77774.09263228398</v>
      </c>
      <c r="FQ29" s="1">
        <v>79293.192650602403</v>
      </c>
      <c r="FR29" s="5">
        <v>3</v>
      </c>
      <c r="FS29" s="5">
        <v>22</v>
      </c>
      <c r="FT29" s="5">
        <v>3</v>
      </c>
      <c r="FU29" s="5">
        <v>17</v>
      </c>
      <c r="FV29" s="5">
        <v>39</v>
      </c>
      <c r="FW29" s="5">
        <v>6</v>
      </c>
    </row>
    <row r="30" spans="1:179" x14ac:dyDescent="0.2">
      <c r="A30" s="5">
        <v>28</v>
      </c>
      <c r="B30" s="6" t="s">
        <v>199</v>
      </c>
      <c r="C30" s="9">
        <v>12</v>
      </c>
      <c r="D30" s="9">
        <v>12</v>
      </c>
      <c r="E30" s="9">
        <v>12</v>
      </c>
      <c r="F30" s="9">
        <v>12</v>
      </c>
      <c r="G30" s="9">
        <v>12</v>
      </c>
      <c r="H30" s="9">
        <v>12</v>
      </c>
      <c r="I30" s="9">
        <v>12</v>
      </c>
      <c r="J30" s="9">
        <v>12</v>
      </c>
      <c r="K30" s="9">
        <v>11</v>
      </c>
      <c r="L30" s="8">
        <v>11</v>
      </c>
      <c r="M30" s="8">
        <v>11</v>
      </c>
      <c r="N30" s="8">
        <v>10</v>
      </c>
      <c r="O30" s="85">
        <v>10</v>
      </c>
      <c r="P30" s="85">
        <v>10</v>
      </c>
      <c r="Q30" s="9">
        <v>10</v>
      </c>
      <c r="R30" s="9">
        <v>10</v>
      </c>
      <c r="S30" s="9">
        <v>11</v>
      </c>
      <c r="T30" s="9">
        <v>11</v>
      </c>
      <c r="U30" s="9">
        <v>11</v>
      </c>
      <c r="V30" s="9">
        <v>10</v>
      </c>
      <c r="W30" s="1">
        <v>10</v>
      </c>
      <c r="X30" s="9">
        <v>318</v>
      </c>
      <c r="Y30" s="9">
        <v>331</v>
      </c>
      <c r="Z30" s="9">
        <v>352</v>
      </c>
      <c r="AA30" s="9">
        <v>352</v>
      </c>
      <c r="AB30" s="9">
        <v>352</v>
      </c>
      <c r="AC30" s="9">
        <v>352</v>
      </c>
      <c r="AD30" s="8">
        <v>352</v>
      </c>
      <c r="AE30" s="8">
        <v>323</v>
      </c>
      <c r="AF30" s="8">
        <v>304</v>
      </c>
      <c r="AG30" s="8">
        <v>298</v>
      </c>
      <c r="AH30" s="8">
        <v>303</v>
      </c>
      <c r="AI30" s="9">
        <v>303</v>
      </c>
      <c r="AJ30" s="9">
        <v>293</v>
      </c>
      <c r="AK30" s="9">
        <v>303</v>
      </c>
      <c r="AL30" s="9">
        <v>306</v>
      </c>
      <c r="AM30" s="9">
        <v>316</v>
      </c>
      <c r="AN30" s="9">
        <v>316</v>
      </c>
      <c r="AO30" s="9">
        <v>350</v>
      </c>
      <c r="AP30" s="9">
        <v>353</v>
      </c>
      <c r="AQ30" s="9">
        <v>358</v>
      </c>
      <c r="AR30" s="9">
        <v>348</v>
      </c>
      <c r="AS30" s="9">
        <v>355</v>
      </c>
      <c r="AT30" s="9">
        <v>18644.249219999998</v>
      </c>
      <c r="AU30" s="8">
        <v>20224.596440000001</v>
      </c>
      <c r="AV30" s="9">
        <v>22278.646990000001</v>
      </c>
      <c r="AW30" s="8">
        <v>24855.043920000004</v>
      </c>
      <c r="AX30" s="8">
        <v>27394.870419999999</v>
      </c>
      <c r="AY30" s="8">
        <v>30268.624770000002</v>
      </c>
      <c r="AZ30" s="86">
        <v>31535.169669999999</v>
      </c>
      <c r="BA30" s="9">
        <v>31098.586479999998</v>
      </c>
      <c r="BB30" s="9">
        <v>32529.326170000004</v>
      </c>
      <c r="BC30" s="9">
        <v>31400.759749999997</v>
      </c>
      <c r="BD30" s="9">
        <v>32513.807230000006</v>
      </c>
      <c r="BE30" s="9">
        <v>31281.415719999997</v>
      </c>
      <c r="BF30" s="9">
        <v>32393.485650000002</v>
      </c>
      <c r="BG30" s="9">
        <v>32859.836649999997</v>
      </c>
      <c r="BH30" s="9">
        <v>31963.824360000002</v>
      </c>
      <c r="BI30" s="9">
        <v>31669.396839999998</v>
      </c>
      <c r="BJ30" s="9">
        <v>32460.945520000001</v>
      </c>
      <c r="BK30" s="9">
        <v>33497.573179999999</v>
      </c>
      <c r="BL30" s="9">
        <v>32205.912339999995</v>
      </c>
      <c r="BM30" s="1">
        <v>32238.765720000003</v>
      </c>
      <c r="BN30" s="1">
        <v>33737.34764</v>
      </c>
      <c r="BO30" s="1">
        <v>681250.27453000005</v>
      </c>
      <c r="BP30" s="1">
        <v>8473.4481599999999</v>
      </c>
      <c r="BQ30" s="1">
        <v>9206.0075699999998</v>
      </c>
      <c r="BR30" s="9">
        <v>8235.6675200000009</v>
      </c>
      <c r="BS30" s="9">
        <v>9232.1941700000007</v>
      </c>
      <c r="BT30" s="9">
        <v>11043.84742</v>
      </c>
      <c r="BU30" s="9">
        <v>13625.01093</v>
      </c>
      <c r="BV30" s="9">
        <v>14369.31559</v>
      </c>
      <c r="BW30" s="9">
        <v>14053.18534</v>
      </c>
      <c r="BX30" s="9">
        <v>14864.072800000002</v>
      </c>
      <c r="BY30" s="9">
        <v>14220.215990000001</v>
      </c>
      <c r="BZ30" s="9">
        <v>14933.86182</v>
      </c>
      <c r="CA30" s="9">
        <v>14182.480820000001</v>
      </c>
      <c r="CB30" s="9">
        <v>14914.467540000001</v>
      </c>
      <c r="CC30" s="9">
        <v>15202.38335</v>
      </c>
      <c r="CD30" s="8">
        <v>14696.816710000001</v>
      </c>
      <c r="CE30" s="8">
        <v>14526.003929999999</v>
      </c>
      <c r="CF30" s="8">
        <v>14612.311389999999</v>
      </c>
      <c r="CG30" s="8">
        <v>15007.064200000001</v>
      </c>
      <c r="CH30" s="8">
        <v>14201.22529</v>
      </c>
      <c r="CI30" s="8">
        <v>14231.760960000001</v>
      </c>
      <c r="CJ30" s="9">
        <v>15078.04081</v>
      </c>
      <c r="CK30" s="9">
        <v>299188.87529</v>
      </c>
      <c r="CL30" s="9">
        <v>399.76482764349674</v>
      </c>
      <c r="CM30" s="1">
        <v>428.49412312762252</v>
      </c>
      <c r="CN30" s="9">
        <v>467.43548073738771</v>
      </c>
      <c r="CO30" s="9">
        <v>516.52400076276263</v>
      </c>
      <c r="CP30" s="9">
        <v>561.83494613518451</v>
      </c>
      <c r="CQ30" s="9">
        <v>613.03061758876504</v>
      </c>
      <c r="CR30" s="9">
        <v>629.89893511112268</v>
      </c>
      <c r="CS30" s="9">
        <v>610.72949024110824</v>
      </c>
      <c r="CT30" s="9">
        <v>627.05094676762337</v>
      </c>
      <c r="CU30" s="9">
        <v>591.72975156555196</v>
      </c>
      <c r="CV30" s="9">
        <v>596.2182677379659</v>
      </c>
      <c r="CW30" s="9">
        <v>557.77582158945449</v>
      </c>
      <c r="CX30" s="9">
        <v>562.04251635281844</v>
      </c>
      <c r="CY30" s="9">
        <v>553.96898363966136</v>
      </c>
      <c r="CZ30" s="9">
        <v>523.3244316412538</v>
      </c>
      <c r="DA30" s="9">
        <v>504.47635954127628</v>
      </c>
      <c r="DB30" s="9">
        <v>505.16121137258114</v>
      </c>
      <c r="DC30" s="9">
        <v>511.13443461742281</v>
      </c>
      <c r="DD30" s="9">
        <v>482.68683105696937</v>
      </c>
      <c r="DE30" s="9">
        <v>475.69536076328632</v>
      </c>
      <c r="DF30" s="9">
        <v>490.31749196000771</v>
      </c>
      <c r="DG30" s="9">
        <v>181.68532844941797</v>
      </c>
      <c r="DH30" s="9">
        <v>195.0456788058118</v>
      </c>
      <c r="DI30" s="9">
        <v>172.79519748808991</v>
      </c>
      <c r="DJ30" s="1">
        <v>191.85843661575197</v>
      </c>
      <c r="DK30" s="1">
        <v>226.49566598464301</v>
      </c>
      <c r="DL30" s="1">
        <v>275.94741844201644</v>
      </c>
      <c r="DM30" s="1">
        <v>287.01975233154513</v>
      </c>
      <c r="DN30" s="1">
        <v>275.9834349539226</v>
      </c>
      <c r="DO30" s="1">
        <v>286.52702098264456</v>
      </c>
      <c r="DP30" s="1">
        <v>267.97201538957</v>
      </c>
      <c r="DQ30" s="1">
        <v>273.84800438698255</v>
      </c>
      <c r="DR30" s="1">
        <v>252.88640905387325</v>
      </c>
      <c r="DS30" s="1">
        <v>258.77316682788131</v>
      </c>
      <c r="DT30" s="1">
        <v>256.29004011801777</v>
      </c>
      <c r="DU30" s="1">
        <v>240.62212221768169</v>
      </c>
      <c r="DV30" s="1">
        <v>231.3913845063515</v>
      </c>
      <c r="DW30" s="1">
        <v>227.39858018546605</v>
      </c>
      <c r="DX30" s="1">
        <v>228.99053713282663</v>
      </c>
      <c r="DY30" s="1">
        <v>212.84118145731102</v>
      </c>
      <c r="DZ30" s="1">
        <v>209.99509481729791</v>
      </c>
      <c r="EA30" s="1">
        <v>219.13480669904385</v>
      </c>
      <c r="EB30" s="1">
        <v>7.060464414576793</v>
      </c>
      <c r="EC30" s="1">
        <v>7.4077645812974851</v>
      </c>
      <c r="ED30" s="1">
        <v>7.3632208922695943</v>
      </c>
      <c r="EE30" s="1">
        <v>7.2675497056393832</v>
      </c>
      <c r="EF30" s="1">
        <v>7.1712626100780383</v>
      </c>
      <c r="EG30" s="1">
        <v>7.0873469794430326</v>
      </c>
      <c r="EH30" s="1">
        <v>6.4008894523318967</v>
      </c>
      <c r="EI30" s="1">
        <v>5.9168083084925449</v>
      </c>
      <c r="EJ30" s="1">
        <v>5.6898109297703838</v>
      </c>
      <c r="EK30" s="1">
        <v>5.6363941608462564</v>
      </c>
      <c r="EL30" s="1">
        <v>5.4783107974187324</v>
      </c>
      <c r="EM30" s="1">
        <v>5.1533869138656918</v>
      </c>
      <c r="EN30" s="1">
        <v>5.1870438201518629</v>
      </c>
      <c r="EO30" s="1">
        <v>5.0814159437662347</v>
      </c>
      <c r="EP30" s="1">
        <v>5.1019267238179982</v>
      </c>
      <c r="EQ30" s="86">
        <v>4.9672915859576996</v>
      </c>
      <c r="ER30" s="1">
        <v>5.3928276849512864</v>
      </c>
      <c r="ES30" s="1">
        <v>5.3347065683981469</v>
      </c>
      <c r="ET30" s="1">
        <v>5.3215307706968469</v>
      </c>
      <c r="EU30" s="1">
        <v>5.0974169977699022</v>
      </c>
      <c r="EV30" s="1">
        <v>5.1193734979669197</v>
      </c>
      <c r="EW30" s="1">
        <v>57455.31346687211</v>
      </c>
      <c r="EX30" s="1">
        <v>59222.829985358716</v>
      </c>
      <c r="EY30" s="1">
        <v>63291.610767045458</v>
      </c>
      <c r="EZ30" s="1">
        <v>70610.920227272742</v>
      </c>
      <c r="FA30" s="1">
        <v>77826.336420454536</v>
      </c>
      <c r="FB30" s="1">
        <v>85990.411278409098</v>
      </c>
      <c r="FC30" s="1">
        <v>93437.539762962959</v>
      </c>
      <c r="FD30" s="1">
        <v>99198.042998405086</v>
      </c>
      <c r="FE30" s="1">
        <v>108070.85106312294</v>
      </c>
      <c r="FF30" s="1">
        <v>104495.04076539101</v>
      </c>
      <c r="FG30" s="1">
        <v>107306.29448844885</v>
      </c>
      <c r="FH30" s="1">
        <v>104971.19369127517</v>
      </c>
      <c r="FI30" s="1">
        <v>108702.97197986578</v>
      </c>
      <c r="FJ30" s="1">
        <v>107914.0776683087</v>
      </c>
      <c r="FK30" s="1">
        <v>102777.57028938908</v>
      </c>
      <c r="FL30" s="1">
        <v>100219.61025316454</v>
      </c>
      <c r="FM30" s="1">
        <v>97480.316876876881</v>
      </c>
      <c r="FN30" s="1">
        <v>95298.927965860596</v>
      </c>
      <c r="FO30" s="1">
        <v>90593.283656821368</v>
      </c>
      <c r="FP30" s="1">
        <v>91327.948215297452</v>
      </c>
      <c r="FQ30" s="1">
        <v>95981.074366998582</v>
      </c>
      <c r="FR30" s="5">
        <v>6</v>
      </c>
      <c r="FS30" s="5">
        <v>20</v>
      </c>
      <c r="FT30" s="5">
        <v>6</v>
      </c>
      <c r="FU30" s="5">
        <v>15</v>
      </c>
      <c r="FV30" s="5">
        <v>40</v>
      </c>
      <c r="FW30" s="5">
        <v>2</v>
      </c>
    </row>
    <row r="31" spans="1:179" x14ac:dyDescent="0.2">
      <c r="A31" s="5">
        <v>29</v>
      </c>
      <c r="B31" s="6" t="s">
        <v>200</v>
      </c>
      <c r="C31" s="9">
        <v>44</v>
      </c>
      <c r="D31" s="9">
        <v>46</v>
      </c>
      <c r="E31" s="9">
        <v>46</v>
      </c>
      <c r="F31" s="9">
        <v>47</v>
      </c>
      <c r="G31" s="9">
        <v>48</v>
      </c>
      <c r="H31" s="9">
        <v>46</v>
      </c>
      <c r="I31" s="9">
        <v>47</v>
      </c>
      <c r="J31" s="9">
        <v>48</v>
      </c>
      <c r="K31" s="9">
        <v>46</v>
      </c>
      <c r="L31" s="8">
        <v>46</v>
      </c>
      <c r="M31" s="8">
        <v>46</v>
      </c>
      <c r="N31" s="8">
        <v>45</v>
      </c>
      <c r="O31" s="85">
        <v>45</v>
      </c>
      <c r="P31" s="85">
        <v>44</v>
      </c>
      <c r="Q31" s="9">
        <v>43</v>
      </c>
      <c r="R31" s="9">
        <v>41</v>
      </c>
      <c r="S31" s="9">
        <v>40</v>
      </c>
      <c r="T31" s="9">
        <v>40</v>
      </c>
      <c r="U31" s="9">
        <v>40</v>
      </c>
      <c r="V31" s="9">
        <v>39</v>
      </c>
      <c r="W31" s="1">
        <v>36</v>
      </c>
      <c r="X31" s="9">
        <v>1008</v>
      </c>
      <c r="Y31" s="9">
        <v>1095</v>
      </c>
      <c r="Z31" s="9">
        <v>1190</v>
      </c>
      <c r="AA31" s="9">
        <v>1312</v>
      </c>
      <c r="AB31" s="9">
        <v>1366</v>
      </c>
      <c r="AC31" s="9">
        <v>1373</v>
      </c>
      <c r="AD31" s="8">
        <v>1331</v>
      </c>
      <c r="AE31" s="8">
        <v>1340</v>
      </c>
      <c r="AF31" s="8">
        <v>1221</v>
      </c>
      <c r="AG31" s="8">
        <v>1233</v>
      </c>
      <c r="AH31" s="8">
        <v>1255</v>
      </c>
      <c r="AI31" s="9">
        <v>1251</v>
      </c>
      <c r="AJ31" s="9">
        <v>1252</v>
      </c>
      <c r="AK31" s="9">
        <v>1255</v>
      </c>
      <c r="AL31" s="9">
        <v>1247</v>
      </c>
      <c r="AM31" s="9">
        <v>1212</v>
      </c>
      <c r="AN31" s="9">
        <v>1193</v>
      </c>
      <c r="AO31" s="9">
        <v>1153</v>
      </c>
      <c r="AP31" s="9">
        <v>1161</v>
      </c>
      <c r="AQ31" s="9">
        <v>1174</v>
      </c>
      <c r="AR31" s="9">
        <v>1174</v>
      </c>
      <c r="AS31" s="9">
        <v>1129</v>
      </c>
      <c r="AT31" s="9">
        <v>38319.150799999996</v>
      </c>
      <c r="AU31" s="8">
        <v>41483.995190000001</v>
      </c>
      <c r="AV31" s="9">
        <v>46386.794929999996</v>
      </c>
      <c r="AW31" s="8">
        <v>54824.726860000002</v>
      </c>
      <c r="AX31" s="8">
        <v>59786.844619999996</v>
      </c>
      <c r="AY31" s="8">
        <v>64253</v>
      </c>
      <c r="AZ31" s="86">
        <v>67743</v>
      </c>
      <c r="BA31" s="9">
        <v>74778.788350000017</v>
      </c>
      <c r="BB31" s="9">
        <v>79974.553409999993</v>
      </c>
      <c r="BC31" s="9">
        <v>78769.517550000004</v>
      </c>
      <c r="BD31" s="9">
        <v>79174.176269999996</v>
      </c>
      <c r="BE31" s="9">
        <v>77114.962019999992</v>
      </c>
      <c r="BF31" s="9">
        <v>79399.647169999997</v>
      </c>
      <c r="BG31" s="9">
        <v>79016.837579999992</v>
      </c>
      <c r="BH31" s="9">
        <v>78048.089089999994</v>
      </c>
      <c r="BI31" s="9">
        <v>75552.056229999987</v>
      </c>
      <c r="BJ31" s="9">
        <v>75771.869739999995</v>
      </c>
      <c r="BK31" s="9">
        <v>75619.079329999993</v>
      </c>
      <c r="BL31" s="9">
        <v>73149.56382000001</v>
      </c>
      <c r="BM31" s="1">
        <v>73176.583970000007</v>
      </c>
      <c r="BN31" s="1">
        <v>72500.01423999999</v>
      </c>
      <c r="BO31" s="1">
        <v>1561371.5279100002</v>
      </c>
      <c r="BP31" s="1">
        <v>16502.00647</v>
      </c>
      <c r="BQ31" s="1">
        <v>17867.147700000001</v>
      </c>
      <c r="BR31" s="9">
        <v>16088.343339999999</v>
      </c>
      <c r="BS31" s="9">
        <v>19356.960129999999</v>
      </c>
      <c r="BT31" s="9">
        <v>21694.62545</v>
      </c>
      <c r="BU31" s="9">
        <v>24539.961640000001</v>
      </c>
      <c r="BV31" s="9">
        <v>25958.507799999999</v>
      </c>
      <c r="BW31" s="9">
        <v>28419.1086</v>
      </c>
      <c r="BX31" s="9">
        <v>30676.407859999999</v>
      </c>
      <c r="BY31" s="9">
        <v>29430.917909999996</v>
      </c>
      <c r="BZ31" s="9">
        <v>29815.157500000001</v>
      </c>
      <c r="CA31" s="9">
        <v>29047.570949999994</v>
      </c>
      <c r="CB31" s="9">
        <v>30310.533649999998</v>
      </c>
      <c r="CC31" s="9">
        <v>30100.001499999998</v>
      </c>
      <c r="CD31" s="8">
        <v>29817.256280000001</v>
      </c>
      <c r="CE31" s="8">
        <v>28677.877370000002</v>
      </c>
      <c r="CF31" s="8">
        <v>28850.81007</v>
      </c>
      <c r="CG31" s="8">
        <v>28854.43737</v>
      </c>
      <c r="CH31" s="8">
        <v>27560.716119999997</v>
      </c>
      <c r="CI31" s="8">
        <v>27596.892340000002</v>
      </c>
      <c r="CJ31" s="9">
        <v>27447.101719999999</v>
      </c>
      <c r="CK31" s="9">
        <v>591397.73875000002</v>
      </c>
      <c r="CL31" s="9">
        <v>483.36877390012853</v>
      </c>
      <c r="CM31" s="1">
        <v>521.77275558071915</v>
      </c>
      <c r="CN31" s="9">
        <v>582.18137908612766</v>
      </c>
      <c r="CO31" s="9">
        <v>684.00234830885847</v>
      </c>
      <c r="CP31" s="9">
        <v>738.66558869296512</v>
      </c>
      <c r="CQ31" s="9">
        <v>787.41199506644659</v>
      </c>
      <c r="CR31" s="9">
        <v>823.64779455678195</v>
      </c>
      <c r="CS31" s="9">
        <v>898.92109241602407</v>
      </c>
      <c r="CT31" s="9">
        <v>945.04429497783224</v>
      </c>
      <c r="CU31" s="9">
        <v>911.11583642753351</v>
      </c>
      <c r="CV31" s="9">
        <v>897.21995589376002</v>
      </c>
      <c r="CW31" s="9">
        <v>857.06423906349607</v>
      </c>
      <c r="CX31" s="9">
        <v>866.30437471558992</v>
      </c>
      <c r="CY31" s="9">
        <v>847.74897241361714</v>
      </c>
      <c r="CZ31" s="9">
        <v>824.03992599413812</v>
      </c>
      <c r="DA31" s="9">
        <v>785.64141181469904</v>
      </c>
      <c r="DB31" s="9">
        <v>777.2744610227719</v>
      </c>
      <c r="DC31" s="9">
        <v>766.27467409095937</v>
      </c>
      <c r="DD31" s="9">
        <v>734.42356292217789</v>
      </c>
      <c r="DE31" s="9">
        <v>728.50918074596245</v>
      </c>
      <c r="DF31" s="9">
        <v>715.10332452354373</v>
      </c>
      <c r="DG31" s="9">
        <v>208.16104918212042</v>
      </c>
      <c r="DH31" s="9">
        <v>224.72741227305855</v>
      </c>
      <c r="DI31" s="9">
        <v>201.91810895809002</v>
      </c>
      <c r="DJ31" s="1">
        <v>241.50063198401398</v>
      </c>
      <c r="DK31" s="1">
        <v>268.03677935090252</v>
      </c>
      <c r="DL31" s="1">
        <v>300.73397590472769</v>
      </c>
      <c r="DM31" s="1">
        <v>315.61442067010648</v>
      </c>
      <c r="DN31" s="1">
        <v>341.62811021531633</v>
      </c>
      <c r="DO31" s="1">
        <v>362.49735700157294</v>
      </c>
      <c r="DP31" s="1">
        <v>340.42325283227183</v>
      </c>
      <c r="DQ31" s="1">
        <v>337.87221487331942</v>
      </c>
      <c r="DR31" s="1">
        <v>322.8379245839206</v>
      </c>
      <c r="DS31" s="1">
        <v>330.7086219758462</v>
      </c>
      <c r="DT31" s="1">
        <v>322.9342773359993</v>
      </c>
      <c r="DU31" s="1">
        <v>314.81372503542292</v>
      </c>
      <c r="DV31" s="1">
        <v>298.21197713304929</v>
      </c>
      <c r="DW31" s="1">
        <v>295.95413078993153</v>
      </c>
      <c r="DX31" s="1">
        <v>292.39214213763887</v>
      </c>
      <c r="DY31" s="1">
        <v>276.7103216000707</v>
      </c>
      <c r="DZ31" s="1">
        <v>274.7407481878376</v>
      </c>
      <c r="EA31" s="1">
        <v>270.72427356405825</v>
      </c>
      <c r="EB31" s="1">
        <v>13.784992520967252</v>
      </c>
      <c r="EC31" s="1">
        <v>14.953971386067293</v>
      </c>
      <c r="ED31" s="1">
        <v>16.445717448322071</v>
      </c>
      <c r="EE31" s="1">
        <v>16.963031161881226</v>
      </c>
      <c r="EF31" s="1">
        <v>16.877706870077947</v>
      </c>
      <c r="EG31" s="1">
        <v>16.261345326264244</v>
      </c>
      <c r="EH31" s="1">
        <v>16.214020885907924</v>
      </c>
      <c r="EI31" s="1">
        <v>14.582584957510111</v>
      </c>
      <c r="EJ31" s="1">
        <v>14.417617739874721</v>
      </c>
      <c r="EK31" s="1">
        <v>14.361333111605962</v>
      </c>
      <c r="EL31" s="1">
        <v>14.04034996718206</v>
      </c>
      <c r="EM31" s="1">
        <v>13.780794775155838</v>
      </c>
      <c r="EN31" s="1">
        <v>13.574096497415153</v>
      </c>
      <c r="EO31" s="1">
        <v>13.271585108080643</v>
      </c>
      <c r="EP31" s="1">
        <v>12.695381272186227</v>
      </c>
      <c r="EQ31" s="86">
        <v>12.316189777296607</v>
      </c>
      <c r="ER31" s="1">
        <v>11.7528641719598</v>
      </c>
      <c r="ES31" s="1">
        <v>11.696044189866752</v>
      </c>
      <c r="ET31" s="1">
        <v>11.747244570322568</v>
      </c>
      <c r="EU31" s="1">
        <v>11.628859319379973</v>
      </c>
      <c r="EV31" s="1">
        <v>11.089043348160942</v>
      </c>
      <c r="EW31" s="1">
        <v>36442.368806466948</v>
      </c>
      <c r="EX31" s="1">
        <v>36309.842617067836</v>
      </c>
      <c r="EY31" s="1">
        <v>37079.772126298958</v>
      </c>
      <c r="EZ31" s="1">
        <v>40944.530888722926</v>
      </c>
      <c r="FA31" s="1">
        <v>43655.96540343191</v>
      </c>
      <c r="FB31" s="1">
        <v>47524.408284023666</v>
      </c>
      <c r="FC31" s="1">
        <v>50724.822163983525</v>
      </c>
      <c r="FD31" s="1">
        <v>58398.116634127313</v>
      </c>
      <c r="FE31" s="1">
        <v>65178.935134474326</v>
      </c>
      <c r="FF31" s="1">
        <v>63319.54786977492</v>
      </c>
      <c r="FG31" s="1">
        <v>63187.690558659211</v>
      </c>
      <c r="FH31" s="1">
        <v>61618.027982421088</v>
      </c>
      <c r="FI31" s="1">
        <v>63342.359130434786</v>
      </c>
      <c r="FJ31" s="1">
        <v>63162.939712230218</v>
      </c>
      <c r="FK31" s="1">
        <v>63479.535656771033</v>
      </c>
      <c r="FL31" s="1">
        <v>62829.15279002078</v>
      </c>
      <c r="FM31" s="1">
        <v>64596.649394714404</v>
      </c>
      <c r="FN31" s="1">
        <v>65357.890518582542</v>
      </c>
      <c r="FO31" s="1">
        <v>62654.872650963604</v>
      </c>
      <c r="FP31" s="1">
        <v>62330.991456558782</v>
      </c>
      <c r="FQ31" s="1">
        <v>62961.36712114633</v>
      </c>
      <c r="FR31" s="5">
        <v>1</v>
      </c>
      <c r="FS31" s="5">
        <v>7</v>
      </c>
      <c r="FT31" s="5">
        <v>2</v>
      </c>
      <c r="FU31" s="5">
        <v>8</v>
      </c>
      <c r="FV31" s="5">
        <v>26</v>
      </c>
      <c r="FW31" s="5">
        <v>11</v>
      </c>
    </row>
    <row r="32" spans="1:179" x14ac:dyDescent="0.2">
      <c r="A32" s="5">
        <v>30</v>
      </c>
      <c r="B32" s="6" t="s">
        <v>167</v>
      </c>
      <c r="C32" s="9">
        <v>11</v>
      </c>
      <c r="D32" s="9">
        <v>11</v>
      </c>
      <c r="E32" s="9">
        <v>13</v>
      </c>
      <c r="F32" s="9">
        <v>12</v>
      </c>
      <c r="G32" s="9">
        <v>12</v>
      </c>
      <c r="H32" s="9">
        <v>12</v>
      </c>
      <c r="I32" s="9">
        <v>12</v>
      </c>
      <c r="J32" s="9">
        <v>12</v>
      </c>
      <c r="K32" s="9">
        <v>12</v>
      </c>
      <c r="L32" s="8">
        <v>12</v>
      </c>
      <c r="M32" s="8">
        <v>12</v>
      </c>
      <c r="N32" s="8">
        <v>12</v>
      </c>
      <c r="O32" s="85">
        <v>12</v>
      </c>
      <c r="P32" s="85">
        <v>12</v>
      </c>
      <c r="Q32" s="9">
        <v>12</v>
      </c>
      <c r="R32" s="9">
        <v>12</v>
      </c>
      <c r="S32" s="9">
        <v>12</v>
      </c>
      <c r="T32" s="9">
        <v>11</v>
      </c>
      <c r="U32" s="9">
        <v>10</v>
      </c>
      <c r="V32" s="9">
        <v>11</v>
      </c>
      <c r="W32" s="1">
        <v>11</v>
      </c>
      <c r="X32" s="9">
        <v>231</v>
      </c>
      <c r="Y32" s="9">
        <v>260</v>
      </c>
      <c r="Z32" s="9">
        <v>263</v>
      </c>
      <c r="AA32" s="9">
        <v>315</v>
      </c>
      <c r="AB32" s="9">
        <v>305</v>
      </c>
      <c r="AC32" s="9">
        <v>305</v>
      </c>
      <c r="AD32" s="8">
        <v>305</v>
      </c>
      <c r="AE32" s="8">
        <v>282</v>
      </c>
      <c r="AF32" s="8">
        <v>268</v>
      </c>
      <c r="AG32" s="8">
        <v>269</v>
      </c>
      <c r="AH32" s="8">
        <v>272</v>
      </c>
      <c r="AI32" s="9">
        <v>274</v>
      </c>
      <c r="AJ32" s="9">
        <v>274</v>
      </c>
      <c r="AK32" s="9">
        <v>271</v>
      </c>
      <c r="AL32" s="9">
        <v>271</v>
      </c>
      <c r="AM32" s="9">
        <v>275</v>
      </c>
      <c r="AN32" s="9">
        <v>272</v>
      </c>
      <c r="AO32" s="9">
        <v>272</v>
      </c>
      <c r="AP32" s="9">
        <v>252</v>
      </c>
      <c r="AQ32" s="9">
        <v>238</v>
      </c>
      <c r="AR32" s="9">
        <v>255</v>
      </c>
      <c r="AS32" s="9">
        <v>255</v>
      </c>
      <c r="AT32" s="9">
        <v>5201.8835799999997</v>
      </c>
      <c r="AU32" s="8">
        <v>5566.7417000000005</v>
      </c>
      <c r="AV32" s="9">
        <v>6147.7885299999998</v>
      </c>
      <c r="AW32" s="8">
        <v>7255.7904600000002</v>
      </c>
      <c r="AX32" s="8">
        <v>8396.5641400000004</v>
      </c>
      <c r="AY32" s="8">
        <v>9427.43714</v>
      </c>
      <c r="AZ32" s="86">
        <v>9416.1488300000001</v>
      </c>
      <c r="BA32" s="9">
        <v>9706.2918699999991</v>
      </c>
      <c r="BB32" s="9">
        <v>10938.73669</v>
      </c>
      <c r="BC32" s="9">
        <v>11423.07445</v>
      </c>
      <c r="BD32" s="9">
        <v>11144.83149</v>
      </c>
      <c r="BE32" s="9">
        <v>11122.343789999999</v>
      </c>
      <c r="BF32" s="9">
        <v>11821.48301</v>
      </c>
      <c r="BG32" s="9">
        <v>12579.980449999999</v>
      </c>
      <c r="BH32" s="9">
        <v>11987.10728</v>
      </c>
      <c r="BI32" s="9">
        <v>12003.877829999999</v>
      </c>
      <c r="BJ32" s="9">
        <v>11577.263939999999</v>
      </c>
      <c r="BK32" s="9">
        <v>11053.82915</v>
      </c>
      <c r="BL32" s="9">
        <v>10346.832380000002</v>
      </c>
      <c r="BM32" s="1">
        <v>11012.653749999999</v>
      </c>
      <c r="BN32" s="1">
        <v>10840.380949999999</v>
      </c>
      <c r="BO32" s="1">
        <v>224992.42703000002</v>
      </c>
      <c r="BP32" s="1">
        <v>1967.9648300000001</v>
      </c>
      <c r="BQ32" s="1">
        <v>2203.9866400000001</v>
      </c>
      <c r="BR32" s="9">
        <v>1899.38112</v>
      </c>
      <c r="BS32" s="9">
        <v>2281.0942300000002</v>
      </c>
      <c r="BT32" s="9">
        <v>2642.68406</v>
      </c>
      <c r="BU32" s="9">
        <v>2991.0458699999999</v>
      </c>
      <c r="BV32" s="9">
        <v>2978.9820600000003</v>
      </c>
      <c r="BW32" s="9">
        <v>3070.9671899999998</v>
      </c>
      <c r="BX32" s="9">
        <v>3572.4065799999998</v>
      </c>
      <c r="BY32" s="9">
        <v>3755.8760699999998</v>
      </c>
      <c r="BZ32" s="9">
        <v>3632.5545200000001</v>
      </c>
      <c r="CA32" s="9">
        <v>3722.2647200000001</v>
      </c>
      <c r="CB32" s="9">
        <v>4116.8177900000001</v>
      </c>
      <c r="CC32" s="9">
        <v>4523.5628099999994</v>
      </c>
      <c r="CD32" s="8">
        <v>4258.1425300000001</v>
      </c>
      <c r="CE32" s="8">
        <v>4364.11096</v>
      </c>
      <c r="CF32" s="8">
        <v>4175.9954900000002</v>
      </c>
      <c r="CG32" s="8">
        <v>4020.1668999999997</v>
      </c>
      <c r="CH32" s="8">
        <v>3735.2043900000003</v>
      </c>
      <c r="CI32" s="8">
        <v>4055.2323300000003</v>
      </c>
      <c r="CJ32" s="9">
        <v>3964.2665200000001</v>
      </c>
      <c r="CK32" s="9">
        <v>77727.768429999996</v>
      </c>
      <c r="CL32" s="9">
        <v>516.13349611432534</v>
      </c>
      <c r="CM32" s="1">
        <v>551.56077836449595</v>
      </c>
      <c r="CN32" s="9">
        <v>611.4127148886148</v>
      </c>
      <c r="CO32" s="9">
        <v>725.1837444913449</v>
      </c>
      <c r="CP32" s="9">
        <v>827.20438380164535</v>
      </c>
      <c r="CQ32" s="9">
        <v>913.6789554511596</v>
      </c>
      <c r="CR32" s="9">
        <v>905.81396736862757</v>
      </c>
      <c r="CS32" s="9">
        <v>924.13700753632384</v>
      </c>
      <c r="CT32" s="9">
        <v>1030.8657850434265</v>
      </c>
      <c r="CU32" s="9">
        <v>1069.1395178266946</v>
      </c>
      <c r="CV32" s="9">
        <v>1035.7275597401238</v>
      </c>
      <c r="CW32" s="9">
        <v>1026.860415283375</v>
      </c>
      <c r="CX32" s="9">
        <v>1087.3217078480291</v>
      </c>
      <c r="CY32" s="9">
        <v>1150.9035022628741</v>
      </c>
      <c r="CZ32" s="9">
        <v>1086.8315372224197</v>
      </c>
      <c r="DA32" s="9">
        <v>1080.0994840304645</v>
      </c>
      <c r="DB32" s="9">
        <v>1037.3576009281646</v>
      </c>
      <c r="DC32" s="9">
        <v>989.2623226481661</v>
      </c>
      <c r="DD32" s="9">
        <v>928.91825415147161</v>
      </c>
      <c r="DE32" s="9">
        <v>997.65178295534224</v>
      </c>
      <c r="DF32" s="9">
        <v>992.18050590114274</v>
      </c>
      <c r="DG32" s="9">
        <v>195.26245682298295</v>
      </c>
      <c r="DH32" s="9">
        <v>218.37416790208718</v>
      </c>
      <c r="DI32" s="9">
        <v>188.89813166481474</v>
      </c>
      <c r="DJ32" s="1">
        <v>227.98514708609721</v>
      </c>
      <c r="DK32" s="1">
        <v>260.34932896192112</v>
      </c>
      <c r="DL32" s="1">
        <v>289.88320214968888</v>
      </c>
      <c r="DM32" s="1">
        <v>286.57188912428933</v>
      </c>
      <c r="DN32" s="1">
        <v>292.38708944869524</v>
      </c>
      <c r="DO32" s="1">
        <v>336.66334769284975</v>
      </c>
      <c r="DP32" s="1">
        <v>351.53018988654327</v>
      </c>
      <c r="DQ32" s="1">
        <v>337.5857976855383</v>
      </c>
      <c r="DR32" s="1">
        <v>343.65475194269789</v>
      </c>
      <c r="DS32" s="1">
        <v>378.65852757520889</v>
      </c>
      <c r="DT32" s="1">
        <v>413.84677038469385</v>
      </c>
      <c r="DU32" s="1">
        <v>386.07175888994493</v>
      </c>
      <c r="DV32" s="1">
        <v>392.67927105750084</v>
      </c>
      <c r="DW32" s="1">
        <v>374.18173114512547</v>
      </c>
      <c r="DX32" s="1">
        <v>359.78479411609845</v>
      </c>
      <c r="DY32" s="1">
        <v>335.33930128843087</v>
      </c>
      <c r="DZ32" s="1">
        <v>367.36919694062357</v>
      </c>
      <c r="EA32" s="1">
        <v>362.83484680864126</v>
      </c>
      <c r="EB32" s="1">
        <v>25.838384794689524</v>
      </c>
      <c r="EC32" s="1">
        <v>25.980782305536156</v>
      </c>
      <c r="ED32" s="1">
        <v>31.540234853939292</v>
      </c>
      <c r="EE32" s="1">
        <v>30.428011033216887</v>
      </c>
      <c r="EF32" s="1">
        <v>29.676754419191351</v>
      </c>
      <c r="EG32" s="1">
        <v>29.443537522636554</v>
      </c>
      <c r="EH32" s="1">
        <v>27.033089989839933</v>
      </c>
      <c r="EI32" s="1">
        <v>25.34395153983527</v>
      </c>
      <c r="EJ32" s="1">
        <v>25.263170495257597</v>
      </c>
      <c r="EK32" s="1">
        <v>25.37120742985719</v>
      </c>
      <c r="EL32" s="1">
        <v>25.370455103352235</v>
      </c>
      <c r="EM32" s="1">
        <v>25.223579801547274</v>
      </c>
      <c r="EN32" s="1">
        <v>24.904947941401538</v>
      </c>
      <c r="EO32" s="1">
        <v>24.681958456825569</v>
      </c>
      <c r="EP32" s="1">
        <v>24.821434436742326</v>
      </c>
      <c r="EQ32" s="86">
        <v>24.398509801543081</v>
      </c>
      <c r="ER32" s="1">
        <v>24.345580617113129</v>
      </c>
      <c r="ES32" s="1">
        <v>22.550010923485974</v>
      </c>
      <c r="ET32" s="1">
        <v>21.437571820912478</v>
      </c>
      <c r="EU32" s="1">
        <v>23.234315448567308</v>
      </c>
      <c r="EV32" s="1">
        <v>23.445074871466918</v>
      </c>
      <c r="EW32" s="1">
        <v>21188.935152749491</v>
      </c>
      <c r="EX32" s="1">
        <v>21287.731166347992</v>
      </c>
      <c r="EY32" s="1">
        <v>21272.624671280279</v>
      </c>
      <c r="EZ32" s="1">
        <v>23405.775677419355</v>
      </c>
      <c r="FA32" s="1">
        <v>27529.71849180328</v>
      </c>
      <c r="FB32" s="1">
        <v>30909.629967213117</v>
      </c>
      <c r="FC32" s="1">
        <v>32082.278807495743</v>
      </c>
      <c r="FD32" s="1">
        <v>35295.606799999994</v>
      </c>
      <c r="FE32" s="1">
        <v>40740.173891992548</v>
      </c>
      <c r="FF32" s="1">
        <v>42229.480406654344</v>
      </c>
      <c r="FG32" s="1">
        <v>40823.55857142857</v>
      </c>
      <c r="FH32" s="1">
        <v>40592.4955839416</v>
      </c>
      <c r="FI32" s="1">
        <v>43381.589027522932</v>
      </c>
      <c r="FJ32" s="1">
        <v>46420.592066420664</v>
      </c>
      <c r="FK32" s="1">
        <v>43908.817875457869</v>
      </c>
      <c r="FL32" s="1">
        <v>43889.864095063989</v>
      </c>
      <c r="FM32" s="1">
        <v>42563.47036764706</v>
      </c>
      <c r="FN32" s="1">
        <v>42190.187595419848</v>
      </c>
      <c r="FO32" s="1">
        <v>42231.968897959188</v>
      </c>
      <c r="FP32" s="1">
        <v>44676.080121703853</v>
      </c>
      <c r="FQ32" s="1">
        <v>42511.297843137254</v>
      </c>
      <c r="FR32" s="5">
        <v>18</v>
      </c>
      <c r="FS32" s="5">
        <v>1</v>
      </c>
      <c r="FT32" s="5">
        <v>18</v>
      </c>
      <c r="FU32" s="5">
        <v>2</v>
      </c>
      <c r="FV32" s="5">
        <v>2</v>
      </c>
      <c r="FW32" s="5">
        <v>20</v>
      </c>
    </row>
    <row r="33" spans="1:179" x14ac:dyDescent="0.2">
      <c r="A33" s="5">
        <v>31</v>
      </c>
      <c r="B33" s="6" t="s">
        <v>168</v>
      </c>
      <c r="C33" s="9">
        <v>8</v>
      </c>
      <c r="D33" s="9">
        <v>7</v>
      </c>
      <c r="E33" s="9">
        <v>7</v>
      </c>
      <c r="F33" s="9">
        <v>7</v>
      </c>
      <c r="G33" s="9">
        <v>7</v>
      </c>
      <c r="H33" s="9">
        <v>7</v>
      </c>
      <c r="I33" s="9">
        <v>7</v>
      </c>
      <c r="J33" s="9">
        <v>7</v>
      </c>
      <c r="K33" s="9">
        <v>6</v>
      </c>
      <c r="L33" s="8">
        <v>7</v>
      </c>
      <c r="M33" s="8">
        <v>7</v>
      </c>
      <c r="N33" s="8">
        <v>7</v>
      </c>
      <c r="O33" s="85">
        <v>7</v>
      </c>
      <c r="P33" s="85">
        <v>7</v>
      </c>
      <c r="Q33" s="9">
        <v>7</v>
      </c>
      <c r="R33" s="9">
        <v>7</v>
      </c>
      <c r="S33" s="9">
        <v>7</v>
      </c>
      <c r="T33" s="9">
        <v>7</v>
      </c>
      <c r="U33" s="9">
        <v>7</v>
      </c>
      <c r="V33" s="9">
        <v>7</v>
      </c>
      <c r="W33" s="1">
        <v>7</v>
      </c>
      <c r="X33" s="9">
        <v>185</v>
      </c>
      <c r="Y33" s="9">
        <v>209</v>
      </c>
      <c r="Z33" s="9">
        <v>180</v>
      </c>
      <c r="AA33" s="9">
        <v>225</v>
      </c>
      <c r="AB33" s="9">
        <v>225</v>
      </c>
      <c r="AC33" s="9">
        <v>225</v>
      </c>
      <c r="AD33" s="8">
        <v>225</v>
      </c>
      <c r="AE33" s="8">
        <v>211</v>
      </c>
      <c r="AF33" s="8">
        <v>183</v>
      </c>
      <c r="AG33" s="8">
        <v>178</v>
      </c>
      <c r="AH33" s="8">
        <v>212</v>
      </c>
      <c r="AI33" s="9">
        <v>212</v>
      </c>
      <c r="AJ33" s="9">
        <v>212</v>
      </c>
      <c r="AK33" s="9">
        <v>212</v>
      </c>
      <c r="AL33" s="9">
        <v>212</v>
      </c>
      <c r="AM33" s="9">
        <v>212</v>
      </c>
      <c r="AN33" s="9">
        <v>212</v>
      </c>
      <c r="AO33" s="9">
        <v>212</v>
      </c>
      <c r="AP33" s="9">
        <v>212</v>
      </c>
      <c r="AQ33" s="9">
        <v>212</v>
      </c>
      <c r="AR33" s="9">
        <v>212</v>
      </c>
      <c r="AS33" s="9">
        <v>212</v>
      </c>
      <c r="AT33" s="9">
        <v>5263.8760700000003</v>
      </c>
      <c r="AU33" s="8">
        <v>5686.8480399999999</v>
      </c>
      <c r="AV33" s="9">
        <v>6006.1971700000004</v>
      </c>
      <c r="AW33" s="8">
        <v>7331.9173700000001</v>
      </c>
      <c r="AX33" s="8">
        <v>8247.4792199999993</v>
      </c>
      <c r="AY33" s="8">
        <v>8798.056630000001</v>
      </c>
      <c r="AZ33" s="86">
        <v>9151.6076400000002</v>
      </c>
      <c r="BA33" s="9">
        <v>9310.21738</v>
      </c>
      <c r="BB33" s="9">
        <v>9357.2930500000002</v>
      </c>
      <c r="BC33" s="9">
        <v>9176.3837600000006</v>
      </c>
      <c r="BD33" s="9">
        <v>9295.5663199999999</v>
      </c>
      <c r="BE33" s="9">
        <v>8739.8321999999989</v>
      </c>
      <c r="BF33" s="9">
        <v>9308.7671399999999</v>
      </c>
      <c r="BG33" s="9">
        <v>9908.3688499999989</v>
      </c>
      <c r="BH33" s="9">
        <v>9734.8883000000005</v>
      </c>
      <c r="BI33" s="9">
        <v>9715.7309999999998</v>
      </c>
      <c r="BJ33" s="9">
        <v>9477.3240900000001</v>
      </c>
      <c r="BK33" s="9">
        <v>9126.2430899999999</v>
      </c>
      <c r="BL33" s="9">
        <v>8643.1936000000005</v>
      </c>
      <c r="BM33" s="1">
        <v>8517.5630000000001</v>
      </c>
      <c r="BN33" s="1">
        <v>8346.5435999999991</v>
      </c>
      <c r="BO33" s="1">
        <v>192460.92590999999</v>
      </c>
      <c r="BP33" s="1">
        <v>2155.15625</v>
      </c>
      <c r="BQ33" s="1">
        <v>2364.6846399999999</v>
      </c>
      <c r="BR33" s="9">
        <v>2036.3943400000001</v>
      </c>
      <c r="BS33" s="9">
        <v>2559.3683799999999</v>
      </c>
      <c r="BT33" s="9">
        <v>2952.1054300000001</v>
      </c>
      <c r="BU33" s="9">
        <v>3258.5650299999998</v>
      </c>
      <c r="BV33" s="9">
        <v>3430.8834200000001</v>
      </c>
      <c r="BW33" s="9">
        <v>3423.5717799999998</v>
      </c>
      <c r="BX33" s="9">
        <v>3401.8092999999999</v>
      </c>
      <c r="BY33" s="9">
        <v>3167.77736</v>
      </c>
      <c r="BZ33" s="9">
        <v>3230.1407100000001</v>
      </c>
      <c r="CA33" s="9">
        <v>2998.41293</v>
      </c>
      <c r="CB33" s="9">
        <v>3269.98695</v>
      </c>
      <c r="CC33" s="9">
        <v>3597.2481299999999</v>
      </c>
      <c r="CD33" s="8">
        <v>3471.4488900000001</v>
      </c>
      <c r="CE33" s="8">
        <v>3464.2972100000002</v>
      </c>
      <c r="CF33" s="8">
        <v>3350.3126899999997</v>
      </c>
      <c r="CG33" s="8">
        <v>3205.9078999999997</v>
      </c>
      <c r="CH33" s="8">
        <v>3027.3473599999998</v>
      </c>
      <c r="CI33" s="8">
        <v>2972.7135400000002</v>
      </c>
      <c r="CJ33" s="9">
        <v>2893.37455</v>
      </c>
      <c r="CK33" s="9">
        <v>69014.990509999989</v>
      </c>
      <c r="CL33" s="9">
        <v>556.95972171314975</v>
      </c>
      <c r="CM33" s="1">
        <v>590.12578044185113</v>
      </c>
      <c r="CN33" s="9">
        <v>609.05444250781522</v>
      </c>
      <c r="CO33" s="9">
        <v>731.69136300980585</v>
      </c>
      <c r="CP33" s="9">
        <v>814.35835774655868</v>
      </c>
      <c r="CQ33" s="9">
        <v>861.22513294969087</v>
      </c>
      <c r="CR33" s="9">
        <v>890.5693548289214</v>
      </c>
      <c r="CS33" s="9">
        <v>899.19572119127633</v>
      </c>
      <c r="CT33" s="9">
        <v>895.55178761833645</v>
      </c>
      <c r="CU33" s="9">
        <v>868.96896778044515</v>
      </c>
      <c r="CV33" s="9">
        <v>870.28981429981638</v>
      </c>
      <c r="CW33" s="9">
        <v>810.29293291010822</v>
      </c>
      <c r="CX33" s="9">
        <v>856.98805661369522</v>
      </c>
      <c r="CY33" s="9">
        <v>906.90628565801353</v>
      </c>
      <c r="CZ33" s="9">
        <v>885.69994592978458</v>
      </c>
      <c r="DA33" s="9">
        <v>877.75131740000302</v>
      </c>
      <c r="DB33" s="9">
        <v>851.56864679730563</v>
      </c>
      <c r="DC33" s="9">
        <v>819.11755376689223</v>
      </c>
      <c r="DD33" s="9">
        <v>774.21635172501669</v>
      </c>
      <c r="DE33" s="9">
        <v>760.27324999657321</v>
      </c>
      <c r="DF33" s="9">
        <v>742.80204737726774</v>
      </c>
      <c r="DG33" s="9">
        <v>228.03257699954844</v>
      </c>
      <c r="DH33" s="9">
        <v>245.38397348821331</v>
      </c>
      <c r="DI33" s="9">
        <v>206.49921811920311</v>
      </c>
      <c r="DJ33" s="1">
        <v>255.41309918041242</v>
      </c>
      <c r="DK33" s="1">
        <v>291.49169894719648</v>
      </c>
      <c r="DL33" s="1">
        <v>318.97477127138734</v>
      </c>
      <c r="DM33" s="1">
        <v>333.86916856967036</v>
      </c>
      <c r="DN33" s="1">
        <v>330.65405136299847</v>
      </c>
      <c r="DO33" s="1">
        <v>325.57454206819796</v>
      </c>
      <c r="DP33" s="1">
        <v>299.97658060864092</v>
      </c>
      <c r="DQ33" s="1">
        <v>302.41928914215708</v>
      </c>
      <c r="DR33" s="1">
        <v>277.99078420810997</v>
      </c>
      <c r="DS33" s="1">
        <v>301.04306180255838</v>
      </c>
      <c r="DT33" s="1">
        <v>329.25368338185501</v>
      </c>
      <c r="DU33" s="1">
        <v>315.83948366115413</v>
      </c>
      <c r="DV33" s="1">
        <v>312.97608383174202</v>
      </c>
      <c r="DW33" s="1">
        <v>301.03658128368818</v>
      </c>
      <c r="DX33" s="1">
        <v>287.74331460964345</v>
      </c>
      <c r="DY33" s="1">
        <v>271.1754401131962</v>
      </c>
      <c r="DZ33" s="1">
        <v>265.34286677593326</v>
      </c>
      <c r="EA33" s="1">
        <v>257.49635328919635</v>
      </c>
      <c r="EB33" s="1">
        <v>21.942172729856448</v>
      </c>
      <c r="EC33" s="1">
        <v>18.464747582511446</v>
      </c>
      <c r="ED33" s="1">
        <v>22.557031385506441</v>
      </c>
      <c r="EE33" s="1">
        <v>22.351820143891224</v>
      </c>
      <c r="EF33" s="1">
        <v>22.082930287105626</v>
      </c>
      <c r="EG33" s="1">
        <v>21.967024076239667</v>
      </c>
      <c r="EH33" s="1">
        <v>20.466287632473925</v>
      </c>
      <c r="EI33" s="1">
        <v>17.599131782612552</v>
      </c>
      <c r="EJ33" s="1">
        <v>16.953950068156981</v>
      </c>
      <c r="EK33" s="1">
        <v>19.960199619035759</v>
      </c>
      <c r="EL33" s="1">
        <v>19.737701576206469</v>
      </c>
      <c r="EM33" s="1">
        <v>19.573147403245777</v>
      </c>
      <c r="EN33" s="1">
        <v>19.461656541873655</v>
      </c>
      <c r="EO33" s="1">
        <v>19.347114168065943</v>
      </c>
      <c r="EP33" s="1">
        <v>19.229626396424656</v>
      </c>
      <c r="EQ33" s="86">
        <v>19.076549623180217</v>
      </c>
      <c r="ER33" s="1">
        <v>19.02132078779966</v>
      </c>
      <c r="ES33" s="1">
        <v>19.034413700298039</v>
      </c>
      <c r="ET33" s="1">
        <v>18.945705583539745</v>
      </c>
      <c r="EU33" s="1">
        <v>18.900368533394534</v>
      </c>
      <c r="EV33" s="1">
        <v>18.83370035904629</v>
      </c>
      <c r="EW33" s="1">
        <v>26720.183096446701</v>
      </c>
      <c r="EX33" s="1">
        <v>29238.293264781492</v>
      </c>
      <c r="EY33" s="1">
        <v>29660.232938271605</v>
      </c>
      <c r="EZ33" s="1">
        <v>32586.299422222222</v>
      </c>
      <c r="FA33" s="1">
        <v>36655.463199999998</v>
      </c>
      <c r="FB33" s="1">
        <v>39102.473911111112</v>
      </c>
      <c r="FC33" s="1">
        <v>41979.851559633033</v>
      </c>
      <c r="FD33" s="1">
        <v>47259.986700507616</v>
      </c>
      <c r="FE33" s="1">
        <v>51840.958725761775</v>
      </c>
      <c r="FF33" s="1">
        <v>47058.378256410258</v>
      </c>
      <c r="FG33" s="1">
        <v>43847.010943396228</v>
      </c>
      <c r="FH33" s="1">
        <v>41225.623584905654</v>
      </c>
      <c r="FI33" s="1">
        <v>43909.27896226415</v>
      </c>
      <c r="FJ33" s="1">
        <v>46737.58891509434</v>
      </c>
      <c r="FK33" s="1">
        <v>45919.284433962268</v>
      </c>
      <c r="FL33" s="1">
        <v>45828.919811320753</v>
      </c>
      <c r="FM33" s="1">
        <v>44704.358915094337</v>
      </c>
      <c r="FN33" s="1">
        <v>43048.316462264149</v>
      </c>
      <c r="FO33" s="1">
        <v>40769.78113207547</v>
      </c>
      <c r="FP33" s="1">
        <v>40177.183962264149</v>
      </c>
      <c r="FQ33" s="1">
        <v>39370.488679245274</v>
      </c>
      <c r="FR33" s="5">
        <v>24</v>
      </c>
      <c r="FS33" s="5">
        <v>5</v>
      </c>
      <c r="FT33" s="5">
        <v>23</v>
      </c>
      <c r="FU33" s="5">
        <v>12</v>
      </c>
      <c r="FV33" s="5">
        <v>6</v>
      </c>
      <c r="FW33" s="5">
        <v>23</v>
      </c>
    </row>
    <row r="34" spans="1:179" x14ac:dyDescent="0.2">
      <c r="A34" s="5">
        <v>32</v>
      </c>
      <c r="B34" s="6" t="s">
        <v>201</v>
      </c>
      <c r="C34" s="9">
        <v>8</v>
      </c>
      <c r="D34" s="9">
        <v>9</v>
      </c>
      <c r="E34" s="9">
        <v>9</v>
      </c>
      <c r="F34" s="9">
        <v>9</v>
      </c>
      <c r="G34" s="9">
        <v>9</v>
      </c>
      <c r="H34" s="9">
        <v>9</v>
      </c>
      <c r="I34" s="9">
        <v>9</v>
      </c>
      <c r="J34" s="9">
        <v>9</v>
      </c>
      <c r="K34" s="9">
        <v>9</v>
      </c>
      <c r="L34" s="8">
        <v>9</v>
      </c>
      <c r="M34" s="8">
        <v>9</v>
      </c>
      <c r="N34" s="8">
        <v>9</v>
      </c>
      <c r="O34" s="85">
        <v>9</v>
      </c>
      <c r="P34" s="85">
        <v>9</v>
      </c>
      <c r="Q34" s="9">
        <v>9</v>
      </c>
      <c r="R34" s="9">
        <v>9</v>
      </c>
      <c r="S34" s="9">
        <v>9</v>
      </c>
      <c r="T34" s="9">
        <v>9</v>
      </c>
      <c r="U34" s="9">
        <v>8</v>
      </c>
      <c r="V34" s="9">
        <v>8</v>
      </c>
      <c r="W34" s="1">
        <v>8</v>
      </c>
      <c r="X34" s="9">
        <v>223</v>
      </c>
      <c r="Y34" s="9">
        <v>228</v>
      </c>
      <c r="Z34" s="9">
        <v>251</v>
      </c>
      <c r="AA34" s="9">
        <v>260</v>
      </c>
      <c r="AB34" s="9">
        <v>260</v>
      </c>
      <c r="AC34" s="9">
        <v>260</v>
      </c>
      <c r="AD34" s="8">
        <v>260</v>
      </c>
      <c r="AE34" s="8">
        <v>236</v>
      </c>
      <c r="AF34" s="8">
        <v>220</v>
      </c>
      <c r="AG34" s="8">
        <v>220</v>
      </c>
      <c r="AH34" s="8">
        <v>220</v>
      </c>
      <c r="AI34" s="9">
        <v>220</v>
      </c>
      <c r="AJ34" s="9">
        <v>220</v>
      </c>
      <c r="AK34" s="9">
        <v>220</v>
      </c>
      <c r="AL34" s="9">
        <v>220</v>
      </c>
      <c r="AM34" s="9">
        <v>220</v>
      </c>
      <c r="AN34" s="9">
        <v>219</v>
      </c>
      <c r="AO34" s="9">
        <v>219</v>
      </c>
      <c r="AP34" s="9">
        <v>219</v>
      </c>
      <c r="AQ34" s="9">
        <v>203</v>
      </c>
      <c r="AR34" s="9">
        <v>203</v>
      </c>
      <c r="AS34" s="9">
        <v>203</v>
      </c>
      <c r="AT34" s="9">
        <v>5701.8588799999998</v>
      </c>
      <c r="AU34" s="8">
        <v>5850.9970499999999</v>
      </c>
      <c r="AV34" s="9">
        <v>6610.2479499999999</v>
      </c>
      <c r="AW34" s="8">
        <v>7425.4064600000002</v>
      </c>
      <c r="AX34" s="8">
        <v>7772.2533900000008</v>
      </c>
      <c r="AY34" s="8">
        <v>8593.8302899999981</v>
      </c>
      <c r="AZ34" s="86">
        <v>8771.9122399999997</v>
      </c>
      <c r="BA34" s="9">
        <v>9188.1538299999993</v>
      </c>
      <c r="BB34" s="9">
        <v>9973.5800600000002</v>
      </c>
      <c r="BC34" s="9">
        <v>9651.3613600000008</v>
      </c>
      <c r="BD34" s="9">
        <v>9281.4939799999993</v>
      </c>
      <c r="BE34" s="9">
        <v>9018.3595400000013</v>
      </c>
      <c r="BF34" s="9">
        <v>9490.7344400000002</v>
      </c>
      <c r="BG34" s="9">
        <v>9681.9661199999991</v>
      </c>
      <c r="BH34" s="9">
        <v>9575.0668800000021</v>
      </c>
      <c r="BI34" s="9">
        <v>9348.2340999999997</v>
      </c>
      <c r="BJ34" s="9">
        <v>9500.936700000002</v>
      </c>
      <c r="BK34" s="9">
        <v>9694.3401300000005</v>
      </c>
      <c r="BL34" s="9">
        <v>9352.510720000002</v>
      </c>
      <c r="BM34" s="1">
        <v>9640.8079499999985</v>
      </c>
      <c r="BN34" s="1">
        <v>9231.2363600000008</v>
      </c>
      <c r="BO34" s="1">
        <v>201279.21120000002</v>
      </c>
      <c r="BP34" s="1">
        <v>2329.0417300000004</v>
      </c>
      <c r="BQ34" s="1">
        <v>2332.5733499999997</v>
      </c>
      <c r="BR34" s="9">
        <v>2086.3758900000003</v>
      </c>
      <c r="BS34" s="9">
        <v>2384.0448700000002</v>
      </c>
      <c r="BT34" s="9">
        <v>2483.6591599999997</v>
      </c>
      <c r="BU34" s="9">
        <v>2802.3033699999996</v>
      </c>
      <c r="BV34" s="9">
        <v>2861.2615100000003</v>
      </c>
      <c r="BW34" s="9">
        <v>2947.69778</v>
      </c>
      <c r="BX34" s="9">
        <v>3274.1698700000002</v>
      </c>
      <c r="BY34" s="9">
        <v>3124.8454199999996</v>
      </c>
      <c r="BZ34" s="9">
        <v>2991.2218400000002</v>
      </c>
      <c r="CA34" s="9">
        <v>2879.2398699999994</v>
      </c>
      <c r="CB34" s="9">
        <v>3108.0654500000001</v>
      </c>
      <c r="CC34" s="9">
        <v>3220.0049300000001</v>
      </c>
      <c r="CD34" s="8">
        <v>3186.7671600000003</v>
      </c>
      <c r="CE34" s="8">
        <v>3112.61816</v>
      </c>
      <c r="CF34" s="8">
        <v>3216.72093</v>
      </c>
      <c r="CG34" s="8">
        <v>3318.64338</v>
      </c>
      <c r="CH34" s="8">
        <v>3165.3530699999997</v>
      </c>
      <c r="CI34" s="8">
        <v>3321.2888600000001</v>
      </c>
      <c r="CJ34" s="9">
        <v>3166.4350100000001</v>
      </c>
      <c r="CK34" s="9">
        <v>67766.921249999999</v>
      </c>
      <c r="CL34" s="9">
        <v>435.29531376446772</v>
      </c>
      <c r="CM34" s="1">
        <v>449.85991734481735</v>
      </c>
      <c r="CN34" s="9">
        <v>510.85612646210348</v>
      </c>
      <c r="CO34" s="9">
        <v>573.34591800660417</v>
      </c>
      <c r="CP34" s="9">
        <v>599.29750108823919</v>
      </c>
      <c r="CQ34" s="9">
        <v>662.88287838907434</v>
      </c>
      <c r="CR34" s="9">
        <v>675.55493435959488</v>
      </c>
      <c r="CS34" s="9">
        <v>705.27240006778834</v>
      </c>
      <c r="CT34" s="9">
        <v>761.73601324900676</v>
      </c>
      <c r="CU34" s="9">
        <v>734.1643625499687</v>
      </c>
      <c r="CV34" s="9">
        <v>703.75446365084542</v>
      </c>
      <c r="CW34" s="9">
        <v>681.19884798171086</v>
      </c>
      <c r="CX34" s="9">
        <v>715.85574135290017</v>
      </c>
      <c r="CY34" s="9">
        <v>726.48634920870904</v>
      </c>
      <c r="CZ34" s="9">
        <v>710.57173366052461</v>
      </c>
      <c r="DA34" s="9">
        <v>686.35117867538861</v>
      </c>
      <c r="DB34" s="9">
        <v>692.56079827925771</v>
      </c>
      <c r="DC34" s="9">
        <v>704.29403940897782</v>
      </c>
      <c r="DD34" s="9">
        <v>679.44873933828217</v>
      </c>
      <c r="DE34" s="9">
        <v>703.107891228472</v>
      </c>
      <c r="DF34" s="9">
        <v>676.18574511747465</v>
      </c>
      <c r="DG34" s="9">
        <v>177.80533891973295</v>
      </c>
      <c r="DH34" s="9">
        <v>179.34229763997635</v>
      </c>
      <c r="DI34" s="9">
        <v>161.24023086143447</v>
      </c>
      <c r="DJ34" s="1">
        <v>184.08182796758112</v>
      </c>
      <c r="DK34" s="1">
        <v>191.50826066195907</v>
      </c>
      <c r="DL34" s="1">
        <v>216.15494620443613</v>
      </c>
      <c r="DM34" s="1">
        <v>220.35552553290083</v>
      </c>
      <c r="DN34" s="1">
        <v>226.26198107254496</v>
      </c>
      <c r="DO34" s="1">
        <v>250.0659831745331</v>
      </c>
      <c r="DP34" s="1">
        <v>237.7022329046323</v>
      </c>
      <c r="DQ34" s="1">
        <v>226.80462070071781</v>
      </c>
      <c r="DR34" s="1">
        <v>217.48244498433584</v>
      </c>
      <c r="DS34" s="1">
        <v>234.43143530661106</v>
      </c>
      <c r="DT34" s="1">
        <v>241.61307703788424</v>
      </c>
      <c r="DU34" s="1">
        <v>236.49199468083776</v>
      </c>
      <c r="DV34" s="1">
        <v>228.52970090708573</v>
      </c>
      <c r="DW34" s="1">
        <v>234.47949244019236</v>
      </c>
      <c r="DX34" s="1">
        <v>241.0995199379355</v>
      </c>
      <c r="DY34" s="1">
        <v>229.95912192571757</v>
      </c>
      <c r="DZ34" s="1">
        <v>242.22289445307496</v>
      </c>
      <c r="EA34" s="1">
        <v>231.94056929151233</v>
      </c>
      <c r="EB34" s="1">
        <v>17.46482111377567</v>
      </c>
      <c r="EC34" s="1">
        <v>19.370700139153371</v>
      </c>
      <c r="ED34" s="1">
        <v>20.12168374705114</v>
      </c>
      <c r="EE34" s="1">
        <v>20.029847175809753</v>
      </c>
      <c r="EF34" s="1">
        <v>20.065983215957935</v>
      </c>
      <c r="EG34" s="1">
        <v>20.04409433798892</v>
      </c>
      <c r="EH34" s="1">
        <v>18.156500948883394</v>
      </c>
      <c r="EI34" s="1">
        <v>16.848531244756174</v>
      </c>
      <c r="EJ34" s="1">
        <v>16.756887908777497</v>
      </c>
      <c r="EK34" s="1">
        <v>16.713298871320454</v>
      </c>
      <c r="EL34" s="1">
        <v>16.649122145285631</v>
      </c>
      <c r="EM34" s="1">
        <v>16.586253344299067</v>
      </c>
      <c r="EN34" s="1">
        <v>16.601546300478045</v>
      </c>
      <c r="EO34" s="1">
        <v>16.414909697860633</v>
      </c>
      <c r="EP34" s="1">
        <v>16.238717654932085</v>
      </c>
      <c r="EQ34" s="86">
        <v>15.994140955015274</v>
      </c>
      <c r="ER34" s="1">
        <v>15.933523931963478</v>
      </c>
      <c r="ES34" s="1">
        <v>15.88725369391841</v>
      </c>
      <c r="ET34" s="1">
        <v>14.768935179485672</v>
      </c>
      <c r="EU34" s="1">
        <v>14.840978765727066</v>
      </c>
      <c r="EV34" s="1">
        <v>14.89853064933518</v>
      </c>
      <c r="EW34" s="1">
        <v>25285.405232815963</v>
      </c>
      <c r="EX34" s="1">
        <v>24430.050313152398</v>
      </c>
      <c r="EY34" s="1">
        <v>25871.81193737769</v>
      </c>
      <c r="EZ34" s="1">
        <v>28559.255615384616</v>
      </c>
      <c r="FA34" s="1">
        <v>29893.282269230771</v>
      </c>
      <c r="FB34" s="1">
        <v>33053.193423076911</v>
      </c>
      <c r="FC34" s="1">
        <v>35370.61387096774</v>
      </c>
      <c r="FD34" s="1">
        <v>40298.920307017543</v>
      </c>
      <c r="FE34" s="1">
        <v>45334.454818181817</v>
      </c>
      <c r="FF34" s="1">
        <v>43869.82436363637</v>
      </c>
      <c r="FG34" s="1">
        <v>42188.608999999997</v>
      </c>
      <c r="FH34" s="1">
        <v>40992.543363636367</v>
      </c>
      <c r="FI34" s="1">
        <v>43139.701999999997</v>
      </c>
      <c r="FJ34" s="1">
        <v>44008.936909090902</v>
      </c>
      <c r="FK34" s="1">
        <v>43523.031272727283</v>
      </c>
      <c r="FL34" s="1">
        <v>42588.765831435077</v>
      </c>
      <c r="FM34" s="1">
        <v>43383.272602739729</v>
      </c>
      <c r="FN34" s="1">
        <v>44266.393287671235</v>
      </c>
      <c r="FO34" s="1">
        <v>44324.695355450247</v>
      </c>
      <c r="FP34" s="1">
        <v>47491.664778325117</v>
      </c>
      <c r="FQ34" s="1">
        <v>45474.070738916264</v>
      </c>
      <c r="FR34" s="5">
        <v>21</v>
      </c>
      <c r="FS34" s="5">
        <v>9</v>
      </c>
      <c r="FT34" s="5">
        <v>21</v>
      </c>
      <c r="FU34" s="5">
        <v>13</v>
      </c>
      <c r="FV34" s="5">
        <v>10</v>
      </c>
      <c r="FW34" s="5">
        <v>19</v>
      </c>
    </row>
    <row r="35" spans="1:179" x14ac:dyDescent="0.2">
      <c r="A35" s="5">
        <v>33</v>
      </c>
      <c r="B35" s="6" t="s">
        <v>62</v>
      </c>
      <c r="C35" s="9">
        <v>6</v>
      </c>
      <c r="D35" s="9">
        <v>6</v>
      </c>
      <c r="E35" s="9">
        <v>7</v>
      </c>
      <c r="F35" s="9">
        <v>7</v>
      </c>
      <c r="G35" s="9">
        <v>7</v>
      </c>
      <c r="H35" s="9">
        <v>7</v>
      </c>
      <c r="I35" s="9">
        <v>7</v>
      </c>
      <c r="J35" s="9">
        <v>6</v>
      </c>
      <c r="K35" s="9">
        <v>6</v>
      </c>
      <c r="L35" s="8">
        <v>5</v>
      </c>
      <c r="M35" s="8">
        <v>5</v>
      </c>
      <c r="N35" s="8">
        <v>6</v>
      </c>
      <c r="O35" s="85">
        <v>6</v>
      </c>
      <c r="P35" s="85">
        <v>6</v>
      </c>
      <c r="Q35" s="9">
        <v>6</v>
      </c>
      <c r="R35" s="9">
        <v>6</v>
      </c>
      <c r="S35" s="9">
        <v>6</v>
      </c>
      <c r="T35" s="9">
        <v>6</v>
      </c>
      <c r="U35" s="9">
        <v>6</v>
      </c>
      <c r="V35" s="9">
        <v>6</v>
      </c>
      <c r="W35" s="1">
        <v>6</v>
      </c>
      <c r="X35" s="9">
        <v>197</v>
      </c>
      <c r="Y35" s="9">
        <v>197</v>
      </c>
      <c r="Z35" s="9">
        <v>217</v>
      </c>
      <c r="AA35" s="9">
        <v>277</v>
      </c>
      <c r="AB35" s="9">
        <v>277</v>
      </c>
      <c r="AC35" s="9">
        <v>277</v>
      </c>
      <c r="AD35" s="8">
        <v>277</v>
      </c>
      <c r="AE35" s="8">
        <v>265</v>
      </c>
      <c r="AF35" s="8">
        <v>195</v>
      </c>
      <c r="AG35" s="8">
        <v>193</v>
      </c>
      <c r="AH35" s="8">
        <v>160</v>
      </c>
      <c r="AI35" s="9">
        <v>164</v>
      </c>
      <c r="AJ35" s="9">
        <v>198</v>
      </c>
      <c r="AK35" s="9">
        <v>200</v>
      </c>
      <c r="AL35" s="9">
        <v>200</v>
      </c>
      <c r="AM35" s="9">
        <v>198</v>
      </c>
      <c r="AN35" s="9">
        <v>199</v>
      </c>
      <c r="AO35" s="9">
        <v>199</v>
      </c>
      <c r="AP35" s="9">
        <v>199</v>
      </c>
      <c r="AQ35" s="9">
        <v>199</v>
      </c>
      <c r="AR35" s="9">
        <v>201</v>
      </c>
      <c r="AS35" s="9">
        <v>201</v>
      </c>
      <c r="AT35" s="9">
        <v>7715.48092</v>
      </c>
      <c r="AU35" s="8">
        <v>9367.5196400000004</v>
      </c>
      <c r="AV35" s="9">
        <v>11313.49159</v>
      </c>
      <c r="AW35" s="8">
        <v>12224.197609999999</v>
      </c>
      <c r="AX35" s="8">
        <v>15253.453809999999</v>
      </c>
      <c r="AY35" s="8">
        <v>17564.30846</v>
      </c>
      <c r="AZ35" s="86">
        <v>18031</v>
      </c>
      <c r="BA35" s="9">
        <v>15790.718639999999</v>
      </c>
      <c r="BB35" s="9">
        <v>17005.323470000003</v>
      </c>
      <c r="BC35" s="9">
        <v>14706.36778</v>
      </c>
      <c r="BD35" s="9">
        <v>12940.85505</v>
      </c>
      <c r="BE35" s="9">
        <v>13159.89782</v>
      </c>
      <c r="BF35" s="9">
        <v>15114.778060000001</v>
      </c>
      <c r="BG35" s="9">
        <v>14782.027269999999</v>
      </c>
      <c r="BH35" s="9">
        <v>14561.25275</v>
      </c>
      <c r="BI35" s="9">
        <v>14928.282029999998</v>
      </c>
      <c r="BJ35" s="9">
        <v>14393.0785</v>
      </c>
      <c r="BK35" s="9">
        <v>14393.27217</v>
      </c>
      <c r="BL35" s="9">
        <v>13206.695459999999</v>
      </c>
      <c r="BM35" s="1">
        <v>13986.014859999999</v>
      </c>
      <c r="BN35" s="1">
        <v>14630.455669999999</v>
      </c>
      <c r="BO35" s="1">
        <v>314365.04776999995</v>
      </c>
      <c r="BP35" s="1">
        <v>3368.05116</v>
      </c>
      <c r="BQ35" s="1">
        <v>4192.6298500000003</v>
      </c>
      <c r="BR35" s="9">
        <v>4001.4960699999997</v>
      </c>
      <c r="BS35" s="9">
        <v>4341.5427799999998</v>
      </c>
      <c r="BT35" s="9">
        <v>5732.2523499999998</v>
      </c>
      <c r="BU35" s="9">
        <v>7163.8318399999998</v>
      </c>
      <c r="BV35" s="9">
        <v>7363.3742999999995</v>
      </c>
      <c r="BW35" s="9">
        <v>6697.9704699999993</v>
      </c>
      <c r="BX35" s="9">
        <v>7308.4917800000003</v>
      </c>
      <c r="BY35" s="9">
        <v>6071.5389800000003</v>
      </c>
      <c r="BZ35" s="9">
        <v>5360.9968699999999</v>
      </c>
      <c r="CA35" s="9">
        <v>5448.6225300000006</v>
      </c>
      <c r="CB35" s="9">
        <v>6254.4072900000001</v>
      </c>
      <c r="CC35" s="9">
        <v>6086.8540599999997</v>
      </c>
      <c r="CD35" s="8">
        <v>5977.31052</v>
      </c>
      <c r="CE35" s="8">
        <v>6187.7112299999999</v>
      </c>
      <c r="CF35" s="8">
        <v>5919.6870399999998</v>
      </c>
      <c r="CG35" s="8">
        <v>5936.0029199999999</v>
      </c>
      <c r="CH35" s="8">
        <v>5290.5490399999999</v>
      </c>
      <c r="CI35" s="8">
        <v>5827.9573799999998</v>
      </c>
      <c r="CJ35" s="9">
        <v>6223.3089799999998</v>
      </c>
      <c r="CK35" s="9">
        <v>127854.50396999999</v>
      </c>
      <c r="CL35" s="9">
        <v>371.27473151363324</v>
      </c>
      <c r="CM35" s="1">
        <v>450.03463286444543</v>
      </c>
      <c r="CN35" s="9">
        <v>543.13086592620493</v>
      </c>
      <c r="CO35" s="9">
        <v>584.3883123390217</v>
      </c>
      <c r="CP35" s="9">
        <v>723.62120310516048</v>
      </c>
      <c r="CQ35" s="9">
        <v>827.91388536553245</v>
      </c>
      <c r="CR35" s="9">
        <v>845.60360037673695</v>
      </c>
      <c r="CS35" s="9">
        <v>734.85085907902737</v>
      </c>
      <c r="CT35" s="9">
        <v>782.65359103652918</v>
      </c>
      <c r="CU35" s="9">
        <v>669.57819689308178</v>
      </c>
      <c r="CV35" s="9">
        <v>583.51162692794901</v>
      </c>
      <c r="CW35" s="9">
        <v>589.09741352738013</v>
      </c>
      <c r="CX35" s="9">
        <v>674.57330987499608</v>
      </c>
      <c r="CY35" s="9">
        <v>656.7391980922547</v>
      </c>
      <c r="CZ35" s="9">
        <v>642.2381538862586</v>
      </c>
      <c r="DA35" s="9">
        <v>654.50383598639985</v>
      </c>
      <c r="DB35" s="9">
        <v>625.27353426588468</v>
      </c>
      <c r="DC35" s="9">
        <v>620.27846911159861</v>
      </c>
      <c r="DD35" s="9">
        <v>566.85813992804913</v>
      </c>
      <c r="DE35" s="9">
        <v>597.22549799831529</v>
      </c>
      <c r="DF35" s="9">
        <v>621.32375580734538</v>
      </c>
      <c r="DG35" s="9">
        <v>162.07314918137092</v>
      </c>
      <c r="DH35" s="9">
        <v>201.42243707975453</v>
      </c>
      <c r="DI35" s="9">
        <v>192.10126318743355</v>
      </c>
      <c r="DJ35" s="1">
        <v>207.551197967902</v>
      </c>
      <c r="DK35" s="1">
        <v>271.93705725125761</v>
      </c>
      <c r="DL35" s="1">
        <v>337.67545510070772</v>
      </c>
      <c r="DM35" s="1">
        <v>345.32171365989325</v>
      </c>
      <c r="DN35" s="1">
        <v>311.70268220075491</v>
      </c>
      <c r="DO35" s="1">
        <v>336.36627652328656</v>
      </c>
      <c r="DP35" s="1">
        <v>276.43604344800769</v>
      </c>
      <c r="DQ35" s="1">
        <v>241.73085885614199</v>
      </c>
      <c r="DR35" s="1">
        <v>243.90534665336864</v>
      </c>
      <c r="DS35" s="1">
        <v>279.13451392892</v>
      </c>
      <c r="DT35" s="1">
        <v>270.42810713668672</v>
      </c>
      <c r="DU35" s="1">
        <v>263.63506900666306</v>
      </c>
      <c r="DV35" s="1">
        <v>271.28913614255481</v>
      </c>
      <c r="DW35" s="1">
        <v>257.16691792160748</v>
      </c>
      <c r="DX35" s="1">
        <v>255.8122128430216</v>
      </c>
      <c r="DY35" s="1">
        <v>227.08108906544939</v>
      </c>
      <c r="DZ35" s="1">
        <v>248.8632239722543</v>
      </c>
      <c r="EA35" s="1">
        <v>264.29044974531399</v>
      </c>
      <c r="EB35" s="1">
        <v>9.4697170828720765</v>
      </c>
      <c r="EC35" s="1">
        <v>10.419136977591595</v>
      </c>
      <c r="ED35" s="1">
        <v>13.296073789240863</v>
      </c>
      <c r="EE35" s="1">
        <v>13.188808566505619</v>
      </c>
      <c r="EF35" s="1">
        <v>13.09320312635267</v>
      </c>
      <c r="EG35" s="1">
        <v>13.020427018947936</v>
      </c>
      <c r="EH35" s="1">
        <v>12.399287375120352</v>
      </c>
      <c r="EI35" s="1">
        <v>9.025911421313662</v>
      </c>
      <c r="EJ35" s="1">
        <v>8.8325114975622121</v>
      </c>
      <c r="EK35" s="1">
        <v>7.2476338439920847</v>
      </c>
      <c r="EL35" s="1">
        <v>7.361219086912139</v>
      </c>
      <c r="EM35" s="1">
        <v>8.8395802465893709</v>
      </c>
      <c r="EN35" s="1">
        <v>8.9231531407144455</v>
      </c>
      <c r="EO35" s="1">
        <v>8.8484499171672866</v>
      </c>
      <c r="EP35" s="1">
        <v>8.7061638019374428</v>
      </c>
      <c r="EQ35" s="86">
        <v>8.6996103939366805</v>
      </c>
      <c r="ER35" s="1">
        <v>8.5912451824131431</v>
      </c>
      <c r="ES35" s="1">
        <v>8.5606306591732029</v>
      </c>
      <c r="ET35" s="1">
        <v>8.5224215723082555</v>
      </c>
      <c r="EU35" s="1">
        <v>8.5581227175240429</v>
      </c>
      <c r="EV35" s="1">
        <v>8.5140600839723639</v>
      </c>
      <c r="EW35" s="1">
        <v>39164.877766497462</v>
      </c>
      <c r="EX35" s="1">
        <v>45253.71806763285</v>
      </c>
      <c r="EY35" s="1">
        <v>45803.609676113359</v>
      </c>
      <c r="EZ35" s="1">
        <v>44130.677292418768</v>
      </c>
      <c r="FA35" s="1">
        <v>55066.620252707573</v>
      </c>
      <c r="FB35" s="1">
        <v>63409.055812274375</v>
      </c>
      <c r="FC35" s="1">
        <v>66535.055350553506</v>
      </c>
      <c r="FD35" s="1">
        <v>68655.298434782599</v>
      </c>
      <c r="FE35" s="1">
        <v>87656.306546391759</v>
      </c>
      <c r="FF35" s="1">
        <v>83322.197053824362</v>
      </c>
      <c r="FG35" s="1">
        <v>79881.821296296301</v>
      </c>
      <c r="FH35" s="1">
        <v>72706.617790055258</v>
      </c>
      <c r="FI35" s="1">
        <v>75953.658592964828</v>
      </c>
      <c r="FJ35" s="1">
        <v>73910.136350000001</v>
      </c>
      <c r="FK35" s="1">
        <v>73172.124371859303</v>
      </c>
      <c r="FL35" s="1">
        <v>75205.451032745594</v>
      </c>
      <c r="FM35" s="1">
        <v>72327.02763819095</v>
      </c>
      <c r="FN35" s="1">
        <v>72328.000854271362</v>
      </c>
      <c r="FO35" s="1">
        <v>66365.303819095468</v>
      </c>
      <c r="FP35" s="1">
        <v>69930.074299999993</v>
      </c>
      <c r="FQ35" s="1">
        <v>72788.33666666667</v>
      </c>
      <c r="FR35" s="5">
        <v>13</v>
      </c>
      <c r="FS35" s="5">
        <v>14</v>
      </c>
      <c r="FT35" s="5">
        <v>12</v>
      </c>
      <c r="FU35" s="5">
        <v>9</v>
      </c>
      <c r="FV35" s="5">
        <v>31</v>
      </c>
      <c r="FW35" s="5">
        <v>8</v>
      </c>
    </row>
    <row r="36" spans="1:179" x14ac:dyDescent="0.2">
      <c r="A36" s="5">
        <v>34</v>
      </c>
      <c r="B36" s="6" t="s">
        <v>202</v>
      </c>
      <c r="C36" s="9">
        <v>7</v>
      </c>
      <c r="D36" s="9">
        <v>7</v>
      </c>
      <c r="E36" s="9">
        <v>7</v>
      </c>
      <c r="F36" s="9">
        <v>7</v>
      </c>
      <c r="G36" s="9">
        <v>7</v>
      </c>
      <c r="H36" s="9">
        <v>7</v>
      </c>
      <c r="I36" s="9">
        <v>7</v>
      </c>
      <c r="J36" s="9">
        <v>6</v>
      </c>
      <c r="K36" s="9">
        <v>6</v>
      </c>
      <c r="L36" s="8">
        <v>6</v>
      </c>
      <c r="M36" s="8">
        <v>6</v>
      </c>
      <c r="N36" s="8">
        <v>6</v>
      </c>
      <c r="O36" s="85">
        <v>6</v>
      </c>
      <c r="P36" s="85">
        <v>6</v>
      </c>
      <c r="Q36" s="9">
        <v>5</v>
      </c>
      <c r="R36" s="9">
        <v>5</v>
      </c>
      <c r="S36" s="9">
        <v>4</v>
      </c>
      <c r="T36" s="9">
        <v>4</v>
      </c>
      <c r="U36" s="9">
        <v>4</v>
      </c>
      <c r="V36" s="9">
        <v>4</v>
      </c>
      <c r="W36" s="1">
        <v>3</v>
      </c>
      <c r="X36" s="9">
        <v>115</v>
      </c>
      <c r="Y36" s="9">
        <v>118</v>
      </c>
      <c r="Z36" s="9">
        <v>124</v>
      </c>
      <c r="AA36" s="9">
        <v>148</v>
      </c>
      <c r="AB36" s="9">
        <v>160</v>
      </c>
      <c r="AC36" s="9">
        <v>160</v>
      </c>
      <c r="AD36" s="8">
        <v>160</v>
      </c>
      <c r="AE36" s="8">
        <v>160</v>
      </c>
      <c r="AF36" s="8">
        <v>144</v>
      </c>
      <c r="AG36" s="8">
        <v>150</v>
      </c>
      <c r="AH36" s="8">
        <v>150</v>
      </c>
      <c r="AI36" s="9">
        <v>150</v>
      </c>
      <c r="AJ36" s="9">
        <v>150</v>
      </c>
      <c r="AK36" s="9">
        <v>150</v>
      </c>
      <c r="AL36" s="9">
        <v>148</v>
      </c>
      <c r="AM36" s="9">
        <v>122</v>
      </c>
      <c r="AN36" s="9">
        <v>124</v>
      </c>
      <c r="AO36" s="9">
        <v>118</v>
      </c>
      <c r="AP36" s="9">
        <v>118</v>
      </c>
      <c r="AQ36" s="9">
        <v>118</v>
      </c>
      <c r="AR36" s="9">
        <v>118</v>
      </c>
      <c r="AS36" s="9">
        <v>102</v>
      </c>
      <c r="AT36" s="9">
        <v>3475.5412799999999</v>
      </c>
      <c r="AU36" s="8">
        <v>3770.1164699999999</v>
      </c>
      <c r="AV36" s="9">
        <v>4039.7412000000004</v>
      </c>
      <c r="AW36" s="8">
        <v>4437.6143599999996</v>
      </c>
      <c r="AX36" s="8">
        <v>5268.0165100000004</v>
      </c>
      <c r="AY36" s="8">
        <v>5448.79306</v>
      </c>
      <c r="AZ36" s="86">
        <v>5476.7804299999989</v>
      </c>
      <c r="BA36" s="9">
        <v>5773.9339</v>
      </c>
      <c r="BB36" s="9">
        <v>6073.1980700000004</v>
      </c>
      <c r="BC36" s="9">
        <v>5455.7584200000001</v>
      </c>
      <c r="BD36" s="9">
        <v>5525.01055</v>
      </c>
      <c r="BE36" s="9">
        <v>5332.4592199999997</v>
      </c>
      <c r="BF36" s="9">
        <v>5533.90031</v>
      </c>
      <c r="BG36" s="9">
        <v>5654.0734400000001</v>
      </c>
      <c r="BH36" s="9">
        <v>5238.1015900000002</v>
      </c>
      <c r="BI36" s="9">
        <v>5306.4304100000008</v>
      </c>
      <c r="BJ36" s="9">
        <v>5651.7601100000002</v>
      </c>
      <c r="BK36" s="9">
        <v>5540.2146900000007</v>
      </c>
      <c r="BL36" s="9">
        <v>5074.6499300000005</v>
      </c>
      <c r="BM36" s="1">
        <v>5344.5880899999993</v>
      </c>
      <c r="BN36" s="1">
        <v>5007.6776399999999</v>
      </c>
      <c r="BO36" s="1">
        <v>119418.57597000001</v>
      </c>
      <c r="BP36" s="1">
        <v>1252.15688</v>
      </c>
      <c r="BQ36" s="1">
        <v>1369.94767</v>
      </c>
      <c r="BR36" s="9">
        <v>1102.5871999999999</v>
      </c>
      <c r="BS36" s="9">
        <v>1231.70207</v>
      </c>
      <c r="BT36" s="9">
        <v>1480.98855</v>
      </c>
      <c r="BU36" s="9">
        <v>1559.3456699999999</v>
      </c>
      <c r="BV36" s="9">
        <v>1542.4050199999999</v>
      </c>
      <c r="BW36" s="9">
        <v>1644.8992599999999</v>
      </c>
      <c r="BX36" s="9">
        <v>1769.1565099999998</v>
      </c>
      <c r="BY36" s="9">
        <v>1517.7414699999999</v>
      </c>
      <c r="BZ36" s="9">
        <v>1543.3769400000001</v>
      </c>
      <c r="CA36" s="9">
        <v>1450.9336799999999</v>
      </c>
      <c r="CB36" s="9">
        <v>1519.81835</v>
      </c>
      <c r="CC36" s="9">
        <v>1571.6694</v>
      </c>
      <c r="CD36" s="8">
        <v>1510.0276800000001</v>
      </c>
      <c r="CE36" s="8">
        <v>1542.5872400000001</v>
      </c>
      <c r="CF36" s="8">
        <v>1708.94109</v>
      </c>
      <c r="CG36" s="8">
        <v>1672.2846999999999</v>
      </c>
      <c r="CH36" s="8">
        <v>1502.8943400000001</v>
      </c>
      <c r="CI36" s="8">
        <v>1616.4957999999999</v>
      </c>
      <c r="CJ36" s="9">
        <v>1489.36259</v>
      </c>
      <c r="CK36" s="9">
        <v>35549.025950000003</v>
      </c>
      <c r="CL36" s="9">
        <v>487.22902268584778</v>
      </c>
      <c r="CM36" s="1">
        <v>525.0624595622279</v>
      </c>
      <c r="CN36" s="9">
        <v>560.45578134684604</v>
      </c>
      <c r="CO36" s="9">
        <v>613.9704275610585</v>
      </c>
      <c r="CP36" s="9">
        <v>732.08012950874945</v>
      </c>
      <c r="CQ36" s="9">
        <v>763.63831966440307</v>
      </c>
      <c r="CR36" s="9">
        <v>766.11178446270628</v>
      </c>
      <c r="CS36" s="9">
        <v>804.07906380956058</v>
      </c>
      <c r="CT36" s="9">
        <v>843.2850956621719</v>
      </c>
      <c r="CU36" s="9">
        <v>755.27306686594295</v>
      </c>
      <c r="CV36" s="9">
        <v>763.63481329781848</v>
      </c>
      <c r="CW36" s="9">
        <v>736.49849789377265</v>
      </c>
      <c r="CX36" s="9">
        <v>765.12806451050596</v>
      </c>
      <c r="CY36" s="9">
        <v>776.98965694505659</v>
      </c>
      <c r="CZ36" s="9">
        <v>709.53941601151109</v>
      </c>
      <c r="DA36" s="9">
        <v>709.36899368031629</v>
      </c>
      <c r="DB36" s="9">
        <v>745.84416363699347</v>
      </c>
      <c r="DC36" s="9">
        <v>722.17888473630728</v>
      </c>
      <c r="DD36" s="9">
        <v>655.14587839326907</v>
      </c>
      <c r="DE36" s="9">
        <v>686.88159026307244</v>
      </c>
      <c r="DF36" s="9">
        <v>641.60409000656432</v>
      </c>
      <c r="DG36" s="9">
        <v>175.53731167070481</v>
      </c>
      <c r="DH36" s="9">
        <v>190.79200836512706</v>
      </c>
      <c r="DI36" s="9">
        <v>152.96805911206172</v>
      </c>
      <c r="DJ36" s="1">
        <v>170.41333139767036</v>
      </c>
      <c r="DK36" s="1">
        <v>205.80844563165104</v>
      </c>
      <c r="DL36" s="1">
        <v>218.53942590632406</v>
      </c>
      <c r="DM36" s="1">
        <v>215.75717291197603</v>
      </c>
      <c r="DN36" s="1">
        <v>229.06896406310415</v>
      </c>
      <c r="DO36" s="1">
        <v>245.65365719690809</v>
      </c>
      <c r="DP36" s="1">
        <v>210.10997307987927</v>
      </c>
      <c r="DQ36" s="1">
        <v>213.31658116472892</v>
      </c>
      <c r="DR36" s="1">
        <v>200.3973085917915</v>
      </c>
      <c r="DS36" s="1">
        <v>210.13310818803868</v>
      </c>
      <c r="DT36" s="1">
        <v>215.98072272953053</v>
      </c>
      <c r="DU36" s="1">
        <v>204.54436398749132</v>
      </c>
      <c r="DV36" s="1">
        <v>206.21462519149409</v>
      </c>
      <c r="DW36" s="1">
        <v>225.52332603797333</v>
      </c>
      <c r="DX36" s="1">
        <v>217.98590256573434</v>
      </c>
      <c r="DY36" s="1">
        <v>194.02619808132701</v>
      </c>
      <c r="DZ36" s="1">
        <v>207.75056693987011</v>
      </c>
      <c r="EA36" s="1">
        <v>190.82321146509935</v>
      </c>
      <c r="EB36" s="1">
        <v>16.498874161234561</v>
      </c>
      <c r="EC36" s="1">
        <v>17.20158793412503</v>
      </c>
      <c r="ED36" s="1">
        <v>20.534800328217155</v>
      </c>
      <c r="EE36" s="1">
        <v>22.074480050483476</v>
      </c>
      <c r="EF36" s="1">
        <v>22.397283567882596</v>
      </c>
      <c r="EG36" s="1">
        <v>22.450189933034423</v>
      </c>
      <c r="EH36" s="1">
        <v>22.31298388122822</v>
      </c>
      <c r="EI36" s="1">
        <v>20.025325028191439</v>
      </c>
      <c r="EJ36" s="1">
        <v>20.79644671711679</v>
      </c>
      <c r="EK36" s="1">
        <v>20.734429079848585</v>
      </c>
      <c r="EL36" s="1">
        <v>20.729826008791878</v>
      </c>
      <c r="EM36" s="1">
        <v>20.705020361544051</v>
      </c>
      <c r="EN36" s="1">
        <v>20.773690063106262</v>
      </c>
      <c r="EO36" s="1">
        <v>20.182401381496785</v>
      </c>
      <c r="EP36" s="1">
        <v>16.416224187343296</v>
      </c>
      <c r="EQ36" s="86">
        <v>16.468960873411355</v>
      </c>
      <c r="ER36" s="1">
        <v>15.473335071599662</v>
      </c>
      <c r="ES36" s="1">
        <v>15.290854238798113</v>
      </c>
      <c r="ET36" s="1">
        <v>15.177565660757692</v>
      </c>
      <c r="EU36" s="1">
        <v>15.152959211211424</v>
      </c>
      <c r="EV36" s="1">
        <v>13.039125685611054</v>
      </c>
      <c r="EW36" s="1">
        <v>29832.972360515021</v>
      </c>
      <c r="EX36" s="1">
        <v>31157.987355371897</v>
      </c>
      <c r="EY36" s="1">
        <v>29703.979411764707</v>
      </c>
      <c r="EZ36" s="1">
        <v>28815.677662337657</v>
      </c>
      <c r="FA36" s="1">
        <v>32925.103187500004</v>
      </c>
      <c r="FB36" s="1">
        <v>34054.956624999999</v>
      </c>
      <c r="FC36" s="1">
        <v>34229.877687499989</v>
      </c>
      <c r="FD36" s="1">
        <v>37986.407236842111</v>
      </c>
      <c r="FE36" s="1">
        <v>41314.272585034014</v>
      </c>
      <c r="FF36" s="1">
        <v>36371.722799999996</v>
      </c>
      <c r="FG36" s="1">
        <v>36833.403666666665</v>
      </c>
      <c r="FH36" s="1">
        <v>35549.72813333333</v>
      </c>
      <c r="FI36" s="1">
        <v>36892.668733333332</v>
      </c>
      <c r="FJ36" s="1">
        <v>37946.801610738257</v>
      </c>
      <c r="FK36" s="1">
        <v>38800.752518518515</v>
      </c>
      <c r="FL36" s="1">
        <v>43141.710650406516</v>
      </c>
      <c r="FM36" s="1">
        <v>46708.761239669424</v>
      </c>
      <c r="FN36" s="1">
        <v>46950.971949152547</v>
      </c>
      <c r="FO36" s="1">
        <v>43005.507881355938</v>
      </c>
      <c r="FP36" s="1">
        <v>45293.119406779653</v>
      </c>
      <c r="FQ36" s="1">
        <v>45524.342181818181</v>
      </c>
      <c r="FR36" s="5">
        <v>28</v>
      </c>
      <c r="FS36" s="5">
        <v>12</v>
      </c>
      <c r="FT36" s="5">
        <v>28</v>
      </c>
      <c r="FU36" s="5">
        <v>18</v>
      </c>
      <c r="FV36" s="5">
        <v>18</v>
      </c>
      <c r="FW36" s="5">
        <v>18</v>
      </c>
    </row>
    <row r="37" spans="1:179" x14ac:dyDescent="0.2">
      <c r="A37" s="5">
        <v>35</v>
      </c>
      <c r="B37" s="6" t="s">
        <v>63</v>
      </c>
      <c r="C37" s="9">
        <v>7</v>
      </c>
      <c r="D37" s="9">
        <v>8</v>
      </c>
      <c r="E37" s="9">
        <v>8</v>
      </c>
      <c r="F37" s="9">
        <v>8</v>
      </c>
      <c r="G37" s="9">
        <v>7</v>
      </c>
      <c r="H37" s="9">
        <v>8</v>
      </c>
      <c r="I37" s="9">
        <v>8</v>
      </c>
      <c r="J37" s="9">
        <v>8</v>
      </c>
      <c r="K37" s="9">
        <v>8</v>
      </c>
      <c r="L37" s="8">
        <v>8</v>
      </c>
      <c r="M37" s="8">
        <v>7</v>
      </c>
      <c r="N37" s="8">
        <v>8</v>
      </c>
      <c r="O37" s="85">
        <v>8</v>
      </c>
      <c r="P37" s="85">
        <v>8</v>
      </c>
      <c r="Q37" s="9">
        <v>7</v>
      </c>
      <c r="R37" s="9">
        <v>7</v>
      </c>
      <c r="S37" s="9">
        <v>7</v>
      </c>
      <c r="T37" s="9">
        <v>7</v>
      </c>
      <c r="U37" s="9">
        <v>6</v>
      </c>
      <c r="V37" s="9">
        <v>6</v>
      </c>
      <c r="W37" s="1">
        <v>6</v>
      </c>
      <c r="X37" s="9">
        <v>108</v>
      </c>
      <c r="Y37" s="9">
        <v>121</v>
      </c>
      <c r="Z37" s="9">
        <v>134</v>
      </c>
      <c r="AA37" s="9">
        <v>158</v>
      </c>
      <c r="AB37" s="9">
        <v>158</v>
      </c>
      <c r="AC37" s="9">
        <v>143</v>
      </c>
      <c r="AD37" s="8">
        <v>158</v>
      </c>
      <c r="AE37" s="8">
        <v>158</v>
      </c>
      <c r="AF37" s="8">
        <v>143</v>
      </c>
      <c r="AG37" s="8">
        <v>131</v>
      </c>
      <c r="AH37" s="8">
        <v>131</v>
      </c>
      <c r="AI37" s="9">
        <v>123</v>
      </c>
      <c r="AJ37" s="9">
        <v>141</v>
      </c>
      <c r="AK37" s="9">
        <v>141</v>
      </c>
      <c r="AL37" s="9">
        <v>141</v>
      </c>
      <c r="AM37" s="9">
        <v>133</v>
      </c>
      <c r="AN37" s="9">
        <v>133</v>
      </c>
      <c r="AO37" s="9">
        <v>133</v>
      </c>
      <c r="AP37" s="9">
        <v>130</v>
      </c>
      <c r="AQ37" s="9">
        <v>129</v>
      </c>
      <c r="AR37" s="9">
        <v>130</v>
      </c>
      <c r="AS37" s="9">
        <v>130</v>
      </c>
      <c r="AT37" s="9">
        <v>4102.5672299999997</v>
      </c>
      <c r="AU37" s="8">
        <v>3743.7096799999999</v>
      </c>
      <c r="AV37" s="9">
        <v>3905.4376699999998</v>
      </c>
      <c r="AW37" s="8">
        <v>4477.1514200000001</v>
      </c>
      <c r="AX37" s="8">
        <v>4970.0544099999997</v>
      </c>
      <c r="AY37" s="8">
        <v>5772.5269500000004</v>
      </c>
      <c r="AZ37" s="86">
        <v>5688.4495799999995</v>
      </c>
      <c r="BA37" s="9">
        <v>5543.723</v>
      </c>
      <c r="BB37" s="9">
        <v>6047.8081899999997</v>
      </c>
      <c r="BC37" s="9">
        <v>5489.0033600000006</v>
      </c>
      <c r="BD37" s="9">
        <v>4900.5370899999998</v>
      </c>
      <c r="BE37" s="9">
        <v>4478.2973300000003</v>
      </c>
      <c r="BF37" s="9">
        <v>5039.2883700000002</v>
      </c>
      <c r="BG37" s="9">
        <v>5343.3795199999995</v>
      </c>
      <c r="BH37" s="9">
        <v>4905.3916600000002</v>
      </c>
      <c r="BI37" s="9">
        <v>4112.9034699999993</v>
      </c>
      <c r="BJ37" s="9">
        <v>4217.68714</v>
      </c>
      <c r="BK37" s="9">
        <v>3535.8459399999997</v>
      </c>
      <c r="BL37" s="9">
        <v>3246.4633100000001</v>
      </c>
      <c r="BM37" s="1">
        <v>3747.0433399999997</v>
      </c>
      <c r="BN37" s="1">
        <v>3766.6879699999995</v>
      </c>
      <c r="BO37" s="1">
        <v>106067.52150999998</v>
      </c>
      <c r="BP37" s="1">
        <v>1676.2999599999998</v>
      </c>
      <c r="BQ37" s="1">
        <v>1467.28658</v>
      </c>
      <c r="BR37" s="9">
        <v>1226.86589</v>
      </c>
      <c r="BS37" s="9">
        <v>1425.7468100000001</v>
      </c>
      <c r="BT37" s="9">
        <v>1575.48197</v>
      </c>
      <c r="BU37" s="9">
        <v>1892.7758699999999</v>
      </c>
      <c r="BV37" s="9">
        <v>1861.3762000000002</v>
      </c>
      <c r="BW37" s="9">
        <v>1784.27298</v>
      </c>
      <c r="BX37" s="9">
        <v>2035.4806599999999</v>
      </c>
      <c r="BY37" s="9">
        <v>1769.1078899999998</v>
      </c>
      <c r="BZ37" s="9">
        <v>1538.6553999999999</v>
      </c>
      <c r="CA37" s="9">
        <v>1343.42803</v>
      </c>
      <c r="CB37" s="9">
        <v>1532.1753000000001</v>
      </c>
      <c r="CC37" s="9">
        <v>1680.8007100000002</v>
      </c>
      <c r="CD37" s="8">
        <v>1512.7877100000001</v>
      </c>
      <c r="CE37" s="8">
        <v>1221.6813900000002</v>
      </c>
      <c r="CF37" s="8">
        <v>1243.65083</v>
      </c>
      <c r="CG37" s="8">
        <v>996.26169000000004</v>
      </c>
      <c r="CH37" s="8">
        <v>878.66934000000003</v>
      </c>
      <c r="CI37" s="8">
        <v>1046.28736</v>
      </c>
      <c r="CJ37" s="9">
        <v>1053.4782300000002</v>
      </c>
      <c r="CK37" s="9">
        <v>34033.29621</v>
      </c>
      <c r="CL37" s="9">
        <v>732.15769379058531</v>
      </c>
      <c r="CM37" s="1">
        <v>661.45331657902557</v>
      </c>
      <c r="CN37" s="9">
        <v>698.16778042781004</v>
      </c>
      <c r="CO37" s="9">
        <v>801.37364193071448</v>
      </c>
      <c r="CP37" s="9">
        <v>878.73619337806315</v>
      </c>
      <c r="CQ37" s="9">
        <v>1013.2654999942055</v>
      </c>
      <c r="CR37" s="9">
        <v>998.65369041781969</v>
      </c>
      <c r="CS37" s="9">
        <v>964.13788136992844</v>
      </c>
      <c r="CT37" s="9">
        <v>1028.2037314822269</v>
      </c>
      <c r="CU37" s="9">
        <v>911.87163054143195</v>
      </c>
      <c r="CV37" s="9">
        <v>800.32186098649504</v>
      </c>
      <c r="CW37" s="9">
        <v>721.78492271674259</v>
      </c>
      <c r="CX37" s="9">
        <v>799.51042349083718</v>
      </c>
      <c r="CY37" s="9">
        <v>845.0235276844852</v>
      </c>
      <c r="CZ37" s="9">
        <v>785.32115349038463</v>
      </c>
      <c r="DA37" s="9">
        <v>671.01416731244478</v>
      </c>
      <c r="DB37" s="9">
        <v>701.53114420325869</v>
      </c>
      <c r="DC37" s="9">
        <v>603.53131661044813</v>
      </c>
      <c r="DD37" s="9">
        <v>565.61303990978354</v>
      </c>
      <c r="DE37" s="9">
        <v>653.11494732143046</v>
      </c>
      <c r="DF37" s="9">
        <v>655.94962489937348</v>
      </c>
      <c r="DG37" s="9">
        <v>299.15802569671729</v>
      </c>
      <c r="DH37" s="9">
        <v>259.24595058687777</v>
      </c>
      <c r="DI37" s="9">
        <v>219.32451819257685</v>
      </c>
      <c r="DJ37" s="1">
        <v>255.19706760348939</v>
      </c>
      <c r="DK37" s="1">
        <v>278.55490400025053</v>
      </c>
      <c r="DL37" s="1">
        <v>332.24348797410414</v>
      </c>
      <c r="DM37" s="1">
        <v>326.77976401891533</v>
      </c>
      <c r="DN37" s="1">
        <v>310.31225238396809</v>
      </c>
      <c r="DO37" s="1">
        <v>346.05740529808475</v>
      </c>
      <c r="DP37" s="1">
        <v>293.89657656504181</v>
      </c>
      <c r="DQ37" s="1">
        <v>251.28256975296557</v>
      </c>
      <c r="DR37" s="1">
        <v>216.52561796495451</v>
      </c>
      <c r="DS37" s="1">
        <v>243.08791897241645</v>
      </c>
      <c r="DT37" s="1">
        <v>265.80858424572239</v>
      </c>
      <c r="DU37" s="1">
        <v>242.18742798679554</v>
      </c>
      <c r="DV37" s="1">
        <v>199.31552651586068</v>
      </c>
      <c r="DW37" s="1">
        <v>206.85739856921501</v>
      </c>
      <c r="DX37" s="1">
        <v>170.05128041699979</v>
      </c>
      <c r="DY37" s="1">
        <v>153.08561625879676</v>
      </c>
      <c r="DZ37" s="1">
        <v>182.36936485754089</v>
      </c>
      <c r="EA37" s="1">
        <v>183.4578959849855</v>
      </c>
      <c r="EB37" s="1">
        <v>21.28682908628204</v>
      </c>
      <c r="EC37" s="1">
        <v>23.778330914204179</v>
      </c>
      <c r="ED37" s="1">
        <v>28.456708024543499</v>
      </c>
      <c r="EE37" s="1">
        <v>28.10688199992931</v>
      </c>
      <c r="EF37" s="1">
        <v>25.129935152087</v>
      </c>
      <c r="EG37" s="1">
        <v>27.70236840242276</v>
      </c>
      <c r="EH37" s="1">
        <v>27.774100068737201</v>
      </c>
      <c r="EI37" s="1">
        <v>24.608069202683428</v>
      </c>
      <c r="EJ37" s="1">
        <v>22.006707988579954</v>
      </c>
      <c r="EK37" s="1">
        <v>21.523919058059008</v>
      </c>
      <c r="EL37" s="1">
        <v>19.967002636333813</v>
      </c>
      <c r="EM37" s="1">
        <v>22.564372726466178</v>
      </c>
      <c r="EN37" s="1">
        <v>22.179762332707185</v>
      </c>
      <c r="EO37" s="1">
        <v>22.418125822897959</v>
      </c>
      <c r="EP37" s="1">
        <v>21.440723780968096</v>
      </c>
      <c r="EQ37" s="86">
        <v>21.963072253584759</v>
      </c>
      <c r="ER37" s="1">
        <v>22.283228807873243</v>
      </c>
      <c r="ES37" s="1">
        <v>22.61429261098543</v>
      </c>
      <c r="ET37" s="1">
        <v>22.50965904805966</v>
      </c>
      <c r="EU37" s="1">
        <v>22.6342696599602</v>
      </c>
      <c r="EV37" s="1">
        <v>22.643414817687464</v>
      </c>
      <c r="EW37" s="1">
        <v>35830.28148471615</v>
      </c>
      <c r="EX37" s="1">
        <v>29362.428862745095</v>
      </c>
      <c r="EY37" s="1">
        <v>26749.573082191779</v>
      </c>
      <c r="EZ37" s="1">
        <v>28336.401392405063</v>
      </c>
      <c r="FA37" s="1">
        <v>33023.617342192694</v>
      </c>
      <c r="FB37" s="1">
        <v>38355.660797342192</v>
      </c>
      <c r="FC37" s="1">
        <v>36002.845443037972</v>
      </c>
      <c r="FD37" s="1">
        <v>36835.368770764122</v>
      </c>
      <c r="FE37" s="1">
        <v>44144.585328467147</v>
      </c>
      <c r="FF37" s="1">
        <v>41900.78900763359</v>
      </c>
      <c r="FG37" s="1">
        <v>38586.90622047244</v>
      </c>
      <c r="FH37" s="1">
        <v>33926.494924242426</v>
      </c>
      <c r="FI37" s="1">
        <v>35739.633829787235</v>
      </c>
      <c r="FJ37" s="1">
        <v>37896.308652482265</v>
      </c>
      <c r="FK37" s="1">
        <v>35805.778540145984</v>
      </c>
      <c r="FL37" s="1">
        <v>30924.086240601497</v>
      </c>
      <c r="FM37" s="1">
        <v>31711.933383458643</v>
      </c>
      <c r="FN37" s="1">
        <v>26888.562281368817</v>
      </c>
      <c r="FO37" s="1">
        <v>25069.214749034749</v>
      </c>
      <c r="FP37" s="1">
        <v>28934.697606177604</v>
      </c>
      <c r="FQ37" s="1">
        <v>28974.522846153839</v>
      </c>
      <c r="FR37" s="5">
        <v>32</v>
      </c>
      <c r="FS37" s="5">
        <v>11</v>
      </c>
      <c r="FT37" s="5">
        <v>30</v>
      </c>
      <c r="FU37" s="5">
        <v>20</v>
      </c>
      <c r="FV37" s="5">
        <v>3</v>
      </c>
      <c r="FW37" s="5">
        <v>30</v>
      </c>
    </row>
    <row r="38" spans="1:179" x14ac:dyDescent="0.2">
      <c r="A38" s="5">
        <v>36</v>
      </c>
      <c r="B38" s="6" t="s">
        <v>203</v>
      </c>
      <c r="C38" s="9">
        <v>18</v>
      </c>
      <c r="D38" s="9">
        <v>18</v>
      </c>
      <c r="E38" s="9">
        <v>19</v>
      </c>
      <c r="F38" s="9">
        <v>21</v>
      </c>
      <c r="G38" s="9">
        <v>22</v>
      </c>
      <c r="H38" s="9">
        <v>22</v>
      </c>
      <c r="I38" s="9">
        <v>22</v>
      </c>
      <c r="J38" s="9">
        <v>22</v>
      </c>
      <c r="K38" s="9">
        <v>22</v>
      </c>
      <c r="L38" s="8">
        <v>22</v>
      </c>
      <c r="M38" s="8">
        <v>21</v>
      </c>
      <c r="N38" s="8">
        <v>21</v>
      </c>
      <c r="O38" s="85">
        <v>20</v>
      </c>
      <c r="P38" s="85">
        <v>20</v>
      </c>
      <c r="Q38" s="9">
        <v>21</v>
      </c>
      <c r="R38" s="9">
        <v>21</v>
      </c>
      <c r="S38" s="9">
        <v>21</v>
      </c>
      <c r="T38" s="9">
        <v>21</v>
      </c>
      <c r="U38" s="9">
        <v>21</v>
      </c>
      <c r="V38" s="9">
        <v>21</v>
      </c>
      <c r="W38" s="1">
        <v>21</v>
      </c>
      <c r="X38" s="9">
        <v>522</v>
      </c>
      <c r="Y38" s="9">
        <v>567</v>
      </c>
      <c r="Z38" s="9">
        <v>585</v>
      </c>
      <c r="AA38" s="9">
        <v>633</v>
      </c>
      <c r="AB38" s="9">
        <v>693</v>
      </c>
      <c r="AC38" s="9">
        <v>733</v>
      </c>
      <c r="AD38" s="8">
        <v>733</v>
      </c>
      <c r="AE38" s="8">
        <v>709</v>
      </c>
      <c r="AF38" s="8">
        <v>640</v>
      </c>
      <c r="AG38" s="8">
        <v>641</v>
      </c>
      <c r="AH38" s="8">
        <v>644</v>
      </c>
      <c r="AI38" s="9">
        <v>634</v>
      </c>
      <c r="AJ38" s="9">
        <v>635</v>
      </c>
      <c r="AK38" s="9">
        <v>609</v>
      </c>
      <c r="AL38" s="9">
        <v>616</v>
      </c>
      <c r="AM38" s="9">
        <v>682</v>
      </c>
      <c r="AN38" s="9">
        <v>687</v>
      </c>
      <c r="AO38" s="9">
        <v>690</v>
      </c>
      <c r="AP38" s="9">
        <v>690</v>
      </c>
      <c r="AQ38" s="9">
        <v>690</v>
      </c>
      <c r="AR38" s="9">
        <v>690</v>
      </c>
      <c r="AS38" s="9">
        <v>697</v>
      </c>
      <c r="AT38" s="9">
        <v>38703.654289999999</v>
      </c>
      <c r="AU38" s="8">
        <v>42665.363409999998</v>
      </c>
      <c r="AV38" s="9">
        <v>48117.722980000006</v>
      </c>
      <c r="AW38" s="8">
        <v>53142.09388</v>
      </c>
      <c r="AX38" s="8">
        <v>60043.152699999999</v>
      </c>
      <c r="AY38" s="8">
        <v>66831.240669999999</v>
      </c>
      <c r="AZ38" s="86">
        <v>69224.067590000006</v>
      </c>
      <c r="BA38" s="9">
        <v>65587.162729999996</v>
      </c>
      <c r="BB38" s="9">
        <v>69963.180540000001</v>
      </c>
      <c r="BC38" s="9">
        <v>67098.819329999998</v>
      </c>
      <c r="BD38" s="9">
        <v>66639.04243999999</v>
      </c>
      <c r="BE38" s="9">
        <v>64490.948909999999</v>
      </c>
      <c r="BF38" s="9">
        <v>66660.131169999993</v>
      </c>
      <c r="BG38" s="9">
        <v>66742.179910000006</v>
      </c>
      <c r="BH38" s="9">
        <v>65409.41517</v>
      </c>
      <c r="BI38" s="9">
        <v>67260.242209999997</v>
      </c>
      <c r="BJ38" s="9">
        <v>69123.868719999999</v>
      </c>
      <c r="BK38" s="9">
        <v>68878.551829999997</v>
      </c>
      <c r="BL38" s="9">
        <v>64940.552280000004</v>
      </c>
      <c r="BM38" s="1">
        <v>66530.826169999986</v>
      </c>
      <c r="BN38" s="1">
        <v>66515.420630000008</v>
      </c>
      <c r="BO38" s="1">
        <v>1418545.4401200002</v>
      </c>
      <c r="BP38" s="1">
        <v>17780.955750000001</v>
      </c>
      <c r="BQ38" s="1">
        <v>19713.808229999999</v>
      </c>
      <c r="BR38" s="9">
        <v>17932.054339999999</v>
      </c>
      <c r="BS38" s="9">
        <v>19649.116309999998</v>
      </c>
      <c r="BT38" s="9">
        <v>24567.388880000002</v>
      </c>
      <c r="BU38" s="9">
        <v>30811.79869</v>
      </c>
      <c r="BV38" s="9">
        <v>32200.548669999996</v>
      </c>
      <c r="BW38" s="9">
        <v>29603.539150000001</v>
      </c>
      <c r="BX38" s="9">
        <v>32144.915919999999</v>
      </c>
      <c r="BY38" s="9">
        <v>30293.719820000002</v>
      </c>
      <c r="BZ38" s="9">
        <v>30200.939770000005</v>
      </c>
      <c r="CA38" s="9">
        <v>29100.42871</v>
      </c>
      <c r="CB38" s="9">
        <v>30502.184830000002</v>
      </c>
      <c r="CC38" s="9">
        <v>31049.362749999997</v>
      </c>
      <c r="CD38" s="8">
        <v>29790.685140000001</v>
      </c>
      <c r="CE38" s="8">
        <v>31060.186370000003</v>
      </c>
      <c r="CF38" s="8">
        <v>32188.76844</v>
      </c>
      <c r="CG38" s="8">
        <v>31876.291910000004</v>
      </c>
      <c r="CH38" s="8">
        <v>29624.861680000002</v>
      </c>
      <c r="CI38" s="8">
        <v>30764.204730000001</v>
      </c>
      <c r="CJ38" s="9">
        <v>30873.818930000001</v>
      </c>
      <c r="CK38" s="9">
        <v>631176.92109000008</v>
      </c>
      <c r="CL38" s="9">
        <v>477.1941203874419</v>
      </c>
      <c r="CM38" s="1">
        <v>521.62760489675816</v>
      </c>
      <c r="CN38" s="9">
        <v>582.50213685639585</v>
      </c>
      <c r="CO38" s="9">
        <v>635.42057966620337</v>
      </c>
      <c r="CP38" s="9">
        <v>706.69348981097005</v>
      </c>
      <c r="CQ38" s="9">
        <v>772.94721950012547</v>
      </c>
      <c r="CR38" s="9">
        <v>785.06652419044497</v>
      </c>
      <c r="CS38" s="9">
        <v>728.33728171724147</v>
      </c>
      <c r="CT38" s="9">
        <v>760.14871988360653</v>
      </c>
      <c r="CU38" s="9">
        <v>712.64118317956411</v>
      </c>
      <c r="CV38" s="9">
        <v>691.93459191746956</v>
      </c>
      <c r="CW38" s="9">
        <v>655.22221470678983</v>
      </c>
      <c r="CX38" s="9">
        <v>665.2436414537608</v>
      </c>
      <c r="CY38" s="9">
        <v>656.79555889888638</v>
      </c>
      <c r="CZ38" s="9">
        <v>635.42748072637562</v>
      </c>
      <c r="DA38" s="9">
        <v>645.40477527332598</v>
      </c>
      <c r="DB38" s="9">
        <v>655.38274778999164</v>
      </c>
      <c r="DC38" s="9">
        <v>644.70915642192597</v>
      </c>
      <c r="DD38" s="9">
        <v>601.27169430637127</v>
      </c>
      <c r="DE38" s="9">
        <v>611.20541804149366</v>
      </c>
      <c r="DF38" s="9">
        <v>606.436509686563</v>
      </c>
      <c r="DG38" s="9">
        <v>219.22910625422699</v>
      </c>
      <c r="DH38" s="9">
        <v>241.02142226213138</v>
      </c>
      <c r="DI38" s="9">
        <v>217.08134392844468</v>
      </c>
      <c r="DJ38" s="1">
        <v>234.944691938978</v>
      </c>
      <c r="DK38" s="1">
        <v>289.15226803456017</v>
      </c>
      <c r="DL38" s="1">
        <v>356.35870120729135</v>
      </c>
      <c r="DM38" s="1">
        <v>365.1847356198121</v>
      </c>
      <c r="DN38" s="1">
        <v>328.74361896826849</v>
      </c>
      <c r="DO38" s="1">
        <v>349.25394327068943</v>
      </c>
      <c r="DP38" s="1">
        <v>321.74265584704159</v>
      </c>
      <c r="DQ38" s="1">
        <v>313.58606261628375</v>
      </c>
      <c r="DR38" s="1">
        <v>295.65772671282053</v>
      </c>
      <c r="DS38" s="1">
        <v>304.40060876653189</v>
      </c>
      <c r="DT38" s="1">
        <v>305.55015716208288</v>
      </c>
      <c r="DU38" s="1">
        <v>289.40512552243439</v>
      </c>
      <c r="DV38" s="1">
        <v>298.04223037866279</v>
      </c>
      <c r="DW38" s="1">
        <v>305.19072353482363</v>
      </c>
      <c r="DX38" s="1">
        <v>298.36482796382228</v>
      </c>
      <c r="DY38" s="1">
        <v>274.29071898132457</v>
      </c>
      <c r="DZ38" s="1">
        <v>282.62460719588188</v>
      </c>
      <c r="EA38" s="1">
        <v>281.48376444543777</v>
      </c>
      <c r="EB38" s="1">
        <v>6.9649762574405383</v>
      </c>
      <c r="EC38" s="1">
        <v>7.1186749730609131</v>
      </c>
      <c r="ED38" s="1">
        <v>7.6235442947500216</v>
      </c>
      <c r="EE38" s="1">
        <v>8.2271165609745243</v>
      </c>
      <c r="EF38" s="1">
        <v>8.5537551242073011</v>
      </c>
      <c r="EG38" s="1">
        <v>8.402841454838784</v>
      </c>
      <c r="EH38" s="1">
        <v>7.9555914556122014</v>
      </c>
      <c r="EI38" s="1">
        <v>7.0344077133465017</v>
      </c>
      <c r="EJ38" s="1">
        <v>6.8853472146746881</v>
      </c>
      <c r="EK38" s="1">
        <v>6.7637112310693741</v>
      </c>
      <c r="EL38" s="1">
        <v>6.5090668329890162</v>
      </c>
      <c r="EM38" s="1">
        <v>6.3851470948214706</v>
      </c>
      <c r="EN38" s="1">
        <v>6.0321741813942475</v>
      </c>
      <c r="EO38" s="1">
        <v>6.0228500644648717</v>
      </c>
      <c r="EP38" s="1">
        <v>6.5831290657654398</v>
      </c>
      <c r="EQ38" s="86">
        <v>6.5534713578780153</v>
      </c>
      <c r="ER38" s="1">
        <v>6.5025605146420284</v>
      </c>
      <c r="ES38" s="1">
        <v>6.4149520925552244</v>
      </c>
      <c r="ET38" s="1">
        <v>6.3624102779531153</v>
      </c>
      <c r="EU38" s="1">
        <v>6.3155474475238025</v>
      </c>
      <c r="EV38" s="1">
        <v>6.3299966775086762</v>
      </c>
      <c r="EW38" s="1">
        <v>71081.091441689627</v>
      </c>
      <c r="EX38" s="1">
        <v>74071.811475694441</v>
      </c>
      <c r="EY38" s="1">
        <v>79011.039376026281</v>
      </c>
      <c r="EZ38" s="1">
        <v>80153.987752639528</v>
      </c>
      <c r="FA38" s="1">
        <v>84211.995371668992</v>
      </c>
      <c r="FB38" s="1">
        <v>91174.953165075043</v>
      </c>
      <c r="FC38" s="1">
        <v>96011.189445214986</v>
      </c>
      <c r="FD38" s="1">
        <v>97238.195300222389</v>
      </c>
      <c r="FE38" s="1">
        <v>109232.13199063233</v>
      </c>
      <c r="FF38" s="1">
        <v>104433.96004669261</v>
      </c>
      <c r="FG38" s="1">
        <v>104286.45139280123</v>
      </c>
      <c r="FH38" s="1">
        <v>101640.58141843972</v>
      </c>
      <c r="FI38" s="1">
        <v>107170.62889067523</v>
      </c>
      <c r="FJ38" s="1">
        <v>108966.82434285714</v>
      </c>
      <c r="FK38" s="1">
        <v>100784.92322033898</v>
      </c>
      <c r="FL38" s="1">
        <v>98261.858597516431</v>
      </c>
      <c r="FM38" s="1">
        <v>100397.77591866376</v>
      </c>
      <c r="FN38" s="1">
        <v>99823.988159420289</v>
      </c>
      <c r="FO38" s="1">
        <v>94116.742434782616</v>
      </c>
      <c r="FP38" s="1">
        <v>96421.487202898526</v>
      </c>
      <c r="FQ38" s="1">
        <v>95912.646906993526</v>
      </c>
      <c r="FR38" s="5">
        <v>2</v>
      </c>
      <c r="FS38" s="5">
        <v>18</v>
      </c>
      <c r="FT38" s="5">
        <v>1</v>
      </c>
      <c r="FU38" s="5">
        <v>6</v>
      </c>
      <c r="FV38" s="5">
        <v>37</v>
      </c>
      <c r="FW38" s="5">
        <v>3</v>
      </c>
    </row>
    <row r="39" spans="1:179" x14ac:dyDescent="0.2">
      <c r="A39" s="5">
        <v>37</v>
      </c>
      <c r="B39" s="6" t="s">
        <v>64</v>
      </c>
      <c r="C39" s="9">
        <v>9</v>
      </c>
      <c r="D39" s="9">
        <v>9</v>
      </c>
      <c r="E39" s="9">
        <v>9</v>
      </c>
      <c r="F39" s="9">
        <v>9</v>
      </c>
      <c r="G39" s="9">
        <v>9</v>
      </c>
      <c r="H39" s="9">
        <v>9</v>
      </c>
      <c r="I39" s="9">
        <v>9</v>
      </c>
      <c r="J39" s="9">
        <v>9</v>
      </c>
      <c r="K39" s="9">
        <v>9</v>
      </c>
      <c r="L39" s="8">
        <v>9</v>
      </c>
      <c r="M39" s="8">
        <v>9</v>
      </c>
      <c r="N39" s="8">
        <v>9</v>
      </c>
      <c r="O39" s="85">
        <v>9</v>
      </c>
      <c r="P39" s="85">
        <v>9</v>
      </c>
      <c r="Q39" s="9">
        <v>9</v>
      </c>
      <c r="R39" s="9">
        <v>9</v>
      </c>
      <c r="S39" s="9">
        <v>8</v>
      </c>
      <c r="T39" s="9">
        <v>8</v>
      </c>
      <c r="U39" s="9">
        <v>8</v>
      </c>
      <c r="V39" s="9">
        <v>8</v>
      </c>
      <c r="W39" s="1">
        <v>8</v>
      </c>
      <c r="X39" s="9">
        <v>102</v>
      </c>
      <c r="Y39" s="9">
        <v>114</v>
      </c>
      <c r="Z39" s="9">
        <v>121</v>
      </c>
      <c r="AA39" s="9">
        <v>153</v>
      </c>
      <c r="AB39" s="9">
        <v>153</v>
      </c>
      <c r="AC39" s="9">
        <v>153</v>
      </c>
      <c r="AD39" s="8">
        <v>153</v>
      </c>
      <c r="AE39" s="8">
        <v>138</v>
      </c>
      <c r="AF39" s="8">
        <v>133</v>
      </c>
      <c r="AG39" s="8">
        <v>133</v>
      </c>
      <c r="AH39" s="8">
        <v>133</v>
      </c>
      <c r="AI39" s="9">
        <v>133</v>
      </c>
      <c r="AJ39" s="9">
        <v>133</v>
      </c>
      <c r="AK39" s="9">
        <v>133</v>
      </c>
      <c r="AL39" s="9">
        <v>133</v>
      </c>
      <c r="AM39" s="9">
        <v>133</v>
      </c>
      <c r="AN39" s="9">
        <v>133</v>
      </c>
      <c r="AO39" s="9">
        <v>125</v>
      </c>
      <c r="AP39" s="9">
        <v>122</v>
      </c>
      <c r="AQ39" s="9">
        <v>120</v>
      </c>
      <c r="AR39" s="9">
        <v>122</v>
      </c>
      <c r="AS39" s="9">
        <v>122</v>
      </c>
      <c r="AT39" s="9">
        <v>2467.4298500000004</v>
      </c>
      <c r="AU39" s="8">
        <v>2740.9478100000001</v>
      </c>
      <c r="AV39" s="9">
        <v>2973.3902800000001</v>
      </c>
      <c r="AW39" s="8">
        <v>3650.6087700000003</v>
      </c>
      <c r="AX39" s="8">
        <v>4001.2151800000001</v>
      </c>
      <c r="AY39" s="8">
        <v>4337.7466600000007</v>
      </c>
      <c r="AZ39" s="86">
        <v>4450.9125800000002</v>
      </c>
      <c r="BA39" s="9">
        <v>4221.4784900000004</v>
      </c>
      <c r="BB39" s="9">
        <v>4266.8089200000004</v>
      </c>
      <c r="BC39" s="9">
        <v>3758.9833699999999</v>
      </c>
      <c r="BD39" s="9">
        <v>3681.1331600000003</v>
      </c>
      <c r="BE39" s="9">
        <v>3358.5920000000001</v>
      </c>
      <c r="BF39" s="9">
        <v>3275.3667999999998</v>
      </c>
      <c r="BG39" s="9">
        <v>3232.1767599999998</v>
      </c>
      <c r="BH39" s="9">
        <v>3257.5620899999999</v>
      </c>
      <c r="BI39" s="9">
        <v>3210.4370500000005</v>
      </c>
      <c r="BJ39" s="9">
        <v>2821.9211599999999</v>
      </c>
      <c r="BK39" s="9">
        <v>2949.5679600000003</v>
      </c>
      <c r="BL39" s="9">
        <v>2607.7411199999997</v>
      </c>
      <c r="BM39" s="1">
        <v>2707.8245699999998</v>
      </c>
      <c r="BN39" s="1">
        <v>2815.4642899999999</v>
      </c>
      <c r="BO39" s="1">
        <v>78244.295590000023</v>
      </c>
      <c r="BP39" s="1">
        <v>920.19504000000006</v>
      </c>
      <c r="BQ39" s="1">
        <v>1029.77107</v>
      </c>
      <c r="BR39" s="9">
        <v>840.77731999999992</v>
      </c>
      <c r="BS39" s="9">
        <v>1048.94127</v>
      </c>
      <c r="BT39" s="9">
        <v>1101.4937100000002</v>
      </c>
      <c r="BU39" s="9">
        <v>1167.67543</v>
      </c>
      <c r="BV39" s="9">
        <v>1198.84157</v>
      </c>
      <c r="BW39" s="9">
        <v>1118.0920899999999</v>
      </c>
      <c r="BX39" s="9">
        <v>1127.5882700000002</v>
      </c>
      <c r="BY39" s="9">
        <v>959.23792000000003</v>
      </c>
      <c r="BZ39" s="9">
        <v>926.13670000000002</v>
      </c>
      <c r="CA39" s="9">
        <v>821.13108</v>
      </c>
      <c r="CB39" s="9">
        <v>793.02655000000004</v>
      </c>
      <c r="CC39" s="9">
        <v>784.99856999999997</v>
      </c>
      <c r="CD39" s="8">
        <v>804.35854999999992</v>
      </c>
      <c r="CE39" s="8">
        <v>785.66084999999998</v>
      </c>
      <c r="CF39" s="8">
        <v>654.7668000000001</v>
      </c>
      <c r="CG39" s="8">
        <v>715.16800999999998</v>
      </c>
      <c r="CH39" s="8">
        <v>623.43146000000002</v>
      </c>
      <c r="CI39" s="8">
        <v>650.60514999999998</v>
      </c>
      <c r="CJ39" s="9">
        <v>687.69714999999997</v>
      </c>
      <c r="CK39" s="9">
        <v>21387.132639999996</v>
      </c>
      <c r="CL39" s="9">
        <v>263.75841034550626</v>
      </c>
      <c r="CM39" s="1">
        <v>293.45326564665794</v>
      </c>
      <c r="CN39" s="9">
        <v>318.51554290841449</v>
      </c>
      <c r="CO39" s="9">
        <v>389.4089770921326</v>
      </c>
      <c r="CP39" s="9">
        <v>423.63723212755343</v>
      </c>
      <c r="CQ39" s="9">
        <v>457.18149367726784</v>
      </c>
      <c r="CR39" s="9">
        <v>468.47115902409456</v>
      </c>
      <c r="CS39" s="9">
        <v>443.96678987898684</v>
      </c>
      <c r="CT39" s="9">
        <v>448.91247794404455</v>
      </c>
      <c r="CU39" s="9">
        <v>397.51370948913114</v>
      </c>
      <c r="CV39" s="9">
        <v>391.30432312972056</v>
      </c>
      <c r="CW39" s="9">
        <v>357.82933293733498</v>
      </c>
      <c r="CX39" s="9">
        <v>349.67584543401659</v>
      </c>
      <c r="CY39" s="9">
        <v>344.44957642984713</v>
      </c>
      <c r="CZ39" s="9">
        <v>345.31133264238588</v>
      </c>
      <c r="DA39" s="9">
        <v>338.741599889486</v>
      </c>
      <c r="DB39" s="9">
        <v>296.39794061489278</v>
      </c>
      <c r="DC39" s="9">
        <v>308.60029356626831</v>
      </c>
      <c r="DD39" s="9">
        <v>273.35326315655141</v>
      </c>
      <c r="DE39" s="9">
        <v>284.83282083741875</v>
      </c>
      <c r="DF39" s="9">
        <v>296.59882295149043</v>
      </c>
      <c r="DG39" s="9">
        <v>98.365179848261761</v>
      </c>
      <c r="DH39" s="9">
        <v>110.2500683367456</v>
      </c>
      <c r="DI39" s="9">
        <v>90.065756367805747</v>
      </c>
      <c r="DJ39" s="1">
        <v>111.89014564834413</v>
      </c>
      <c r="DK39" s="1">
        <v>116.62300714112308</v>
      </c>
      <c r="DL39" s="1">
        <v>123.06841294822087</v>
      </c>
      <c r="DM39" s="1">
        <v>126.1814717071269</v>
      </c>
      <c r="DN39" s="1">
        <v>117.58812869999656</v>
      </c>
      <c r="DO39" s="1">
        <v>118.63396132263134</v>
      </c>
      <c r="DP39" s="1">
        <v>101.43972088438328</v>
      </c>
      <c r="DQ39" s="1">
        <v>98.44829805588806</v>
      </c>
      <c r="DR39" s="1">
        <v>87.484513334907447</v>
      </c>
      <c r="DS39" s="1">
        <v>84.662954183596</v>
      </c>
      <c r="DT39" s="1">
        <v>83.656447345576382</v>
      </c>
      <c r="DU39" s="1">
        <v>85.264414046148588</v>
      </c>
      <c r="DV39" s="1">
        <v>82.897128694528817</v>
      </c>
      <c r="DW39" s="1">
        <v>68.772839530004234</v>
      </c>
      <c r="DX39" s="1">
        <v>74.824876330431763</v>
      </c>
      <c r="DY39" s="1">
        <v>65.350437832361621</v>
      </c>
      <c r="DZ39" s="1">
        <v>68.436375893380713</v>
      </c>
      <c r="EA39" s="1">
        <v>72.446369134056582</v>
      </c>
      <c r="EB39" s="1">
        <v>12.203068542386314</v>
      </c>
      <c r="EC39" s="1">
        <v>12.956793725444381</v>
      </c>
      <c r="ED39" s="1">
        <v>16.395956039251175</v>
      </c>
      <c r="EE39" s="1">
        <v>16.245633816617364</v>
      </c>
      <c r="EF39" s="1">
        <v>16.153036615404066</v>
      </c>
      <c r="EG39" s="1">
        <v>16.098256886942764</v>
      </c>
      <c r="EH39" s="1">
        <v>14.529788834828388</v>
      </c>
      <c r="EI39" s="1">
        <v>13.971524438228018</v>
      </c>
      <c r="EJ39" s="1">
        <v>14.014495770024832</v>
      </c>
      <c r="EK39" s="1">
        <v>14.115452757813753</v>
      </c>
      <c r="EL39" s="1">
        <v>14.160409197111123</v>
      </c>
      <c r="EM39" s="1">
        <v>14.179635192743937</v>
      </c>
      <c r="EN39" s="1">
        <v>14.218389759222179</v>
      </c>
      <c r="EO39" s="1">
        <v>14.129222601389611</v>
      </c>
      <c r="EP39" s="1">
        <v>14.067707837504969</v>
      </c>
      <c r="EQ39" s="86">
        <v>13.998816144752489</v>
      </c>
      <c r="ER39" s="1">
        <v>13.101857025100413</v>
      </c>
      <c r="ES39" s="1">
        <v>12.74131519688131</v>
      </c>
      <c r="ET39" s="1">
        <v>12.625609369407783</v>
      </c>
      <c r="EU39" s="1">
        <v>12.830032746189815</v>
      </c>
      <c r="EV39" s="1">
        <v>12.874548238282205</v>
      </c>
      <c r="EW39" s="1">
        <v>22846.57268518519</v>
      </c>
      <c r="EX39" s="1">
        <v>23327.215404255319</v>
      </c>
      <c r="EY39" s="1">
        <v>21703.57868613139</v>
      </c>
      <c r="EZ39" s="1">
        <v>23860.188039215689</v>
      </c>
      <c r="FA39" s="1">
        <v>26151.733202614381</v>
      </c>
      <c r="FB39" s="1">
        <v>28351.28535947713</v>
      </c>
      <c r="FC39" s="1">
        <v>30590.464467353951</v>
      </c>
      <c r="FD39" s="1">
        <v>31154.822804428048</v>
      </c>
      <c r="FE39" s="1">
        <v>32081.270075187975</v>
      </c>
      <c r="FF39" s="1">
        <v>28263.032857142858</v>
      </c>
      <c r="FG39" s="1">
        <v>27677.692932330829</v>
      </c>
      <c r="FH39" s="1">
        <v>25252.571428571428</v>
      </c>
      <c r="FI39" s="1">
        <v>24626.818045112781</v>
      </c>
      <c r="FJ39" s="1">
        <v>24302.080902255639</v>
      </c>
      <c r="FK39" s="1">
        <v>24492.948045112782</v>
      </c>
      <c r="FL39" s="1">
        <v>24138.624436090227</v>
      </c>
      <c r="FM39" s="1">
        <v>21875.357829457364</v>
      </c>
      <c r="FN39" s="1">
        <v>23883.141376518222</v>
      </c>
      <c r="FO39" s="1">
        <v>21551.579504132227</v>
      </c>
      <c r="FP39" s="1">
        <v>22378.715454545454</v>
      </c>
      <c r="FQ39" s="1">
        <v>23077.576147540985</v>
      </c>
      <c r="FR39" s="5">
        <v>36</v>
      </c>
      <c r="FS39" s="5">
        <v>34</v>
      </c>
      <c r="FT39" s="5">
        <v>36</v>
      </c>
      <c r="FU39" s="5">
        <v>34</v>
      </c>
      <c r="FV39" s="5">
        <v>19</v>
      </c>
      <c r="FW39" s="5">
        <v>37</v>
      </c>
    </row>
    <row r="40" spans="1:179" x14ac:dyDescent="0.2">
      <c r="A40" s="5">
        <v>38</v>
      </c>
      <c r="B40" s="10" t="s">
        <v>44</v>
      </c>
      <c r="C40" s="9">
        <v>6</v>
      </c>
      <c r="D40" s="9">
        <v>6</v>
      </c>
      <c r="E40" s="9">
        <v>7</v>
      </c>
      <c r="F40" s="9">
        <v>7</v>
      </c>
      <c r="G40" s="9">
        <v>7</v>
      </c>
      <c r="H40" s="9">
        <v>7</v>
      </c>
      <c r="I40" s="9">
        <v>7</v>
      </c>
      <c r="J40" s="9">
        <v>7</v>
      </c>
      <c r="K40" s="9">
        <v>6</v>
      </c>
      <c r="L40" s="8">
        <v>6</v>
      </c>
      <c r="M40" s="8">
        <v>6</v>
      </c>
      <c r="N40" s="8">
        <v>6</v>
      </c>
      <c r="O40" s="85">
        <v>6</v>
      </c>
      <c r="P40" s="85">
        <v>6</v>
      </c>
      <c r="Q40" s="9">
        <v>6</v>
      </c>
      <c r="R40" s="9">
        <v>6</v>
      </c>
      <c r="S40" s="9">
        <v>6</v>
      </c>
      <c r="T40" s="9">
        <v>6</v>
      </c>
      <c r="U40" s="9">
        <v>5</v>
      </c>
      <c r="V40" s="9">
        <v>6</v>
      </c>
      <c r="W40" s="1">
        <v>6</v>
      </c>
      <c r="X40" s="9">
        <v>49</v>
      </c>
      <c r="Y40" s="9">
        <v>49</v>
      </c>
      <c r="Z40" s="9">
        <v>50</v>
      </c>
      <c r="AA40" s="9">
        <v>63</v>
      </c>
      <c r="AB40" s="9">
        <v>66</v>
      </c>
      <c r="AC40" s="9">
        <v>66</v>
      </c>
      <c r="AD40" s="8">
        <v>66</v>
      </c>
      <c r="AE40" s="8">
        <v>66</v>
      </c>
      <c r="AF40" s="8">
        <v>66</v>
      </c>
      <c r="AG40" s="8">
        <v>60</v>
      </c>
      <c r="AH40" s="8">
        <v>60</v>
      </c>
      <c r="AI40" s="9">
        <v>60</v>
      </c>
      <c r="AJ40" s="9">
        <v>60</v>
      </c>
      <c r="AK40" s="9">
        <v>59</v>
      </c>
      <c r="AL40" s="9">
        <v>57</v>
      </c>
      <c r="AM40" s="9">
        <v>57</v>
      </c>
      <c r="AN40" s="9">
        <v>60</v>
      </c>
      <c r="AO40" s="9">
        <v>60</v>
      </c>
      <c r="AP40" s="9">
        <v>60</v>
      </c>
      <c r="AQ40" s="9">
        <v>45</v>
      </c>
      <c r="AR40" s="9">
        <v>60</v>
      </c>
      <c r="AS40" s="9">
        <v>60</v>
      </c>
      <c r="AT40" s="9">
        <v>660.94362000000001</v>
      </c>
      <c r="AU40" s="8">
        <v>614.69114000000002</v>
      </c>
      <c r="AV40" s="9">
        <v>757.59295999999995</v>
      </c>
      <c r="AW40" s="8">
        <v>846.40183999999999</v>
      </c>
      <c r="AX40" s="8">
        <v>846.14644999999996</v>
      </c>
      <c r="AY40" s="8">
        <v>810.55067000000008</v>
      </c>
      <c r="AZ40" s="86">
        <v>792.09602000000007</v>
      </c>
      <c r="BA40" s="9">
        <v>780.60776999999996</v>
      </c>
      <c r="BB40" s="9">
        <v>830.51292999999998</v>
      </c>
      <c r="BC40" s="9">
        <v>902.83694000000003</v>
      </c>
      <c r="BD40" s="9">
        <v>901.18628000000001</v>
      </c>
      <c r="BE40" s="9">
        <v>826.36770999999999</v>
      </c>
      <c r="BF40" s="9">
        <v>817.63731000000007</v>
      </c>
      <c r="BG40" s="9">
        <v>803.45611999999994</v>
      </c>
      <c r="BH40" s="9">
        <v>773.63982999999996</v>
      </c>
      <c r="BI40" s="9">
        <v>627.3757700000001</v>
      </c>
      <c r="BJ40" s="9">
        <v>523.43032999999991</v>
      </c>
      <c r="BK40" s="9">
        <v>490.01152999999999</v>
      </c>
      <c r="BL40" s="9">
        <v>421.80781999999999</v>
      </c>
      <c r="BM40" s="1">
        <v>435.30091000000004</v>
      </c>
      <c r="BN40" s="1">
        <v>430.38953999999995</v>
      </c>
      <c r="BO40" s="1">
        <v>16100.494939999997</v>
      </c>
      <c r="BP40" s="1">
        <v>234.63500999999999</v>
      </c>
      <c r="BQ40" s="1">
        <v>218.21875</v>
      </c>
      <c r="BR40" s="9">
        <v>200.08175</v>
      </c>
      <c r="BS40" s="9">
        <v>222.39599000000001</v>
      </c>
      <c r="BT40" s="9">
        <v>168.42787999999999</v>
      </c>
      <c r="BU40" s="9">
        <v>101.03547</v>
      </c>
      <c r="BV40" s="9">
        <v>94.095349999999996</v>
      </c>
      <c r="BW40" s="9">
        <v>89.765540000000001</v>
      </c>
      <c r="BX40" s="9">
        <v>103.00986</v>
      </c>
      <c r="BY40" s="9">
        <v>125.87718999999998</v>
      </c>
      <c r="BZ40" s="9">
        <v>130.61905000000002</v>
      </c>
      <c r="CA40" s="9">
        <v>110.46241000000001</v>
      </c>
      <c r="CB40" s="9">
        <v>112.20405000000001</v>
      </c>
      <c r="CC40" s="9">
        <v>114.21784</v>
      </c>
      <c r="CD40" s="8">
        <v>109.46841000000001</v>
      </c>
      <c r="CE40" s="8">
        <v>74.408739999999995</v>
      </c>
      <c r="CF40" s="8">
        <v>49.537779999999998</v>
      </c>
      <c r="CG40" s="8">
        <v>33.92774</v>
      </c>
      <c r="CH40" s="8">
        <v>29.330590000000001</v>
      </c>
      <c r="CI40" s="8">
        <v>20.076080000000001</v>
      </c>
      <c r="CJ40" s="9">
        <v>24.585630000000002</v>
      </c>
      <c r="CK40" s="9">
        <v>2786.0168800000001</v>
      </c>
      <c r="CL40" s="9" t="s">
        <v>372</v>
      </c>
      <c r="CM40" s="1" t="s">
        <v>372</v>
      </c>
      <c r="CN40" s="9" t="s">
        <v>372</v>
      </c>
      <c r="CO40" s="9" t="s">
        <v>372</v>
      </c>
      <c r="CP40" s="9" t="s">
        <v>372</v>
      </c>
      <c r="CQ40" s="9" t="s">
        <v>372</v>
      </c>
      <c r="CR40" s="9" t="s">
        <v>372</v>
      </c>
      <c r="CS40" s="9" t="s">
        <v>372</v>
      </c>
      <c r="CT40" s="9" t="s">
        <v>372</v>
      </c>
      <c r="CU40" s="9" t="s">
        <v>372</v>
      </c>
      <c r="CV40" s="9" t="s">
        <v>372</v>
      </c>
      <c r="CW40" s="9" t="s">
        <v>372</v>
      </c>
      <c r="CX40" s="9" t="s">
        <v>372</v>
      </c>
      <c r="CY40" s="9" t="s">
        <v>372</v>
      </c>
      <c r="CZ40" s="9" t="s">
        <v>372</v>
      </c>
      <c r="DA40" s="9" t="s">
        <v>372</v>
      </c>
      <c r="DB40" s="9" t="s">
        <v>372</v>
      </c>
      <c r="DC40" s="9" t="s">
        <v>372</v>
      </c>
      <c r="DD40" s="9" t="s">
        <v>372</v>
      </c>
      <c r="DE40" s="9" t="s">
        <v>372</v>
      </c>
      <c r="DF40" s="9" t="s">
        <v>372</v>
      </c>
      <c r="DG40" s="9" t="s">
        <v>372</v>
      </c>
      <c r="DH40" s="9" t="s">
        <v>372</v>
      </c>
      <c r="DI40" s="9" t="s">
        <v>372</v>
      </c>
      <c r="DJ40" s="1" t="s">
        <v>372</v>
      </c>
      <c r="DK40" s="1" t="s">
        <v>372</v>
      </c>
      <c r="DL40" s="1" t="s">
        <v>372</v>
      </c>
      <c r="DM40" s="1" t="s">
        <v>372</v>
      </c>
      <c r="DN40" s="1" t="s">
        <v>372</v>
      </c>
      <c r="DO40" s="1" t="s">
        <v>372</v>
      </c>
      <c r="DP40" s="1" t="s">
        <v>372</v>
      </c>
      <c r="DQ40" s="1" t="s">
        <v>372</v>
      </c>
      <c r="DR40" s="1" t="s">
        <v>372</v>
      </c>
      <c r="DS40" s="1" t="s">
        <v>372</v>
      </c>
      <c r="DT40" s="1" t="s">
        <v>372</v>
      </c>
      <c r="DU40" s="1" t="s">
        <v>372</v>
      </c>
      <c r="DV40" s="1" t="s">
        <v>372</v>
      </c>
      <c r="DW40" s="1" t="s">
        <v>372</v>
      </c>
      <c r="DX40" s="1" t="s">
        <v>372</v>
      </c>
      <c r="DY40" s="1" t="s">
        <v>372</v>
      </c>
      <c r="DZ40" s="1" t="s">
        <v>372</v>
      </c>
      <c r="EA40" s="1" t="s">
        <v>372</v>
      </c>
      <c r="EB40" s="1" t="s">
        <v>372</v>
      </c>
      <c r="EC40" s="1" t="s">
        <v>372</v>
      </c>
      <c r="ED40" s="1" t="s">
        <v>372</v>
      </c>
      <c r="EE40" s="1" t="s">
        <v>372</v>
      </c>
      <c r="EF40" s="1" t="s">
        <v>372</v>
      </c>
      <c r="EG40" s="1" t="s">
        <v>372</v>
      </c>
      <c r="EH40" s="1" t="s">
        <v>372</v>
      </c>
      <c r="EI40" s="1" t="s">
        <v>372</v>
      </c>
      <c r="EJ40" s="1" t="s">
        <v>372</v>
      </c>
      <c r="EK40" s="1" t="s">
        <v>372</v>
      </c>
      <c r="EL40" s="1" t="s">
        <v>372</v>
      </c>
      <c r="EM40" s="1" t="s">
        <v>372</v>
      </c>
      <c r="EN40" s="1" t="s">
        <v>372</v>
      </c>
      <c r="EO40" s="1" t="s">
        <v>372</v>
      </c>
      <c r="EP40" s="1" t="s">
        <v>372</v>
      </c>
      <c r="EQ40" s="86" t="s">
        <v>372</v>
      </c>
      <c r="ER40" s="1" t="s">
        <v>372</v>
      </c>
      <c r="ES40" s="1" t="s">
        <v>372</v>
      </c>
      <c r="ET40" s="1" t="s">
        <v>372</v>
      </c>
      <c r="EU40" s="1" t="s">
        <v>372</v>
      </c>
      <c r="EV40" s="1" t="s">
        <v>372</v>
      </c>
      <c r="EW40" s="1">
        <v>13488.645306122449</v>
      </c>
      <c r="EX40" s="1">
        <v>12418.002828282828</v>
      </c>
      <c r="EY40" s="1">
        <v>13408.724955752212</v>
      </c>
      <c r="EZ40" s="1">
        <v>13122.509147286821</v>
      </c>
      <c r="FA40" s="1">
        <v>12820.400757575757</v>
      </c>
      <c r="FB40" s="1">
        <v>12281.070757575759</v>
      </c>
      <c r="FC40" s="1">
        <v>12001.454848484849</v>
      </c>
      <c r="FD40" s="1">
        <v>11827.390454545453</v>
      </c>
      <c r="FE40" s="1">
        <v>13182.744920634919</v>
      </c>
      <c r="FF40" s="1">
        <v>15047.282333333334</v>
      </c>
      <c r="FG40" s="1">
        <v>15019.771333333334</v>
      </c>
      <c r="FH40" s="1">
        <v>13772.795166666667</v>
      </c>
      <c r="FI40" s="1">
        <v>13741.803529411765</v>
      </c>
      <c r="FJ40" s="1">
        <v>13852.691724137931</v>
      </c>
      <c r="FK40" s="1">
        <v>13572.628596491228</v>
      </c>
      <c r="FL40" s="1">
        <v>10724.372136752139</v>
      </c>
      <c r="FM40" s="1">
        <v>8723.8388333333314</v>
      </c>
      <c r="FN40" s="1">
        <v>8166.8588333333328</v>
      </c>
      <c r="FO40" s="1">
        <v>8034.434666666667</v>
      </c>
      <c r="FP40" s="1">
        <v>8291.4459047619057</v>
      </c>
      <c r="FQ40" s="1">
        <v>7173.1589999999997</v>
      </c>
      <c r="FR40" s="5">
        <v>44</v>
      </c>
      <c r="FS40" s="87" t="s">
        <v>372</v>
      </c>
      <c r="FT40" s="87">
        <v>44</v>
      </c>
      <c r="FU40" s="87" t="s">
        <v>372</v>
      </c>
      <c r="FV40" s="87" t="s">
        <v>372</v>
      </c>
      <c r="FW40" s="87">
        <v>44</v>
      </c>
    </row>
    <row r="41" spans="1:179" x14ac:dyDescent="0.2">
      <c r="A41" s="5">
        <v>39</v>
      </c>
      <c r="B41" s="6" t="s">
        <v>204</v>
      </c>
      <c r="C41" s="9">
        <v>8</v>
      </c>
      <c r="D41" s="9">
        <v>8</v>
      </c>
      <c r="E41" s="9">
        <v>8</v>
      </c>
      <c r="F41" s="9">
        <v>8</v>
      </c>
      <c r="G41" s="9">
        <v>8</v>
      </c>
      <c r="H41" s="9">
        <v>8</v>
      </c>
      <c r="I41" s="9">
        <v>8</v>
      </c>
      <c r="J41" s="9">
        <v>7</v>
      </c>
      <c r="K41" s="9">
        <v>8</v>
      </c>
      <c r="L41" s="8">
        <v>8</v>
      </c>
      <c r="M41" s="8">
        <v>8</v>
      </c>
      <c r="N41" s="8">
        <v>8</v>
      </c>
      <c r="O41" s="85">
        <v>8</v>
      </c>
      <c r="P41" s="85">
        <v>8</v>
      </c>
      <c r="Q41" s="9">
        <v>8</v>
      </c>
      <c r="R41" s="9">
        <v>8</v>
      </c>
      <c r="S41" s="9">
        <v>8</v>
      </c>
      <c r="T41" s="9">
        <v>8</v>
      </c>
      <c r="U41" s="9">
        <v>8</v>
      </c>
      <c r="V41" s="9">
        <v>8</v>
      </c>
      <c r="W41" s="1">
        <v>8</v>
      </c>
      <c r="X41" s="9">
        <v>223</v>
      </c>
      <c r="Y41" s="9">
        <v>263</v>
      </c>
      <c r="Z41" s="9">
        <v>267</v>
      </c>
      <c r="AA41" s="9">
        <v>299</v>
      </c>
      <c r="AB41" s="9">
        <v>306</v>
      </c>
      <c r="AC41" s="9">
        <v>306</v>
      </c>
      <c r="AD41" s="8">
        <v>306</v>
      </c>
      <c r="AE41" s="8">
        <v>298</v>
      </c>
      <c r="AF41" s="8">
        <v>223</v>
      </c>
      <c r="AG41" s="8">
        <v>254</v>
      </c>
      <c r="AH41" s="8">
        <v>254</v>
      </c>
      <c r="AI41" s="9">
        <v>254</v>
      </c>
      <c r="AJ41" s="9">
        <v>254</v>
      </c>
      <c r="AK41" s="9">
        <v>254</v>
      </c>
      <c r="AL41" s="9">
        <v>254</v>
      </c>
      <c r="AM41" s="9">
        <v>255</v>
      </c>
      <c r="AN41" s="9">
        <v>258</v>
      </c>
      <c r="AO41" s="9">
        <v>258</v>
      </c>
      <c r="AP41" s="9">
        <v>253</v>
      </c>
      <c r="AQ41" s="9">
        <v>255</v>
      </c>
      <c r="AR41" s="9">
        <v>255</v>
      </c>
      <c r="AS41" s="9">
        <v>255</v>
      </c>
      <c r="AT41" s="9">
        <v>9276.9124400000001</v>
      </c>
      <c r="AU41" s="8">
        <v>9213.9445300000007</v>
      </c>
      <c r="AV41" s="9">
        <v>11850.853569999999</v>
      </c>
      <c r="AW41" s="8">
        <v>13661.66029</v>
      </c>
      <c r="AX41" s="8">
        <v>13950.67332</v>
      </c>
      <c r="AY41" s="8">
        <v>14921.507160000001</v>
      </c>
      <c r="AZ41" s="86">
        <v>15536.563900000001</v>
      </c>
      <c r="BA41" s="9">
        <v>15836.95045</v>
      </c>
      <c r="BB41" s="9">
        <v>17484.627649999999</v>
      </c>
      <c r="BC41" s="9">
        <v>16050.48372</v>
      </c>
      <c r="BD41" s="9">
        <v>15578.147829999998</v>
      </c>
      <c r="BE41" s="9">
        <v>14148.43275</v>
      </c>
      <c r="BF41" s="9">
        <v>14922.483099999999</v>
      </c>
      <c r="BG41" s="9">
        <v>14782.334780000001</v>
      </c>
      <c r="BH41" s="9">
        <v>14197.188119999999</v>
      </c>
      <c r="BI41" s="9">
        <v>13950.563249999999</v>
      </c>
      <c r="BJ41" s="9">
        <v>13971.935600000001</v>
      </c>
      <c r="BK41" s="9">
        <v>14505.444329999998</v>
      </c>
      <c r="BL41" s="9">
        <v>13536.671539999999</v>
      </c>
      <c r="BM41" s="1">
        <v>12849.926550000002</v>
      </c>
      <c r="BN41" s="1">
        <v>13237.823770000001</v>
      </c>
      <c r="BO41" s="1">
        <v>318859.79125000001</v>
      </c>
      <c r="BP41" s="1">
        <v>4075.58086</v>
      </c>
      <c r="BQ41" s="1">
        <v>3993.5502699999997</v>
      </c>
      <c r="BR41" s="9">
        <v>4184.9861700000001</v>
      </c>
      <c r="BS41" s="9">
        <v>4908.8128900000002</v>
      </c>
      <c r="BT41" s="9">
        <v>5187.4379799999997</v>
      </c>
      <c r="BU41" s="9">
        <v>5888.7233300000007</v>
      </c>
      <c r="BV41" s="9">
        <v>6210.1861799999997</v>
      </c>
      <c r="BW41" s="9">
        <v>6404.5431599999993</v>
      </c>
      <c r="BX41" s="9">
        <v>6985.5832499999997</v>
      </c>
      <c r="BY41" s="9">
        <v>6249.9233100000001</v>
      </c>
      <c r="BZ41" s="9">
        <v>6082.5381900000002</v>
      </c>
      <c r="CA41" s="9">
        <v>5347.1277</v>
      </c>
      <c r="CB41" s="9">
        <v>5643.4306100000003</v>
      </c>
      <c r="CC41" s="9">
        <v>5579.7613000000001</v>
      </c>
      <c r="CD41" s="8">
        <v>5326.3662000000004</v>
      </c>
      <c r="CE41" s="8">
        <v>5238.8760000000002</v>
      </c>
      <c r="CF41" s="8">
        <v>5183.0859600000003</v>
      </c>
      <c r="CG41" s="8">
        <v>5543.64156</v>
      </c>
      <c r="CH41" s="8">
        <v>5122.3936599999997</v>
      </c>
      <c r="CI41" s="8">
        <v>4786.0496400000002</v>
      </c>
      <c r="CJ41" s="9">
        <v>4992.8404199999995</v>
      </c>
      <c r="CK41" s="9">
        <v>122385.64775</v>
      </c>
      <c r="CL41" s="9">
        <v>313.94714244430901</v>
      </c>
      <c r="CM41" s="1">
        <v>312.91848443822101</v>
      </c>
      <c r="CN41" s="9">
        <v>403.14347142210977</v>
      </c>
      <c r="CO41" s="9">
        <v>463.86230048431196</v>
      </c>
      <c r="CP41" s="9">
        <v>472.12967716820361</v>
      </c>
      <c r="CQ41" s="9">
        <v>504.00281344353817</v>
      </c>
      <c r="CR41" s="9">
        <v>523.97351908285896</v>
      </c>
      <c r="CS41" s="9">
        <v>530.29053395256926</v>
      </c>
      <c r="CT41" s="9">
        <v>579.99231935904766</v>
      </c>
      <c r="CU41" s="9">
        <v>528.06056138498502</v>
      </c>
      <c r="CV41" s="9">
        <v>508.41825955266904</v>
      </c>
      <c r="CW41" s="9">
        <v>458.63508242058288</v>
      </c>
      <c r="CX41" s="9">
        <v>482.03717881515388</v>
      </c>
      <c r="CY41" s="9">
        <v>476.257556228456</v>
      </c>
      <c r="CZ41" s="9">
        <v>456.16844899089244</v>
      </c>
      <c r="DA41" s="9">
        <v>447.0169572405436</v>
      </c>
      <c r="DB41" s="9">
        <v>445.9603501367485</v>
      </c>
      <c r="DC41" s="9">
        <v>461.353973088148</v>
      </c>
      <c r="DD41" s="9">
        <v>428.93429052307016</v>
      </c>
      <c r="DE41" s="9">
        <v>406.10151242938173</v>
      </c>
      <c r="DF41" s="9">
        <v>417.56304366624585</v>
      </c>
      <c r="DG41" s="9">
        <v>137.92487242638236</v>
      </c>
      <c r="DH41" s="9">
        <v>135.62657056892962</v>
      </c>
      <c r="DI41" s="9">
        <v>142.3652602288731</v>
      </c>
      <c r="DJ41" s="1">
        <v>166.67178011073528</v>
      </c>
      <c r="DK41" s="1">
        <v>175.55736290637174</v>
      </c>
      <c r="DL41" s="1">
        <v>198.90303935695738</v>
      </c>
      <c r="DM41" s="1">
        <v>209.4396887135602</v>
      </c>
      <c r="DN41" s="1">
        <v>214.45218400861222</v>
      </c>
      <c r="DO41" s="1">
        <v>231.72267161452618</v>
      </c>
      <c r="DP41" s="1">
        <v>205.6223394425962</v>
      </c>
      <c r="DQ41" s="1">
        <v>198.51355334213966</v>
      </c>
      <c r="DR41" s="1">
        <v>173.33229741667901</v>
      </c>
      <c r="DS41" s="1">
        <v>182.29830463560606</v>
      </c>
      <c r="DT41" s="1">
        <v>179.76886064517291</v>
      </c>
      <c r="DU41" s="1">
        <v>171.14094619826125</v>
      </c>
      <c r="DV41" s="1">
        <v>167.8689503006633</v>
      </c>
      <c r="DW41" s="1">
        <v>165.43526220593694</v>
      </c>
      <c r="DX41" s="1">
        <v>176.3186980624246</v>
      </c>
      <c r="DY41" s="1">
        <v>162.31244762344087</v>
      </c>
      <c r="DZ41" s="1">
        <v>151.25549471456688</v>
      </c>
      <c r="EA41" s="1">
        <v>157.49005867865975</v>
      </c>
      <c r="EB41" s="1">
        <v>8.9091326315403414</v>
      </c>
      <c r="EC41" s="1">
        <v>9.0908744207875802</v>
      </c>
      <c r="ED41" s="1">
        <v>10.16241975673349</v>
      </c>
      <c r="EE41" s="1">
        <v>10.379277477937626</v>
      </c>
      <c r="EF41" s="1">
        <v>10.332613803013622</v>
      </c>
      <c r="EG41" s="1">
        <v>10.338873789161916</v>
      </c>
      <c r="EH41" s="1">
        <v>10.031702516841518</v>
      </c>
      <c r="EI41" s="1">
        <v>7.4275126768543513</v>
      </c>
      <c r="EJ41" s="1">
        <v>8.3913936118254977</v>
      </c>
      <c r="EK41" s="1">
        <v>8.322082648877835</v>
      </c>
      <c r="EL41" s="1">
        <v>8.2575767771842425</v>
      </c>
      <c r="EM41" s="1">
        <v>8.2098709843793429</v>
      </c>
      <c r="EN41" s="1">
        <v>8.1999299223973772</v>
      </c>
      <c r="EO41" s="1">
        <v>8.1668908854193294</v>
      </c>
      <c r="EP41" s="1">
        <v>8.1877234403034613</v>
      </c>
      <c r="EQ41" s="86">
        <v>8.2501730058479428</v>
      </c>
      <c r="ER41" s="1">
        <v>8.2197230651594708</v>
      </c>
      <c r="ES41" s="1">
        <v>8.0332399145070479</v>
      </c>
      <c r="ET41" s="1">
        <v>8.0636104845541521</v>
      </c>
      <c r="EU41" s="1">
        <v>8.0541347895154622</v>
      </c>
      <c r="EV41" s="1">
        <v>8.0329144504593728</v>
      </c>
      <c r="EW41" s="1">
        <v>38176.594403292176</v>
      </c>
      <c r="EX41" s="1">
        <v>34769.602000000006</v>
      </c>
      <c r="EY41" s="1">
        <v>41875.807667844514</v>
      </c>
      <c r="EZ41" s="1">
        <v>45162.513355371899</v>
      </c>
      <c r="FA41" s="1">
        <v>45590.435686274512</v>
      </c>
      <c r="FB41" s="1">
        <v>48763.095294117651</v>
      </c>
      <c r="FC41" s="1">
        <v>51445.575827814573</v>
      </c>
      <c r="FD41" s="1">
        <v>60794.435508637238</v>
      </c>
      <c r="FE41" s="1">
        <v>73310.807756813418</v>
      </c>
      <c r="FF41" s="1">
        <v>63190.880787401577</v>
      </c>
      <c r="FG41" s="1">
        <v>61331.290669291331</v>
      </c>
      <c r="FH41" s="1">
        <v>55702.49114173228</v>
      </c>
      <c r="FI41" s="1">
        <v>58749.93346456693</v>
      </c>
      <c r="FJ41" s="1">
        <v>58198.168425196855</v>
      </c>
      <c r="FK41" s="1">
        <v>55784.629155206283</v>
      </c>
      <c r="FL41" s="1">
        <v>54388.160818713448</v>
      </c>
      <c r="FM41" s="1">
        <v>54154.789147286829</v>
      </c>
      <c r="FN41" s="1">
        <v>56772.776242661443</v>
      </c>
      <c r="FO41" s="1">
        <v>53293.982440944877</v>
      </c>
      <c r="FP41" s="1">
        <v>50391.868823529425</v>
      </c>
      <c r="FQ41" s="1">
        <v>51913.034392156871</v>
      </c>
      <c r="FR41" s="5">
        <v>17</v>
      </c>
      <c r="FS41" s="5">
        <v>25</v>
      </c>
      <c r="FT41" s="5">
        <v>17</v>
      </c>
      <c r="FU41" s="5">
        <v>23</v>
      </c>
      <c r="FV41" s="5">
        <v>33</v>
      </c>
      <c r="FW41" s="5">
        <v>16</v>
      </c>
    </row>
    <row r="42" spans="1:179" x14ac:dyDescent="0.2">
      <c r="A42" s="5">
        <v>40</v>
      </c>
      <c r="B42" s="6" t="s">
        <v>169</v>
      </c>
      <c r="C42" s="9">
        <v>7</v>
      </c>
      <c r="D42" s="9">
        <v>8</v>
      </c>
      <c r="E42" s="9">
        <v>9</v>
      </c>
      <c r="F42" s="9">
        <v>9</v>
      </c>
      <c r="G42" s="9">
        <v>9</v>
      </c>
      <c r="H42" s="9">
        <v>9</v>
      </c>
      <c r="I42" s="9">
        <v>8</v>
      </c>
      <c r="J42" s="9">
        <v>9</v>
      </c>
      <c r="K42" s="9">
        <v>9</v>
      </c>
      <c r="L42" s="8">
        <v>9</v>
      </c>
      <c r="M42" s="8">
        <v>9</v>
      </c>
      <c r="N42" s="8">
        <v>9</v>
      </c>
      <c r="O42" s="85">
        <v>9</v>
      </c>
      <c r="P42" s="85">
        <v>9</v>
      </c>
      <c r="Q42" s="9">
        <v>9</v>
      </c>
      <c r="R42" s="9">
        <v>9</v>
      </c>
      <c r="S42" s="9">
        <v>8</v>
      </c>
      <c r="T42" s="9">
        <v>8</v>
      </c>
      <c r="U42" s="9">
        <v>8</v>
      </c>
      <c r="V42" s="9">
        <v>8</v>
      </c>
      <c r="W42" s="1">
        <v>6</v>
      </c>
      <c r="X42" s="9">
        <v>42</v>
      </c>
      <c r="Y42" s="9">
        <v>45</v>
      </c>
      <c r="Z42" s="9">
        <v>51</v>
      </c>
      <c r="AA42" s="9">
        <v>64</v>
      </c>
      <c r="AB42" s="9">
        <v>64</v>
      </c>
      <c r="AC42" s="9">
        <v>64</v>
      </c>
      <c r="AD42" s="8">
        <v>64</v>
      </c>
      <c r="AE42" s="8">
        <v>58</v>
      </c>
      <c r="AF42" s="8">
        <v>60</v>
      </c>
      <c r="AG42" s="8">
        <v>60</v>
      </c>
      <c r="AH42" s="8">
        <v>60</v>
      </c>
      <c r="AI42" s="9">
        <v>60</v>
      </c>
      <c r="AJ42" s="9">
        <v>60</v>
      </c>
      <c r="AK42" s="9">
        <v>60</v>
      </c>
      <c r="AL42" s="9">
        <v>61</v>
      </c>
      <c r="AM42" s="9">
        <v>60</v>
      </c>
      <c r="AN42" s="9">
        <v>60</v>
      </c>
      <c r="AO42" s="9">
        <v>54</v>
      </c>
      <c r="AP42" s="9">
        <v>54</v>
      </c>
      <c r="AQ42" s="9">
        <v>52</v>
      </c>
      <c r="AR42" s="9">
        <v>52</v>
      </c>
      <c r="AS42" s="9">
        <v>44</v>
      </c>
      <c r="AT42" s="9">
        <v>834.36378000000002</v>
      </c>
      <c r="AU42" s="8">
        <v>873.16654000000005</v>
      </c>
      <c r="AV42" s="9">
        <v>943.62909000000002</v>
      </c>
      <c r="AW42" s="8">
        <v>964.70379000000003</v>
      </c>
      <c r="AX42" s="8">
        <v>1186.21919</v>
      </c>
      <c r="AY42" s="8">
        <v>1381.1692800000001</v>
      </c>
      <c r="AZ42" s="86">
        <v>1355.61148</v>
      </c>
      <c r="BA42" s="9">
        <v>1617.1349499999999</v>
      </c>
      <c r="BB42" s="9">
        <v>1855.7278100000001</v>
      </c>
      <c r="BC42" s="9">
        <v>1757.98353</v>
      </c>
      <c r="BD42" s="9">
        <v>1595.9611200000002</v>
      </c>
      <c r="BE42" s="9">
        <v>1400.79151</v>
      </c>
      <c r="BF42" s="9">
        <v>1375.0670700000001</v>
      </c>
      <c r="BG42" s="9">
        <v>1267.5975600000002</v>
      </c>
      <c r="BH42" s="9">
        <v>1211.61402</v>
      </c>
      <c r="BI42" s="9">
        <v>1352.2256100000002</v>
      </c>
      <c r="BJ42" s="9">
        <v>1191.5088700000001</v>
      </c>
      <c r="BK42" s="9">
        <v>1074.0654999999999</v>
      </c>
      <c r="BL42" s="9">
        <v>1091.45633</v>
      </c>
      <c r="BM42" s="1">
        <v>953.91547000000003</v>
      </c>
      <c r="BN42" s="1">
        <v>806.98106999999993</v>
      </c>
      <c r="BO42" s="1">
        <v>28448.027500000004</v>
      </c>
      <c r="BP42" s="1">
        <v>296.19913000000003</v>
      </c>
      <c r="BQ42" s="1">
        <v>309.97413</v>
      </c>
      <c r="BR42" s="9">
        <v>249.21247</v>
      </c>
      <c r="BS42" s="9">
        <v>253.55779999999999</v>
      </c>
      <c r="BT42" s="9">
        <v>233.64651000000001</v>
      </c>
      <c r="BU42" s="9">
        <v>209.22342999999998</v>
      </c>
      <c r="BV42" s="9">
        <v>216.20992000000001</v>
      </c>
      <c r="BW42" s="9">
        <v>278.40634999999997</v>
      </c>
      <c r="BX42" s="9">
        <v>338.68508000000003</v>
      </c>
      <c r="BY42" s="9">
        <v>303.69971000000004</v>
      </c>
      <c r="BZ42" s="9">
        <v>265.90672999999998</v>
      </c>
      <c r="CA42" s="9">
        <v>212.22229999999999</v>
      </c>
      <c r="CB42" s="9">
        <v>216.14398</v>
      </c>
      <c r="CC42" s="9">
        <v>187.29819000000001</v>
      </c>
      <c r="CD42" s="8">
        <v>175.14193</v>
      </c>
      <c r="CE42" s="8">
        <v>217.39885000000001</v>
      </c>
      <c r="CF42" s="8">
        <v>174.21077</v>
      </c>
      <c r="CG42" s="8">
        <v>146.76104000000001</v>
      </c>
      <c r="CH42" s="8">
        <v>158.40672000000001</v>
      </c>
      <c r="CI42" s="8">
        <v>127.81091000000001</v>
      </c>
      <c r="CJ42" s="9">
        <v>131.81504000000001</v>
      </c>
      <c r="CK42" s="9">
        <v>5525.2930500000002</v>
      </c>
      <c r="CL42" s="9">
        <v>171.94228989072184</v>
      </c>
      <c r="CM42" s="1">
        <v>180.22522610347286</v>
      </c>
      <c r="CN42" s="9">
        <v>194.60738857597198</v>
      </c>
      <c r="CO42" s="9">
        <v>198.74903493322938</v>
      </c>
      <c r="CP42" s="9">
        <v>244.18082637813231</v>
      </c>
      <c r="CQ42" s="9">
        <v>284.6379415989116</v>
      </c>
      <c r="CR42" s="9">
        <v>279.03496599393361</v>
      </c>
      <c r="CS42" s="9">
        <v>332.06219417063238</v>
      </c>
      <c r="CT42" s="9">
        <v>379.53748026917845</v>
      </c>
      <c r="CU42" s="9">
        <v>357.63833501118722</v>
      </c>
      <c r="CV42" s="9">
        <v>322.54367409636552</v>
      </c>
      <c r="CW42" s="9">
        <v>280.44551182937772</v>
      </c>
      <c r="CX42" s="9">
        <v>272.61091284750154</v>
      </c>
      <c r="CY42" s="9">
        <v>249.06499273054345</v>
      </c>
      <c r="CZ42" s="9">
        <v>235.42576219541542</v>
      </c>
      <c r="DA42" s="9">
        <v>259.51319763844134</v>
      </c>
      <c r="DB42" s="9">
        <v>226.31540760074625</v>
      </c>
      <c r="DC42" s="9">
        <v>202.45800428855696</v>
      </c>
      <c r="DD42" s="9">
        <v>205.56138797600542</v>
      </c>
      <c r="DE42" s="9">
        <v>181.43668722315573</v>
      </c>
      <c r="DF42" s="9">
        <v>155.42490166280265</v>
      </c>
      <c r="DG42" s="9">
        <v>61.039510458902711</v>
      </c>
      <c r="DH42" s="9">
        <v>63.979956979887582</v>
      </c>
      <c r="DI42" s="9">
        <v>51.395816959466316</v>
      </c>
      <c r="DJ42" s="1">
        <v>52.238177741369491</v>
      </c>
      <c r="DK42" s="1">
        <v>48.09566256651653</v>
      </c>
      <c r="DL42" s="1">
        <v>43.117760662519196</v>
      </c>
      <c r="DM42" s="1">
        <v>44.503995846030392</v>
      </c>
      <c r="DN42" s="1">
        <v>57.167908869965999</v>
      </c>
      <c r="DO42" s="1">
        <v>69.268607807286742</v>
      </c>
      <c r="DP42" s="1">
        <v>61.783661094811521</v>
      </c>
      <c r="DQ42" s="1">
        <v>53.739738760772731</v>
      </c>
      <c r="DR42" s="1">
        <v>42.487972778409933</v>
      </c>
      <c r="DS42" s="1">
        <v>42.851151758213597</v>
      </c>
      <c r="DT42" s="1">
        <v>36.801445350521142</v>
      </c>
      <c r="DU42" s="1">
        <v>34.031400827324603</v>
      </c>
      <c r="DV42" s="1">
        <v>41.722232081094702</v>
      </c>
      <c r="DW42" s="1">
        <v>33.089624772151176</v>
      </c>
      <c r="DX42" s="1">
        <v>27.663999323796435</v>
      </c>
      <c r="DY42" s="1">
        <v>29.833814082077343</v>
      </c>
      <c r="DZ42" s="1">
        <v>24.309898340758547</v>
      </c>
      <c r="EA42" s="1">
        <v>25.387633479033656</v>
      </c>
      <c r="EB42" s="1">
        <v>9.3058660437128449</v>
      </c>
      <c r="EC42" s="1">
        <v>10.506654432639657</v>
      </c>
      <c r="ED42" s="1">
        <v>13.213023447952885</v>
      </c>
      <c r="EE42" s="1">
        <v>13.157753247035588</v>
      </c>
      <c r="EF42" s="1">
        <v>13.190829961804653</v>
      </c>
      <c r="EG42" s="1">
        <v>13.18801980390891</v>
      </c>
      <c r="EH42" s="1">
        <v>11.925474803931071</v>
      </c>
      <c r="EI42" s="1">
        <v>12.304122992031459</v>
      </c>
      <c r="EJ42" s="1">
        <v>12.238711846600836</v>
      </c>
      <c r="EK42" s="1">
        <v>12.173862168742199</v>
      </c>
      <c r="EL42" s="1">
        <v>12.078507610606463</v>
      </c>
      <c r="EM42" s="1">
        <v>11.946818289356226</v>
      </c>
      <c r="EN42" s="1">
        <v>11.843963779878333</v>
      </c>
      <c r="EO42" s="1">
        <v>11.930424769670976</v>
      </c>
      <c r="EP42" s="1">
        <v>11.583051125586268</v>
      </c>
      <c r="EQ42" s="86">
        <v>11.447618037846098</v>
      </c>
      <c r="ER42" s="1">
        <v>10.211093529021408</v>
      </c>
      <c r="ES42" s="1">
        <v>10.146773594508716</v>
      </c>
      <c r="ET42" s="1">
        <v>9.8161638909111204</v>
      </c>
      <c r="EU42" s="1">
        <v>9.9659850010747189</v>
      </c>
      <c r="EV42" s="1">
        <v>8.5164950777694965</v>
      </c>
      <c r="EW42" s="1">
        <v>19180.776551724139</v>
      </c>
      <c r="EX42" s="1">
        <v>18190.969583333335</v>
      </c>
      <c r="EY42" s="1">
        <v>16410.940695652174</v>
      </c>
      <c r="EZ42" s="1">
        <v>15073.496718750001</v>
      </c>
      <c r="FA42" s="1">
        <v>18534.674843749999</v>
      </c>
      <c r="FB42" s="1">
        <v>21580.77</v>
      </c>
      <c r="FC42" s="1">
        <v>22223.139016393441</v>
      </c>
      <c r="FD42" s="1">
        <v>27409.06694915254</v>
      </c>
      <c r="FE42" s="1">
        <v>30928.796833333334</v>
      </c>
      <c r="FF42" s="1">
        <v>29299.7255</v>
      </c>
      <c r="FG42" s="1">
        <v>26599.352000000003</v>
      </c>
      <c r="FH42" s="1">
        <v>23346.525166666666</v>
      </c>
      <c r="FI42" s="1">
        <v>22917.784500000002</v>
      </c>
      <c r="FJ42" s="1">
        <v>20952.025785123969</v>
      </c>
      <c r="FK42" s="1">
        <v>20026.678016528927</v>
      </c>
      <c r="FL42" s="1">
        <v>22537.093500000003</v>
      </c>
      <c r="FM42" s="1">
        <v>20903.664385964916</v>
      </c>
      <c r="FN42" s="1">
        <v>19890.10185185185</v>
      </c>
      <c r="FO42" s="1">
        <v>20593.515660377361</v>
      </c>
      <c r="FP42" s="1">
        <v>18344.52826923077</v>
      </c>
      <c r="FQ42" s="1">
        <v>16812.105625</v>
      </c>
      <c r="FR42" s="5">
        <v>42</v>
      </c>
      <c r="FS42" s="5">
        <v>40</v>
      </c>
      <c r="FT42" s="5">
        <v>42</v>
      </c>
      <c r="FU42" s="5">
        <v>42</v>
      </c>
      <c r="FV42" s="5">
        <v>30</v>
      </c>
      <c r="FW42" s="5">
        <v>41</v>
      </c>
    </row>
    <row r="43" spans="1:179" x14ac:dyDescent="0.2">
      <c r="A43" s="5">
        <v>41</v>
      </c>
      <c r="B43" s="6" t="s">
        <v>205</v>
      </c>
      <c r="C43" s="9">
        <v>8</v>
      </c>
      <c r="D43" s="9">
        <v>8</v>
      </c>
      <c r="E43" s="9">
        <v>8</v>
      </c>
      <c r="F43" s="9">
        <v>8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8">
        <v>8</v>
      </c>
      <c r="M43" s="8">
        <v>8</v>
      </c>
      <c r="N43" s="8">
        <v>8</v>
      </c>
      <c r="O43" s="85">
        <v>7</v>
      </c>
      <c r="P43" s="85">
        <v>7</v>
      </c>
      <c r="Q43" s="9">
        <v>7</v>
      </c>
      <c r="R43" s="9">
        <v>6</v>
      </c>
      <c r="S43" s="9">
        <v>7</v>
      </c>
      <c r="T43" s="9">
        <v>7</v>
      </c>
      <c r="U43" s="9">
        <v>6</v>
      </c>
      <c r="V43" s="9">
        <v>7</v>
      </c>
      <c r="W43" s="1">
        <v>6</v>
      </c>
      <c r="X43" s="9">
        <v>126</v>
      </c>
      <c r="Y43" s="9">
        <v>131</v>
      </c>
      <c r="Z43" s="9">
        <v>131</v>
      </c>
      <c r="AA43" s="9">
        <v>151</v>
      </c>
      <c r="AB43" s="9">
        <v>151</v>
      </c>
      <c r="AC43" s="9">
        <v>151</v>
      </c>
      <c r="AD43" s="8">
        <v>151</v>
      </c>
      <c r="AE43" s="8">
        <v>151</v>
      </c>
      <c r="AF43" s="8">
        <v>124</v>
      </c>
      <c r="AG43" s="8">
        <v>124</v>
      </c>
      <c r="AH43" s="8">
        <v>124</v>
      </c>
      <c r="AI43" s="9">
        <v>121</v>
      </c>
      <c r="AJ43" s="9">
        <v>121</v>
      </c>
      <c r="AK43" s="9">
        <v>113</v>
      </c>
      <c r="AL43" s="9">
        <v>113</v>
      </c>
      <c r="AM43" s="9">
        <v>113</v>
      </c>
      <c r="AN43" s="9">
        <v>108</v>
      </c>
      <c r="AO43" s="9">
        <v>113</v>
      </c>
      <c r="AP43" s="9">
        <v>113</v>
      </c>
      <c r="AQ43" s="9">
        <v>108</v>
      </c>
      <c r="AR43" s="9">
        <v>113</v>
      </c>
      <c r="AS43" s="9">
        <v>106</v>
      </c>
      <c r="AT43" s="9">
        <v>2113.3693699999999</v>
      </c>
      <c r="AU43" s="8">
        <v>2268.86175</v>
      </c>
      <c r="AV43" s="9">
        <v>2515.0485899999999</v>
      </c>
      <c r="AW43" s="8">
        <v>3044.2107500000002</v>
      </c>
      <c r="AX43" s="8">
        <v>3547.9992099999995</v>
      </c>
      <c r="AY43" s="8">
        <v>4021.9767299999999</v>
      </c>
      <c r="AZ43" s="86">
        <v>3916.9299300000002</v>
      </c>
      <c r="BA43" s="9">
        <v>3850.1392099999998</v>
      </c>
      <c r="BB43" s="9">
        <v>3721.0523900000003</v>
      </c>
      <c r="BC43" s="9">
        <v>3490.4593100000002</v>
      </c>
      <c r="BD43" s="9">
        <v>3267.1244299999998</v>
      </c>
      <c r="BE43" s="9">
        <v>3335.5362599999999</v>
      </c>
      <c r="BF43" s="9">
        <v>3088.9435600000002</v>
      </c>
      <c r="BG43" s="9">
        <v>3009.54745</v>
      </c>
      <c r="BH43" s="9">
        <v>3125.4740299999999</v>
      </c>
      <c r="BI43" s="9">
        <v>3068.0476199999998</v>
      </c>
      <c r="BJ43" s="9">
        <v>2947.1996399999998</v>
      </c>
      <c r="BK43" s="9">
        <v>2892.6586799999995</v>
      </c>
      <c r="BL43" s="9">
        <v>2729.5060299999996</v>
      </c>
      <c r="BM43" s="1">
        <v>2625.6223</v>
      </c>
      <c r="BN43" s="1">
        <v>2621.6330400000002</v>
      </c>
      <c r="BO43" s="1">
        <v>71934.337650000001</v>
      </c>
      <c r="BP43" s="1">
        <v>778.47036000000003</v>
      </c>
      <c r="BQ43" s="1">
        <v>842.00359000000003</v>
      </c>
      <c r="BR43" s="9">
        <v>705.33123000000001</v>
      </c>
      <c r="BS43" s="9">
        <v>870.73171999999988</v>
      </c>
      <c r="BT43" s="9">
        <v>993.34301000000005</v>
      </c>
      <c r="BU43" s="9">
        <v>1131.13705</v>
      </c>
      <c r="BV43" s="9">
        <v>1096.5145400000001</v>
      </c>
      <c r="BW43" s="9">
        <v>1067.2660599999999</v>
      </c>
      <c r="BX43" s="9">
        <v>1014.3376300000001</v>
      </c>
      <c r="BY43" s="9">
        <v>923.21844999999996</v>
      </c>
      <c r="BZ43" s="9">
        <v>863.02798999999993</v>
      </c>
      <c r="CA43" s="9">
        <v>891.03036999999995</v>
      </c>
      <c r="CB43" s="9">
        <v>820.67165999999997</v>
      </c>
      <c r="CC43" s="9">
        <v>805.57148999999993</v>
      </c>
      <c r="CD43" s="8">
        <v>852.53138999999987</v>
      </c>
      <c r="CE43" s="8">
        <v>836.00446999999997</v>
      </c>
      <c r="CF43" s="8">
        <v>799.03551000000004</v>
      </c>
      <c r="CG43" s="8">
        <v>771.42241000000013</v>
      </c>
      <c r="CH43" s="8">
        <v>721.41174000000001</v>
      </c>
      <c r="CI43" s="8">
        <v>690.23630000000003</v>
      </c>
      <c r="CJ43" s="9">
        <v>681.54142999999999</v>
      </c>
      <c r="CK43" s="9">
        <v>20530.546610000001</v>
      </c>
      <c r="CL43" s="9">
        <v>229.55507475874521</v>
      </c>
      <c r="CM43" s="1">
        <v>248.76424734333926</v>
      </c>
      <c r="CN43" s="9">
        <v>278.49067897010758</v>
      </c>
      <c r="CO43" s="9">
        <v>337.09052783245357</v>
      </c>
      <c r="CP43" s="9">
        <v>391.9678771489169</v>
      </c>
      <c r="CQ43" s="9">
        <v>444.66277895514082</v>
      </c>
      <c r="CR43" s="9">
        <v>432.04859934884172</v>
      </c>
      <c r="CS43" s="9">
        <v>423.77314582463345</v>
      </c>
      <c r="CT43" s="9">
        <v>409.47308364523019</v>
      </c>
      <c r="CU43" s="9">
        <v>383.12091530696381</v>
      </c>
      <c r="CV43" s="9">
        <v>358.08551778631301</v>
      </c>
      <c r="CW43" s="9">
        <v>365.81062837314954</v>
      </c>
      <c r="CX43" s="9">
        <v>340.56223846810531</v>
      </c>
      <c r="CY43" s="9">
        <v>331.62681835000001</v>
      </c>
      <c r="CZ43" s="9">
        <v>340.76809781164422</v>
      </c>
      <c r="DA43" s="9">
        <v>331.56391329118799</v>
      </c>
      <c r="DB43" s="9">
        <v>316.06955024826294</v>
      </c>
      <c r="DC43" s="9">
        <v>308.30694852605217</v>
      </c>
      <c r="DD43" s="9">
        <v>290.08208739287795</v>
      </c>
      <c r="DE43" s="9">
        <v>278.93730102111971</v>
      </c>
      <c r="DF43" s="9">
        <v>278.39195324212517</v>
      </c>
      <c r="DG43" s="9">
        <v>84.55777973505279</v>
      </c>
      <c r="DH43" s="9">
        <v>92.319591234124175</v>
      </c>
      <c r="DI43" s="9">
        <v>78.101144416267971</v>
      </c>
      <c r="DJ43" s="1">
        <v>96.417573945976017</v>
      </c>
      <c r="DK43" s="1">
        <v>109.74031499584675</v>
      </c>
      <c r="DL43" s="1">
        <v>125.05655248585192</v>
      </c>
      <c r="DM43" s="1">
        <v>120.94869697417322</v>
      </c>
      <c r="DN43" s="1">
        <v>117.4707383315789</v>
      </c>
      <c r="DO43" s="1">
        <v>111.62002403666631</v>
      </c>
      <c r="DP43" s="1">
        <v>101.3345998845855</v>
      </c>
      <c r="DQ43" s="1">
        <v>94.590160639590621</v>
      </c>
      <c r="DR43" s="1">
        <v>97.719932910955663</v>
      </c>
      <c r="DS43" s="1">
        <v>90.480700649945135</v>
      </c>
      <c r="DT43" s="1">
        <v>88.767203249169171</v>
      </c>
      <c r="DU43" s="1">
        <v>92.950860351579053</v>
      </c>
      <c r="DV43" s="1">
        <v>90.347004979709411</v>
      </c>
      <c r="DW43" s="1">
        <v>85.691783770064319</v>
      </c>
      <c r="DX43" s="1">
        <v>82.220170286980832</v>
      </c>
      <c r="DY43" s="1">
        <v>76.669046013768352</v>
      </c>
      <c r="DZ43" s="1">
        <v>73.328387936377553</v>
      </c>
      <c r="EA43" s="1">
        <v>72.37307701658014</v>
      </c>
      <c r="EB43" s="1">
        <v>14.268000996529771</v>
      </c>
      <c r="EC43" s="1">
        <v>14.459679085052153</v>
      </c>
      <c r="ED43" s="1">
        <v>16.773455317016612</v>
      </c>
      <c r="EE43" s="1">
        <v>16.667841347090633</v>
      </c>
      <c r="EF43" s="1">
        <v>16.69585897260518</v>
      </c>
      <c r="EG43" s="1">
        <v>16.692738086165164</v>
      </c>
      <c r="EH43" s="1">
        <v>16.618891318444881</v>
      </c>
      <c r="EI43" s="1">
        <v>13.649306512354185</v>
      </c>
      <c r="EJ43" s="1">
        <v>13.641180990400535</v>
      </c>
      <c r="EK43" s="1">
        <v>13.580012076710116</v>
      </c>
      <c r="EL43" s="1">
        <v>13.272396080289209</v>
      </c>
      <c r="EM43" s="1">
        <v>13.267916387597461</v>
      </c>
      <c r="EN43" s="1">
        <v>12.527001234778142</v>
      </c>
      <c r="EO43" s="1">
        <v>12.37719915864594</v>
      </c>
      <c r="EP43" s="1">
        <v>12.263932596946116</v>
      </c>
      <c r="EQ43" s="86">
        <v>11.622259816980952</v>
      </c>
      <c r="ER43" s="1">
        <v>12.077107859725809</v>
      </c>
      <c r="ES43" s="1">
        <v>12.010732134821074</v>
      </c>
      <c r="ET43" s="1">
        <v>11.47641995568263</v>
      </c>
      <c r="EU43" s="1">
        <v>12.001747296552153</v>
      </c>
      <c r="EV43" s="1">
        <v>11.25406446203448</v>
      </c>
      <c r="EW43" s="1">
        <v>16446.454241245137</v>
      </c>
      <c r="EX43" s="1">
        <v>17319.555343511449</v>
      </c>
      <c r="EY43" s="1">
        <v>17837.224042553189</v>
      </c>
      <c r="EZ43" s="1">
        <v>20160.336092715232</v>
      </c>
      <c r="FA43" s="1">
        <v>23496.683509933773</v>
      </c>
      <c r="FB43" s="1">
        <v>26635.607483443709</v>
      </c>
      <c r="FC43" s="1">
        <v>25939.933311258279</v>
      </c>
      <c r="FD43" s="1">
        <v>28001.012436363635</v>
      </c>
      <c r="FE43" s="1">
        <v>30008.487016129035</v>
      </c>
      <c r="FF43" s="1">
        <v>28148.865403225805</v>
      </c>
      <c r="FG43" s="1">
        <v>26670.40351020408</v>
      </c>
      <c r="FH43" s="1">
        <v>27566.415371900825</v>
      </c>
      <c r="FI43" s="1">
        <v>26401.227008547008</v>
      </c>
      <c r="FJ43" s="1">
        <v>26633.163274336286</v>
      </c>
      <c r="FK43" s="1">
        <v>27659.062212389377</v>
      </c>
      <c r="FL43" s="1">
        <v>27765.136832579181</v>
      </c>
      <c r="FM43" s="1">
        <v>26671.489954751127</v>
      </c>
      <c r="FN43" s="1">
        <v>25598.749380530971</v>
      </c>
      <c r="FO43" s="1">
        <v>24701.41203619909</v>
      </c>
      <c r="FP43" s="1">
        <v>23761.28778280543</v>
      </c>
      <c r="FQ43" s="1">
        <v>23941.854246575342</v>
      </c>
      <c r="FR43" s="5">
        <v>37</v>
      </c>
      <c r="FS43" s="5">
        <v>36</v>
      </c>
      <c r="FT43" s="5">
        <v>37</v>
      </c>
      <c r="FU43" s="5">
        <v>35</v>
      </c>
      <c r="FV43" s="5">
        <v>24</v>
      </c>
      <c r="FW43" s="5">
        <v>35</v>
      </c>
    </row>
    <row r="44" spans="1:179" x14ac:dyDescent="0.2">
      <c r="A44" s="5">
        <v>42</v>
      </c>
      <c r="B44" s="6" t="s">
        <v>206</v>
      </c>
      <c r="C44" s="9">
        <v>10</v>
      </c>
      <c r="D44" s="9">
        <v>10</v>
      </c>
      <c r="E44" s="9">
        <v>10</v>
      </c>
      <c r="F44" s="9">
        <v>10</v>
      </c>
      <c r="G44" s="9">
        <v>11</v>
      </c>
      <c r="H44" s="9">
        <v>11</v>
      </c>
      <c r="I44" s="9">
        <v>11</v>
      </c>
      <c r="J44" s="9">
        <v>11</v>
      </c>
      <c r="K44" s="9">
        <v>11</v>
      </c>
      <c r="L44" s="8">
        <v>11</v>
      </c>
      <c r="M44" s="8">
        <v>11</v>
      </c>
      <c r="N44" s="8">
        <v>11</v>
      </c>
      <c r="O44" s="85">
        <v>11</v>
      </c>
      <c r="P44" s="85">
        <v>11</v>
      </c>
      <c r="Q44" s="9">
        <v>11</v>
      </c>
      <c r="R44" s="9">
        <v>10</v>
      </c>
      <c r="S44" s="9">
        <v>10</v>
      </c>
      <c r="T44" s="9">
        <v>10</v>
      </c>
      <c r="U44" s="9">
        <v>10</v>
      </c>
      <c r="V44" s="9">
        <v>10</v>
      </c>
      <c r="W44" s="1">
        <v>10</v>
      </c>
      <c r="X44" s="9">
        <v>282</v>
      </c>
      <c r="Y44" s="9">
        <v>303</v>
      </c>
      <c r="Z44" s="9">
        <v>307</v>
      </c>
      <c r="AA44" s="9">
        <v>332</v>
      </c>
      <c r="AB44" s="9">
        <v>315</v>
      </c>
      <c r="AC44" s="9">
        <v>372</v>
      </c>
      <c r="AD44" s="8">
        <v>372</v>
      </c>
      <c r="AE44" s="8">
        <v>356</v>
      </c>
      <c r="AF44" s="8">
        <v>328</v>
      </c>
      <c r="AG44" s="8">
        <v>329</v>
      </c>
      <c r="AH44" s="8">
        <v>337</v>
      </c>
      <c r="AI44" s="9">
        <v>340</v>
      </c>
      <c r="AJ44" s="9">
        <v>337</v>
      </c>
      <c r="AK44" s="9">
        <v>337</v>
      </c>
      <c r="AL44" s="9">
        <v>337</v>
      </c>
      <c r="AM44" s="9">
        <v>345</v>
      </c>
      <c r="AN44" s="9">
        <v>340</v>
      </c>
      <c r="AO44" s="9">
        <v>344</v>
      </c>
      <c r="AP44" s="9">
        <v>347</v>
      </c>
      <c r="AQ44" s="9">
        <v>350</v>
      </c>
      <c r="AR44" s="9">
        <v>350</v>
      </c>
      <c r="AS44" s="9">
        <v>354</v>
      </c>
      <c r="AT44" s="9">
        <v>15934.912630000001</v>
      </c>
      <c r="AU44" s="8">
        <v>17581.301329999998</v>
      </c>
      <c r="AV44" s="9">
        <v>18383.135340000001</v>
      </c>
      <c r="AW44" s="8">
        <v>20143.063399999999</v>
      </c>
      <c r="AX44" s="8">
        <v>22615.94929</v>
      </c>
      <c r="AY44" s="8">
        <v>26903.80413</v>
      </c>
      <c r="AZ44" s="86">
        <v>28447.491919999997</v>
      </c>
      <c r="BA44" s="9">
        <v>29352.088409999997</v>
      </c>
      <c r="BB44" s="9">
        <v>30660.397929999999</v>
      </c>
      <c r="BC44" s="9">
        <v>30639.322690000001</v>
      </c>
      <c r="BD44" s="9">
        <v>31105.176269999996</v>
      </c>
      <c r="BE44" s="9">
        <v>30063.555950000002</v>
      </c>
      <c r="BF44" s="9">
        <v>31369.639039999998</v>
      </c>
      <c r="BG44" s="9">
        <v>31423.670710000002</v>
      </c>
      <c r="BH44" s="9">
        <v>32570.9172</v>
      </c>
      <c r="BI44" s="9">
        <v>32759.882279999998</v>
      </c>
      <c r="BJ44" s="9">
        <v>32106.718699999998</v>
      </c>
      <c r="BK44" s="9">
        <v>31494.261719999999</v>
      </c>
      <c r="BL44" s="9">
        <v>29657.685850000002</v>
      </c>
      <c r="BM44" s="1">
        <v>30411.806340000003</v>
      </c>
      <c r="BN44" s="1">
        <v>30604.192240000004</v>
      </c>
      <c r="BO44" s="1">
        <v>632557.81542999996</v>
      </c>
      <c r="BP44" s="1">
        <v>7221.8422499999997</v>
      </c>
      <c r="BQ44" s="1">
        <v>8051.4593100000002</v>
      </c>
      <c r="BR44" s="9">
        <v>6768.38627</v>
      </c>
      <c r="BS44" s="9">
        <v>7422.7931499999995</v>
      </c>
      <c r="BT44" s="9">
        <v>8753.8403199999993</v>
      </c>
      <c r="BU44" s="9">
        <v>11233.437720000002</v>
      </c>
      <c r="BV44" s="9">
        <v>12188.33388</v>
      </c>
      <c r="BW44" s="9">
        <v>12487.612160000001</v>
      </c>
      <c r="BX44" s="9">
        <v>13293.91144</v>
      </c>
      <c r="BY44" s="9">
        <v>13236.513650000001</v>
      </c>
      <c r="BZ44" s="9">
        <v>13493.589329999999</v>
      </c>
      <c r="CA44" s="9">
        <v>12928.928759999999</v>
      </c>
      <c r="CB44" s="9">
        <v>13718.19802</v>
      </c>
      <c r="CC44" s="9">
        <v>13814.06422</v>
      </c>
      <c r="CD44" s="8">
        <v>14615.527040000001</v>
      </c>
      <c r="CE44" s="8">
        <v>14818.56308</v>
      </c>
      <c r="CF44" s="8">
        <v>14460.597530000001</v>
      </c>
      <c r="CG44" s="8">
        <v>14044.467000000001</v>
      </c>
      <c r="CH44" s="8">
        <v>13015.27938</v>
      </c>
      <c r="CI44" s="8">
        <v>13488.77614</v>
      </c>
      <c r="CJ44" s="9">
        <v>13621.319810000001</v>
      </c>
      <c r="CK44" s="9">
        <v>270860.51514999999</v>
      </c>
      <c r="CL44" s="9">
        <v>371.36375645058291</v>
      </c>
      <c r="CM44" s="1">
        <v>408.2534492793643</v>
      </c>
      <c r="CN44" s="9">
        <v>426.97339974498175</v>
      </c>
      <c r="CO44" s="9">
        <v>466.74514906231047</v>
      </c>
      <c r="CP44" s="9">
        <v>521.79931843555482</v>
      </c>
      <c r="CQ44" s="9">
        <v>618.18327038866801</v>
      </c>
      <c r="CR44" s="9">
        <v>650.90030770049339</v>
      </c>
      <c r="CS44" s="9">
        <v>666.54297582458798</v>
      </c>
      <c r="CT44" s="9">
        <v>687.33908403258613</v>
      </c>
      <c r="CU44" s="9">
        <v>678.37729522218058</v>
      </c>
      <c r="CV44" s="9">
        <v>680.38391702073295</v>
      </c>
      <c r="CW44" s="9">
        <v>649.02931689243405</v>
      </c>
      <c r="CX44" s="9">
        <v>670.79150536782106</v>
      </c>
      <c r="CY44" s="9">
        <v>666.02471498979526</v>
      </c>
      <c r="CZ44" s="9">
        <v>683.44291549387651</v>
      </c>
      <c r="DA44" s="9">
        <v>681.37342991798232</v>
      </c>
      <c r="DB44" s="9">
        <v>662.38457032763472</v>
      </c>
      <c r="DC44" s="9">
        <v>645.29809442056637</v>
      </c>
      <c r="DD44" s="9">
        <v>605.01523788894247</v>
      </c>
      <c r="DE44" s="9">
        <v>616.78625647064189</v>
      </c>
      <c r="DF44" s="9">
        <v>616.17011048288703</v>
      </c>
      <c r="DG44" s="9">
        <v>168.30531354181196</v>
      </c>
      <c r="DH44" s="9">
        <v>186.96204412531682</v>
      </c>
      <c r="DI44" s="9">
        <v>157.20500573158245</v>
      </c>
      <c r="DJ44" s="1">
        <v>171.99730877357251</v>
      </c>
      <c r="DK44" s="1">
        <v>201.97020492477759</v>
      </c>
      <c r="DL44" s="1">
        <v>258.1167790956938</v>
      </c>
      <c r="DM44" s="1">
        <v>278.87837336094935</v>
      </c>
      <c r="DN44" s="1">
        <v>283.5753985816545</v>
      </c>
      <c r="DO44" s="1">
        <v>298.0204279553497</v>
      </c>
      <c r="DP44" s="1">
        <v>293.06621490654345</v>
      </c>
      <c r="DQ44" s="1">
        <v>295.15412750993448</v>
      </c>
      <c r="DR44" s="1">
        <v>279.1171415387322</v>
      </c>
      <c r="DS44" s="1">
        <v>293.34257525360619</v>
      </c>
      <c r="DT44" s="1">
        <v>292.78909742547478</v>
      </c>
      <c r="DU44" s="1">
        <v>306.68090647742611</v>
      </c>
      <c r="DV44" s="1">
        <v>308.2115822632187</v>
      </c>
      <c r="DW44" s="1">
        <v>298.33246963321437</v>
      </c>
      <c r="DX44" s="1">
        <v>287.76250965417228</v>
      </c>
      <c r="DY44" s="1">
        <v>265.5110176197968</v>
      </c>
      <c r="DZ44" s="1">
        <v>273.56782582224986</v>
      </c>
      <c r="EA44" s="1">
        <v>274.24511212162082</v>
      </c>
      <c r="EB44" s="1">
        <v>7.0346951544616649</v>
      </c>
      <c r="EC44" s="1">
        <v>7.1300639591713253</v>
      </c>
      <c r="ED44" s="1">
        <v>7.7116179403788934</v>
      </c>
      <c r="EE44" s="1">
        <v>7.2813895581278771</v>
      </c>
      <c r="EF44" s="1">
        <v>8.5667900835102433</v>
      </c>
      <c r="EG44" s="1">
        <v>8.5285860168709231</v>
      </c>
      <c r="EH44" s="1">
        <v>8.1294021113671882</v>
      </c>
      <c r="EI44" s="1">
        <v>7.4072489036857734</v>
      </c>
      <c r="EJ44" s="1">
        <v>7.3218793282581753</v>
      </c>
      <c r="EK44" s="1">
        <v>7.4233332393343128</v>
      </c>
      <c r="EL44" s="1">
        <v>7.3853969747795229</v>
      </c>
      <c r="EM44" s="1">
        <v>7.2310145073002854</v>
      </c>
      <c r="EN44" s="1">
        <v>7.1816086928258933</v>
      </c>
      <c r="EO44" s="1">
        <v>7.1042406170860657</v>
      </c>
      <c r="EP44" s="1">
        <v>7.2058490321490378</v>
      </c>
      <c r="EQ44" s="86">
        <v>7.0421650339946327</v>
      </c>
      <c r="ER44" s="1">
        <v>7.0691379997900663</v>
      </c>
      <c r="ES44" s="1">
        <v>7.0889696079209807</v>
      </c>
      <c r="ET44" s="1">
        <v>7.1297352979854072</v>
      </c>
      <c r="EU44" s="1">
        <v>7.0673404761446221</v>
      </c>
      <c r="EV44" s="1">
        <v>7.1065431483455406</v>
      </c>
      <c r="EW44" s="1">
        <v>54478.333777777778</v>
      </c>
      <c r="EX44" s="1">
        <v>57643.610918032784</v>
      </c>
      <c r="EY44" s="1">
        <v>57537.199812206571</v>
      </c>
      <c r="EZ44" s="1">
        <v>62266.038330757336</v>
      </c>
      <c r="FA44" s="1">
        <v>65839.735924308581</v>
      </c>
      <c r="FB44" s="1">
        <v>72322.054112903221</v>
      </c>
      <c r="FC44" s="1">
        <v>78152.450329670319</v>
      </c>
      <c r="FD44" s="1">
        <v>85824.819912280698</v>
      </c>
      <c r="FE44" s="1">
        <v>93334.544687975649</v>
      </c>
      <c r="FF44" s="1">
        <v>92009.978048048055</v>
      </c>
      <c r="FG44" s="1">
        <v>91891.21497784341</v>
      </c>
      <c r="FH44" s="1">
        <v>88814.050073855251</v>
      </c>
      <c r="FI44" s="1">
        <v>93084.982314540059</v>
      </c>
      <c r="FJ44" s="1">
        <v>93245.313679525221</v>
      </c>
      <c r="FK44" s="1">
        <v>95515.886217008796</v>
      </c>
      <c r="FL44" s="1">
        <v>95649.291328467152</v>
      </c>
      <c r="FM44" s="1">
        <v>93879.294444444444</v>
      </c>
      <c r="FN44" s="1">
        <v>91155.605557163522</v>
      </c>
      <c r="FO44" s="1">
        <v>85100.963701578192</v>
      </c>
      <c r="FP44" s="1">
        <v>86890.875257142863</v>
      </c>
      <c r="FQ44" s="1">
        <v>86943.727954545466</v>
      </c>
      <c r="FR44" s="5">
        <v>7</v>
      </c>
      <c r="FS44" s="5">
        <v>16</v>
      </c>
      <c r="FT44" s="5">
        <v>7</v>
      </c>
      <c r="FU44" s="5">
        <v>7</v>
      </c>
      <c r="FV44" s="5">
        <v>34</v>
      </c>
      <c r="FW44" s="5">
        <v>4</v>
      </c>
    </row>
    <row r="45" spans="1:179" x14ac:dyDescent="0.2">
      <c r="A45" s="5">
        <v>43</v>
      </c>
      <c r="B45" s="6" t="s">
        <v>170</v>
      </c>
      <c r="C45" s="9">
        <v>7</v>
      </c>
      <c r="D45" s="9">
        <v>7</v>
      </c>
      <c r="E45" s="9">
        <v>7</v>
      </c>
      <c r="F45" s="9">
        <v>7</v>
      </c>
      <c r="G45" s="9">
        <v>7</v>
      </c>
      <c r="H45" s="9">
        <v>7</v>
      </c>
      <c r="I45" s="9">
        <v>8</v>
      </c>
      <c r="J45" s="9">
        <v>8</v>
      </c>
      <c r="K45" s="9">
        <v>8</v>
      </c>
      <c r="L45" s="8">
        <v>8</v>
      </c>
      <c r="M45" s="8">
        <v>8</v>
      </c>
      <c r="N45" s="8">
        <v>8</v>
      </c>
      <c r="O45" s="85">
        <v>8</v>
      </c>
      <c r="P45" s="85">
        <v>8</v>
      </c>
      <c r="Q45" s="9">
        <v>8</v>
      </c>
      <c r="R45" s="9">
        <v>8</v>
      </c>
      <c r="S45" s="9">
        <v>8</v>
      </c>
      <c r="T45" s="9">
        <v>8</v>
      </c>
      <c r="U45" s="9">
        <v>8</v>
      </c>
      <c r="V45" s="9">
        <v>8</v>
      </c>
      <c r="W45" s="1">
        <v>8</v>
      </c>
      <c r="X45" s="9">
        <v>179</v>
      </c>
      <c r="Y45" s="9">
        <v>183</v>
      </c>
      <c r="Z45" s="9">
        <v>216</v>
      </c>
      <c r="AA45" s="9">
        <v>216</v>
      </c>
      <c r="AB45" s="9">
        <v>216</v>
      </c>
      <c r="AC45" s="9">
        <v>216</v>
      </c>
      <c r="AD45" s="8">
        <v>216</v>
      </c>
      <c r="AE45" s="8">
        <v>242</v>
      </c>
      <c r="AF45" s="8">
        <v>220</v>
      </c>
      <c r="AG45" s="8">
        <v>221</v>
      </c>
      <c r="AH45" s="8">
        <v>224</v>
      </c>
      <c r="AI45" s="9">
        <v>224</v>
      </c>
      <c r="AJ45" s="9">
        <v>222</v>
      </c>
      <c r="AK45" s="9">
        <v>222</v>
      </c>
      <c r="AL45" s="9">
        <v>222</v>
      </c>
      <c r="AM45" s="9">
        <v>222</v>
      </c>
      <c r="AN45" s="9">
        <v>222</v>
      </c>
      <c r="AO45" s="9">
        <v>231</v>
      </c>
      <c r="AP45" s="9">
        <v>231</v>
      </c>
      <c r="AQ45" s="9">
        <v>231</v>
      </c>
      <c r="AR45" s="9">
        <v>231</v>
      </c>
      <c r="AS45" s="9">
        <v>231</v>
      </c>
      <c r="AT45" s="9">
        <v>8054.4755500000001</v>
      </c>
      <c r="AU45" s="8">
        <v>8127.2048700000005</v>
      </c>
      <c r="AV45" s="9">
        <v>9646.6710199999998</v>
      </c>
      <c r="AW45" s="8">
        <v>10301.905409999999</v>
      </c>
      <c r="AX45" s="8">
        <v>11400.5597</v>
      </c>
      <c r="AY45" s="8">
        <v>12563.71327</v>
      </c>
      <c r="AZ45" s="86">
        <v>13351.086310000001</v>
      </c>
      <c r="BA45" s="9">
        <v>14742.605680000001</v>
      </c>
      <c r="BB45" s="9">
        <v>17047.21372</v>
      </c>
      <c r="BC45" s="9">
        <v>16827.532799999997</v>
      </c>
      <c r="BD45" s="9">
        <v>16350.19713</v>
      </c>
      <c r="BE45" s="9">
        <v>15712.63666</v>
      </c>
      <c r="BF45" s="9">
        <v>15664.24799</v>
      </c>
      <c r="BG45" s="9">
        <v>16205.592949999998</v>
      </c>
      <c r="BH45" s="9">
        <v>16696.469710000001</v>
      </c>
      <c r="BI45" s="9">
        <v>16561.82244</v>
      </c>
      <c r="BJ45" s="9">
        <v>16274.920880000001</v>
      </c>
      <c r="BK45" s="9">
        <v>15460.168900000001</v>
      </c>
      <c r="BL45" s="9">
        <v>13961.72631</v>
      </c>
      <c r="BM45" s="1">
        <v>14586.12062</v>
      </c>
      <c r="BN45" s="1">
        <v>14201.54336</v>
      </c>
      <c r="BO45" s="1">
        <v>320125.86666999996</v>
      </c>
      <c r="BP45" s="1">
        <v>3536.9134900000004</v>
      </c>
      <c r="BQ45" s="1">
        <v>3502.2535600000001</v>
      </c>
      <c r="BR45" s="9">
        <v>3379.1316000000002</v>
      </c>
      <c r="BS45" s="9">
        <v>3616.0818899999999</v>
      </c>
      <c r="BT45" s="9">
        <v>4145.3767900000003</v>
      </c>
      <c r="BU45" s="9">
        <v>4858.2206699999997</v>
      </c>
      <c r="BV45" s="9">
        <v>5235.7053699999997</v>
      </c>
      <c r="BW45" s="9">
        <v>5700.0084100000004</v>
      </c>
      <c r="BX45" s="9">
        <v>6886.7634400000006</v>
      </c>
      <c r="BY45" s="9">
        <v>6699.2755900000002</v>
      </c>
      <c r="BZ45" s="9">
        <v>6462.5623599999999</v>
      </c>
      <c r="CA45" s="9">
        <v>6130.4929699999993</v>
      </c>
      <c r="CB45" s="9">
        <v>6147.4343699999999</v>
      </c>
      <c r="CC45" s="9">
        <v>6419.2060799999999</v>
      </c>
      <c r="CD45" s="8">
        <v>6669.6879000000008</v>
      </c>
      <c r="CE45" s="8">
        <v>6615.5494400000007</v>
      </c>
      <c r="CF45" s="8">
        <v>6471.1225999999997</v>
      </c>
      <c r="CG45" s="8">
        <v>6083.8313499999995</v>
      </c>
      <c r="CH45" s="8">
        <v>5321.7118300000002</v>
      </c>
      <c r="CI45" s="8">
        <v>5663.4906200000005</v>
      </c>
      <c r="CJ45" s="9">
        <v>5505.8889300000001</v>
      </c>
      <c r="CK45" s="9">
        <v>124793.72758000002</v>
      </c>
      <c r="CL45" s="9">
        <v>478.1481329893428</v>
      </c>
      <c r="CM45" s="1">
        <v>492.80018279703961</v>
      </c>
      <c r="CN45" s="9">
        <v>597.92992327191598</v>
      </c>
      <c r="CO45" s="9">
        <v>644.24492584583697</v>
      </c>
      <c r="CP45" s="9">
        <v>711.31051624228928</v>
      </c>
      <c r="CQ45" s="9">
        <v>781.79141712195201</v>
      </c>
      <c r="CR45" s="9">
        <v>828.92774851900776</v>
      </c>
      <c r="CS45" s="9">
        <v>910.74568092091477</v>
      </c>
      <c r="CT45" s="9">
        <v>1042.1953555291655</v>
      </c>
      <c r="CU45" s="9">
        <v>1017.7669694445098</v>
      </c>
      <c r="CV45" s="9">
        <v>980.04596637199063</v>
      </c>
      <c r="CW45" s="9">
        <v>933.18717759895333</v>
      </c>
      <c r="CX45" s="9">
        <v>922.55538070027706</v>
      </c>
      <c r="CY45" s="9">
        <v>948.39124415523827</v>
      </c>
      <c r="CZ45" s="9">
        <v>971.92794551212103</v>
      </c>
      <c r="DA45" s="9">
        <v>959.23569752252695</v>
      </c>
      <c r="DB45" s="9">
        <v>939.43818602304782</v>
      </c>
      <c r="DC45" s="9">
        <v>893.40346871182601</v>
      </c>
      <c r="DD45" s="9">
        <v>817.60106702230507</v>
      </c>
      <c r="DE45" s="9">
        <v>868.70427949584484</v>
      </c>
      <c r="DF45" s="9">
        <v>857.57931948255805</v>
      </c>
      <c r="DG45" s="9">
        <v>209.9663188856934</v>
      </c>
      <c r="DH45" s="9">
        <v>212.36221089251103</v>
      </c>
      <c r="DI45" s="9">
        <v>209.44882375741128</v>
      </c>
      <c r="DJ45" s="1">
        <v>226.13704129084255</v>
      </c>
      <c r="DK45" s="1">
        <v>258.64081958306872</v>
      </c>
      <c r="DL45" s="1">
        <v>302.30833358476184</v>
      </c>
      <c r="DM45" s="1">
        <v>325.06878942219782</v>
      </c>
      <c r="DN45" s="1">
        <v>352.12622200585042</v>
      </c>
      <c r="DO45" s="1">
        <v>421.02791633189304</v>
      </c>
      <c r="DP45" s="1">
        <v>405.18723069776934</v>
      </c>
      <c r="DQ45" s="1">
        <v>387.37197619007867</v>
      </c>
      <c r="DR45" s="1">
        <v>364.09531740324252</v>
      </c>
      <c r="DS45" s="1">
        <v>362.05687366325446</v>
      </c>
      <c r="DT45" s="1">
        <v>375.66776232646708</v>
      </c>
      <c r="DU45" s="1">
        <v>388.25309604050744</v>
      </c>
      <c r="DV45" s="1">
        <v>383.16261417262018</v>
      </c>
      <c r="DW45" s="1">
        <v>373.53297885136931</v>
      </c>
      <c r="DX45" s="1">
        <v>351.56899425256285</v>
      </c>
      <c r="DY45" s="1">
        <v>311.64034976654858</v>
      </c>
      <c r="DZ45" s="1">
        <v>337.30000365776323</v>
      </c>
      <c r="EA45" s="1">
        <v>332.48051722569608</v>
      </c>
      <c r="EB45" s="1">
        <v>10.965155808778842</v>
      </c>
      <c r="EC45" s="1">
        <v>13.255970485309573</v>
      </c>
      <c r="ED45" s="1">
        <v>13.523369605415638</v>
      </c>
      <c r="EE45" s="1">
        <v>13.492426211859801</v>
      </c>
      <c r="EF45" s="1">
        <v>13.461211436466529</v>
      </c>
      <c r="EG45" s="1">
        <v>13.42054381377603</v>
      </c>
      <c r="EH45" s="1">
        <v>15.014102695213564</v>
      </c>
      <c r="EI45" s="1">
        <v>13.532945971501508</v>
      </c>
      <c r="EJ45" s="1">
        <v>13.428590311135332</v>
      </c>
      <c r="EK45" s="1">
        <v>13.485744978699291</v>
      </c>
      <c r="EL45" s="1">
        <v>13.368303754031684</v>
      </c>
      <c r="EM45" s="1">
        <v>13.121221460001935</v>
      </c>
      <c r="EN45" s="1">
        <v>13.028754647625696</v>
      </c>
      <c r="EO45" s="1">
        <v>12.955426688976505</v>
      </c>
      <c r="EP45" s="1">
        <v>12.89067871593887</v>
      </c>
      <c r="EQ45" s="86">
        <v>12.825295744117099</v>
      </c>
      <c r="ER45" s="1">
        <v>13.322831009469089</v>
      </c>
      <c r="ES45" s="1">
        <v>13.375065059403793</v>
      </c>
      <c r="ET45" s="1">
        <v>13.683243480832523</v>
      </c>
      <c r="EU45" s="1">
        <v>13.832862701104421</v>
      </c>
      <c r="EV45" s="1">
        <v>14.067604433803199</v>
      </c>
      <c r="EW45" s="1">
        <v>44499.864917127074</v>
      </c>
      <c r="EX45" s="1">
        <v>40737.869022556391</v>
      </c>
      <c r="EY45" s="1">
        <v>44660.513981481483</v>
      </c>
      <c r="EZ45" s="1">
        <v>47694.006527777776</v>
      </c>
      <c r="FA45" s="1">
        <v>52780.368981481479</v>
      </c>
      <c r="FB45" s="1">
        <v>58165.339212962957</v>
      </c>
      <c r="FC45" s="1">
        <v>58301.686943231442</v>
      </c>
      <c r="FD45" s="1">
        <v>63820.803809523808</v>
      </c>
      <c r="FE45" s="1">
        <v>77311.626848072556</v>
      </c>
      <c r="FF45" s="1">
        <v>75629.360898876388</v>
      </c>
      <c r="FG45" s="1">
        <v>72991.951473214285</v>
      </c>
      <c r="FH45" s="1">
        <v>70460.254080717496</v>
      </c>
      <c r="FI45" s="1">
        <v>70559.675630630634</v>
      </c>
      <c r="FJ45" s="1">
        <v>72998.166441441441</v>
      </c>
      <c r="FK45" s="1">
        <v>75209.323018018025</v>
      </c>
      <c r="FL45" s="1">
        <v>74602.803783783776</v>
      </c>
      <c r="FM45" s="1">
        <v>71853.955320088309</v>
      </c>
      <c r="FN45" s="1">
        <v>66927.138095238101</v>
      </c>
      <c r="FO45" s="1">
        <v>60440.373636363642</v>
      </c>
      <c r="FP45" s="1">
        <v>63143.379307359304</v>
      </c>
      <c r="FQ45" s="1">
        <v>61478.542683982683</v>
      </c>
      <c r="FR45" s="5">
        <v>14</v>
      </c>
      <c r="FS45" s="5">
        <v>4</v>
      </c>
      <c r="FT45" s="5">
        <v>14</v>
      </c>
      <c r="FU45" s="5">
        <v>3</v>
      </c>
      <c r="FV45" s="5">
        <v>12</v>
      </c>
      <c r="FW45" s="5">
        <v>12</v>
      </c>
    </row>
    <row r="46" spans="1:179" x14ac:dyDescent="0.2">
      <c r="A46" s="5">
        <v>44</v>
      </c>
      <c r="B46" s="6" t="s">
        <v>207</v>
      </c>
      <c r="C46" s="9">
        <v>18</v>
      </c>
      <c r="D46" s="9">
        <v>18</v>
      </c>
      <c r="E46" s="9">
        <v>18</v>
      </c>
      <c r="F46" s="9">
        <v>18</v>
      </c>
      <c r="G46" s="9">
        <v>17</v>
      </c>
      <c r="H46" s="9">
        <v>18</v>
      </c>
      <c r="I46" s="9">
        <v>17</v>
      </c>
      <c r="J46" s="9">
        <v>17</v>
      </c>
      <c r="K46" s="9">
        <v>17</v>
      </c>
      <c r="L46" s="8">
        <v>17</v>
      </c>
      <c r="M46" s="8">
        <v>17</v>
      </c>
      <c r="N46" s="8">
        <v>17</v>
      </c>
      <c r="O46" s="85">
        <v>17</v>
      </c>
      <c r="P46" s="85">
        <v>17</v>
      </c>
      <c r="Q46" s="9">
        <v>17</v>
      </c>
      <c r="R46" s="9">
        <v>17</v>
      </c>
      <c r="S46" s="9">
        <v>17</v>
      </c>
      <c r="T46" s="9">
        <v>16</v>
      </c>
      <c r="U46" s="9">
        <v>16</v>
      </c>
      <c r="V46" s="9">
        <v>14</v>
      </c>
      <c r="W46" s="1">
        <v>15</v>
      </c>
      <c r="X46" s="9">
        <v>204</v>
      </c>
      <c r="Y46" s="9">
        <v>208</v>
      </c>
      <c r="Z46" s="9">
        <v>216</v>
      </c>
      <c r="AA46" s="9">
        <v>225</v>
      </c>
      <c r="AB46" s="9">
        <v>225</v>
      </c>
      <c r="AC46" s="9">
        <v>217</v>
      </c>
      <c r="AD46" s="8">
        <v>225</v>
      </c>
      <c r="AE46" s="8">
        <v>217</v>
      </c>
      <c r="AF46" s="8">
        <v>205</v>
      </c>
      <c r="AG46" s="8">
        <v>205</v>
      </c>
      <c r="AH46" s="8">
        <v>205</v>
      </c>
      <c r="AI46" s="9">
        <v>205</v>
      </c>
      <c r="AJ46" s="9">
        <v>205</v>
      </c>
      <c r="AK46" s="9">
        <v>205</v>
      </c>
      <c r="AL46" s="9">
        <v>205</v>
      </c>
      <c r="AM46" s="9">
        <v>205</v>
      </c>
      <c r="AN46" s="9">
        <v>205</v>
      </c>
      <c r="AO46" s="9">
        <v>204</v>
      </c>
      <c r="AP46" s="9">
        <v>193</v>
      </c>
      <c r="AQ46" s="9">
        <v>192</v>
      </c>
      <c r="AR46" s="9">
        <v>166</v>
      </c>
      <c r="AS46" s="9">
        <v>172</v>
      </c>
      <c r="AT46" s="9">
        <v>3738.5127400000001</v>
      </c>
      <c r="AU46" s="8">
        <v>3908.1482299999998</v>
      </c>
      <c r="AV46" s="9">
        <v>4344.6847200000002</v>
      </c>
      <c r="AW46" s="8">
        <v>4754.0744199999999</v>
      </c>
      <c r="AX46" s="8">
        <v>5278.1792699999996</v>
      </c>
      <c r="AY46" s="8">
        <v>5649.1634099999992</v>
      </c>
      <c r="AZ46" s="86">
        <v>5770.1289699999998</v>
      </c>
      <c r="BA46" s="9">
        <v>5834.0634800000007</v>
      </c>
      <c r="BB46" s="9">
        <v>5894.9970899999998</v>
      </c>
      <c r="BC46" s="9">
        <v>5491.5912800000006</v>
      </c>
      <c r="BD46" s="9">
        <v>5531.1134999999995</v>
      </c>
      <c r="BE46" s="9">
        <v>5496.1442999999999</v>
      </c>
      <c r="BF46" s="9">
        <v>5781.9521599999998</v>
      </c>
      <c r="BG46" s="9">
        <v>5567.0229399999998</v>
      </c>
      <c r="BH46" s="9">
        <v>5289.3879900000002</v>
      </c>
      <c r="BI46" s="9">
        <v>5158.40733</v>
      </c>
      <c r="BJ46" s="9">
        <v>4709.7430899999999</v>
      </c>
      <c r="BK46" s="9">
        <v>4593.0911500000002</v>
      </c>
      <c r="BL46" s="9">
        <v>4213.3259099999996</v>
      </c>
      <c r="BM46" s="1">
        <v>4084.3747899999998</v>
      </c>
      <c r="BN46" s="1">
        <v>4045.6865499999994</v>
      </c>
      <c r="BO46" s="1">
        <v>115608.06719</v>
      </c>
      <c r="BP46" s="1">
        <v>1326.4074099999998</v>
      </c>
      <c r="BQ46" s="1">
        <v>1393.7133699999999</v>
      </c>
      <c r="BR46" s="9">
        <v>1158.0763399999998</v>
      </c>
      <c r="BS46" s="9">
        <v>1276.05979</v>
      </c>
      <c r="BT46" s="9">
        <v>1300.2856499999998</v>
      </c>
      <c r="BU46" s="9">
        <v>1278.2142699999999</v>
      </c>
      <c r="BV46" s="9">
        <v>1316.8313600000001</v>
      </c>
      <c r="BW46" s="9">
        <v>1340.7915399999997</v>
      </c>
      <c r="BX46" s="9">
        <v>1363.4177300000001</v>
      </c>
      <c r="BY46" s="9">
        <v>1228.6294700000001</v>
      </c>
      <c r="BZ46" s="9">
        <v>1232.6335300000001</v>
      </c>
      <c r="CA46" s="9">
        <v>1217.54025</v>
      </c>
      <c r="CB46" s="9">
        <v>1320.2537699999998</v>
      </c>
      <c r="CC46" s="9">
        <v>1242.80205</v>
      </c>
      <c r="CD46" s="8">
        <v>1143.3069500000001</v>
      </c>
      <c r="CE46" s="8">
        <v>1099.0401299999999</v>
      </c>
      <c r="CF46" s="8">
        <v>969.86860999999999</v>
      </c>
      <c r="CG46" s="8">
        <v>953.44452000000001</v>
      </c>
      <c r="CH46" s="8">
        <v>862.13201000000004</v>
      </c>
      <c r="CI46" s="8">
        <v>869.23601000000008</v>
      </c>
      <c r="CJ46" s="9">
        <v>839.67328999999995</v>
      </c>
      <c r="CK46" s="9">
        <v>28372.873890000003</v>
      </c>
      <c r="CL46" s="9">
        <v>421.59114638173594</v>
      </c>
      <c r="CM46" s="1">
        <v>440.62249135784498</v>
      </c>
      <c r="CN46" s="9">
        <v>489.40505313936245</v>
      </c>
      <c r="CO46" s="9">
        <v>533.35003776440124</v>
      </c>
      <c r="CP46" s="9">
        <v>587.60992173124168</v>
      </c>
      <c r="CQ46" s="9">
        <v>625.39005903525128</v>
      </c>
      <c r="CR46" s="9">
        <v>635.07825949033906</v>
      </c>
      <c r="CS46" s="9">
        <v>639.39239570983978</v>
      </c>
      <c r="CT46" s="9">
        <v>646.31593783110122</v>
      </c>
      <c r="CU46" s="9">
        <v>602.38907067504135</v>
      </c>
      <c r="CV46" s="9">
        <v>606.52114397684079</v>
      </c>
      <c r="CW46" s="9">
        <v>602.88210309877263</v>
      </c>
      <c r="CX46" s="9">
        <v>634.71839059197998</v>
      </c>
      <c r="CY46" s="9">
        <v>608.80501180582826</v>
      </c>
      <c r="CZ46" s="9">
        <v>574.4454483393215</v>
      </c>
      <c r="DA46" s="9">
        <v>556.8578395590514</v>
      </c>
      <c r="DB46" s="9">
        <v>505.3180306630789</v>
      </c>
      <c r="DC46" s="9">
        <v>489.56507363041516</v>
      </c>
      <c r="DD46" s="9">
        <v>447.30840299550891</v>
      </c>
      <c r="DE46" s="9">
        <v>432.90929093814219</v>
      </c>
      <c r="DF46" s="9">
        <v>427.94733306387104</v>
      </c>
      <c r="DG46" s="9">
        <v>149.57863178262943</v>
      </c>
      <c r="DH46" s="9">
        <v>157.13361448630059</v>
      </c>
      <c r="DI46" s="9">
        <v>130.45098764200739</v>
      </c>
      <c r="DJ46" s="1">
        <v>143.15857873889445</v>
      </c>
      <c r="DK46" s="1">
        <v>144.75839298742818</v>
      </c>
      <c r="DL46" s="1">
        <v>141.50458037024652</v>
      </c>
      <c r="DM46" s="1">
        <v>144.93453655873765</v>
      </c>
      <c r="DN46" s="1">
        <v>146.94593534112269</v>
      </c>
      <c r="DO46" s="1">
        <v>149.48245018056511</v>
      </c>
      <c r="DP46" s="1">
        <v>134.77204090783474</v>
      </c>
      <c r="DQ46" s="1">
        <v>135.16596589815265</v>
      </c>
      <c r="DR46" s="1">
        <v>133.55421300117712</v>
      </c>
      <c r="DS46" s="1">
        <v>144.93190619332174</v>
      </c>
      <c r="DT46" s="1">
        <v>135.91180149197621</v>
      </c>
      <c r="DU46" s="1">
        <v>124.16700660338822</v>
      </c>
      <c r="DV46" s="1">
        <v>118.64303712915572</v>
      </c>
      <c r="DW46" s="1">
        <v>104.059199544818</v>
      </c>
      <c r="DX46" s="1">
        <v>101.62505410682212</v>
      </c>
      <c r="DY46" s="1">
        <v>91.528379432771715</v>
      </c>
      <c r="DZ46" s="1">
        <v>92.131688225164069</v>
      </c>
      <c r="EA46" s="1">
        <v>88.819521893129959</v>
      </c>
      <c r="EB46" s="1">
        <v>23.466531407989383</v>
      </c>
      <c r="EC46" s="1">
        <v>24.336585587935744</v>
      </c>
      <c r="ED46" s="1">
        <v>25.339439763100941</v>
      </c>
      <c r="EE46" s="1">
        <v>25.145896228170042</v>
      </c>
      <c r="EF46" s="1">
        <v>24.065316118019069</v>
      </c>
      <c r="EG46" s="1">
        <v>24.864841685301982</v>
      </c>
      <c r="EH46" s="1">
        <v>23.787407915776289</v>
      </c>
      <c r="EI46" s="1">
        <v>22.462553631946129</v>
      </c>
      <c r="EJ46" s="1">
        <v>22.48905916740129</v>
      </c>
      <c r="EK46" s="1">
        <v>22.485067334323055</v>
      </c>
      <c r="EL46" s="1">
        <v>22.473996353184159</v>
      </c>
      <c r="EM46" s="1">
        <v>22.49966687517049</v>
      </c>
      <c r="EN46" s="1">
        <v>22.50841045971324</v>
      </c>
      <c r="EO46" s="1">
        <v>22.329562892632712</v>
      </c>
      <c r="EP46" s="1">
        <v>22.198213042266286</v>
      </c>
      <c r="EQ46" s="86">
        <v>22.062321618040308</v>
      </c>
      <c r="ER46" s="1">
        <v>21.820868446192602</v>
      </c>
      <c r="ES46" s="1">
        <v>20.498948673201877</v>
      </c>
      <c r="ET46" s="1">
        <v>20.374691431347266</v>
      </c>
      <c r="EU46" s="1">
        <v>17.57363225419444</v>
      </c>
      <c r="EV46" s="1">
        <v>18.179062238429033</v>
      </c>
      <c r="EW46" s="1">
        <v>18148.12009708738</v>
      </c>
      <c r="EX46" s="1">
        <v>18434.66146226415</v>
      </c>
      <c r="EY46" s="1">
        <v>19703.785578231291</v>
      </c>
      <c r="EZ46" s="1">
        <v>21129.219644444445</v>
      </c>
      <c r="FA46" s="1">
        <v>23883.164117647058</v>
      </c>
      <c r="FB46" s="1">
        <v>25561.825384615382</v>
      </c>
      <c r="FC46" s="1">
        <v>26109.180859728505</v>
      </c>
      <c r="FD46" s="1">
        <v>27649.589952606639</v>
      </c>
      <c r="FE46" s="1">
        <v>28756.083365853658</v>
      </c>
      <c r="FF46" s="1">
        <v>26788.250146341466</v>
      </c>
      <c r="FG46" s="1">
        <v>26981.041463414629</v>
      </c>
      <c r="FH46" s="1">
        <v>26810.46</v>
      </c>
      <c r="FI46" s="1">
        <v>28204.644682926832</v>
      </c>
      <c r="FJ46" s="1">
        <v>27156.209463414631</v>
      </c>
      <c r="FK46" s="1">
        <v>25801.892634146341</v>
      </c>
      <c r="FL46" s="1">
        <v>25162.962585365854</v>
      </c>
      <c r="FM46" s="1">
        <v>23030.528557457212</v>
      </c>
      <c r="FN46" s="1">
        <v>23138.99823677582</v>
      </c>
      <c r="FO46" s="1">
        <v>21887.407324675321</v>
      </c>
      <c r="FP46" s="1">
        <v>22817.73625698324</v>
      </c>
      <c r="FQ46" s="1">
        <v>23938.97366863905</v>
      </c>
      <c r="FR46" s="5">
        <v>30</v>
      </c>
      <c r="FS46" s="5">
        <v>23</v>
      </c>
      <c r="FT46" s="5">
        <v>34</v>
      </c>
      <c r="FU46" s="5">
        <v>31</v>
      </c>
      <c r="FV46" s="5">
        <v>8</v>
      </c>
      <c r="FW46" s="5">
        <v>36</v>
      </c>
    </row>
    <row r="47" spans="1:179" x14ac:dyDescent="0.2">
      <c r="A47" s="5">
        <v>45</v>
      </c>
      <c r="B47" s="6" t="s">
        <v>148</v>
      </c>
      <c r="C47" s="9">
        <v>539</v>
      </c>
      <c r="D47" s="9">
        <v>564</v>
      </c>
      <c r="E47" s="9">
        <v>587</v>
      </c>
      <c r="F47" s="9">
        <v>592</v>
      </c>
      <c r="G47" s="9">
        <v>596</v>
      </c>
      <c r="H47" s="9">
        <v>593</v>
      </c>
      <c r="I47" s="9">
        <v>585</v>
      </c>
      <c r="J47" s="9">
        <v>578</v>
      </c>
      <c r="K47" s="9">
        <v>569</v>
      </c>
      <c r="L47" s="8">
        <v>566</v>
      </c>
      <c r="M47" s="8">
        <v>566</v>
      </c>
      <c r="N47" s="8">
        <v>561</v>
      </c>
      <c r="O47" s="85">
        <v>561</v>
      </c>
      <c r="P47" s="85">
        <v>557</v>
      </c>
      <c r="Q47" s="9">
        <v>549</v>
      </c>
      <c r="R47" s="9">
        <v>540</v>
      </c>
      <c r="S47" s="9">
        <v>530</v>
      </c>
      <c r="T47" s="9">
        <v>524</v>
      </c>
      <c r="U47" s="9">
        <v>511</v>
      </c>
      <c r="V47" s="9">
        <v>499</v>
      </c>
      <c r="W47" s="1">
        <v>498</v>
      </c>
      <c r="X47" s="9">
        <v>10849</v>
      </c>
      <c r="Y47" s="9">
        <v>11944</v>
      </c>
      <c r="Z47" s="9">
        <v>12738</v>
      </c>
      <c r="AA47" s="9">
        <v>14096</v>
      </c>
      <c r="AB47" s="9">
        <v>14647</v>
      </c>
      <c r="AC47" s="9">
        <v>14841</v>
      </c>
      <c r="AD47" s="8">
        <v>14799</v>
      </c>
      <c r="AE47" s="8">
        <v>14062</v>
      </c>
      <c r="AF47" s="8">
        <v>12598</v>
      </c>
      <c r="AG47" s="8">
        <v>12581</v>
      </c>
      <c r="AH47" s="8">
        <v>12682</v>
      </c>
      <c r="AI47" s="9">
        <v>12737</v>
      </c>
      <c r="AJ47" s="9">
        <v>12744</v>
      </c>
      <c r="AK47" s="9">
        <v>12726</v>
      </c>
      <c r="AL47" s="9">
        <v>12688</v>
      </c>
      <c r="AM47" s="9">
        <v>12613</v>
      </c>
      <c r="AN47" s="9">
        <v>12561</v>
      </c>
      <c r="AO47" s="9">
        <v>12377</v>
      </c>
      <c r="AP47" s="9">
        <v>12337</v>
      </c>
      <c r="AQ47" s="9">
        <v>12210</v>
      </c>
      <c r="AR47" s="9">
        <v>12142</v>
      </c>
      <c r="AS47" s="9">
        <v>12130</v>
      </c>
      <c r="AT47" s="9">
        <v>442466.31771999999</v>
      </c>
      <c r="AU47" s="8">
        <v>485987.8921600001</v>
      </c>
      <c r="AV47" s="9">
        <v>543469.56179999979</v>
      </c>
      <c r="AW47" s="8">
        <v>606814.23661999998</v>
      </c>
      <c r="AX47" s="8">
        <v>669075.50169000006</v>
      </c>
      <c r="AY47" s="8">
        <v>723604.55049000005</v>
      </c>
      <c r="AZ47" s="86">
        <v>749251.48013999988</v>
      </c>
      <c r="BA47" s="9">
        <v>751031.69812999992</v>
      </c>
      <c r="BB47" s="9">
        <v>792620.2774299999</v>
      </c>
      <c r="BC47" s="9">
        <v>758459.4589000002</v>
      </c>
      <c r="BD47" s="9">
        <v>750653.07493999996</v>
      </c>
      <c r="BE47" s="9">
        <v>729372.82683999999</v>
      </c>
      <c r="BF47" s="9">
        <v>745466.90139999962</v>
      </c>
      <c r="BG47" s="9">
        <v>742787.55323000019</v>
      </c>
      <c r="BH47" s="9">
        <v>730587.59705999994</v>
      </c>
      <c r="BI47" s="9">
        <v>731010.89462999988</v>
      </c>
      <c r="BJ47" s="9">
        <v>725908.09789999959</v>
      </c>
      <c r="BK47" s="9">
        <v>718602.90530999971</v>
      </c>
      <c r="BL47" s="9">
        <v>680274.23079999967</v>
      </c>
      <c r="BM47" s="1">
        <v>682243.58027000003</v>
      </c>
      <c r="BN47" s="85">
        <v>681648.72004000016</v>
      </c>
      <c r="BO47" s="85">
        <v>15704846.989190999</v>
      </c>
      <c r="BP47" s="85">
        <v>191270.72947999995</v>
      </c>
      <c r="BQ47" s="85">
        <v>211778.14012999999</v>
      </c>
      <c r="BR47" s="9">
        <v>189916.25993000006</v>
      </c>
      <c r="BS47" s="9">
        <v>213071.28992000004</v>
      </c>
      <c r="BT47" s="9">
        <v>245284.82242999997</v>
      </c>
      <c r="BU47" s="9">
        <v>283520.70183000003</v>
      </c>
      <c r="BV47" s="9">
        <v>296284.65099000011</v>
      </c>
      <c r="BW47" s="9">
        <v>293419.92611999996</v>
      </c>
      <c r="BX47" s="9">
        <v>313848.47034000012</v>
      </c>
      <c r="BY47" s="9">
        <v>295036.6897799999</v>
      </c>
      <c r="BZ47" s="9">
        <v>292747.79800000001</v>
      </c>
      <c r="CA47" s="9">
        <v>282660.59899999999</v>
      </c>
      <c r="CB47" s="9">
        <v>291590.27261999995</v>
      </c>
      <c r="CC47" s="9">
        <v>290944.88812000002</v>
      </c>
      <c r="CD47" s="8">
        <v>285928.13406999997</v>
      </c>
      <c r="CE47" s="8">
        <v>288231.92904999992</v>
      </c>
      <c r="CF47" s="8">
        <v>286969.78865000006</v>
      </c>
      <c r="CG47" s="8">
        <v>283816.66843999992</v>
      </c>
      <c r="CH47" s="8">
        <v>264866.72115</v>
      </c>
      <c r="CI47" s="8">
        <v>267578.45486</v>
      </c>
      <c r="CJ47" s="9">
        <v>268928.25672000006</v>
      </c>
      <c r="CK47" s="9">
        <v>6104951.5600300003</v>
      </c>
      <c r="CL47" s="9">
        <v>391.02899510270703</v>
      </c>
      <c r="CM47" s="1">
        <v>426.47688162163547</v>
      </c>
      <c r="CN47" s="9">
        <v>473.62316900840744</v>
      </c>
      <c r="CO47" s="9">
        <v>524.82184465188129</v>
      </c>
      <c r="CP47" s="9">
        <v>573.65833686149131</v>
      </c>
      <c r="CQ47" s="9">
        <v>615.05188978094657</v>
      </c>
      <c r="CR47" s="9">
        <v>631.12214022634419</v>
      </c>
      <c r="CS47" s="9">
        <v>626.07026456812764</v>
      </c>
      <c r="CT47" s="9">
        <v>652.74622601521628</v>
      </c>
      <c r="CU47" s="9">
        <v>616.35809914265997</v>
      </c>
      <c r="CV47" s="9">
        <v>601.42989738116864</v>
      </c>
      <c r="CW47" s="9">
        <v>576.14640291227818</v>
      </c>
      <c r="CX47" s="9">
        <v>582.14883086751809</v>
      </c>
      <c r="CY47" s="9">
        <v>574.20521008741173</v>
      </c>
      <c r="CZ47" s="9">
        <v>558.99125619082224</v>
      </c>
      <c r="DA47" s="9">
        <v>553.87942401186831</v>
      </c>
      <c r="DB47" s="9">
        <v>544.99630271545345</v>
      </c>
      <c r="DC47" s="9">
        <v>535.29271723272791</v>
      </c>
      <c r="DD47" s="9">
        <v>503.00571221112381</v>
      </c>
      <c r="DE47" s="9">
        <v>500.33318966968164</v>
      </c>
      <c r="DF47" s="9">
        <v>496.03117285003435</v>
      </c>
      <c r="DG47" s="9">
        <v>169.03524210956093</v>
      </c>
      <c r="DH47" s="9">
        <v>185.84512547595918</v>
      </c>
      <c r="DI47" s="9">
        <v>165.50833238269334</v>
      </c>
      <c r="DJ47" s="9">
        <v>184.28121930863182</v>
      </c>
      <c r="DK47" s="1">
        <v>210.30464116104261</v>
      </c>
      <c r="DL47" s="1">
        <v>240.98790331608296</v>
      </c>
      <c r="DM47" s="1">
        <v>249.5714830140667</v>
      </c>
      <c r="DN47" s="1">
        <v>244.59885146380466</v>
      </c>
      <c r="DO47" s="1">
        <v>258.46349177355745</v>
      </c>
      <c r="DP47" s="1">
        <v>239.76001769940262</v>
      </c>
      <c r="DQ47" s="1">
        <v>234.55213065473185</v>
      </c>
      <c r="DR47" s="1">
        <v>223.27934544044177</v>
      </c>
      <c r="DS47" s="1">
        <v>227.70821344218291</v>
      </c>
      <c r="DT47" s="1">
        <v>224.91231830734949</v>
      </c>
      <c r="DU47" s="1">
        <v>218.77092834216415</v>
      </c>
      <c r="DV47" s="1">
        <v>218.390363285691</v>
      </c>
      <c r="DW47" s="1">
        <v>215.45079088900079</v>
      </c>
      <c r="DX47" s="1">
        <v>211.41717424541793</v>
      </c>
      <c r="DY47" s="1">
        <v>195.84671545826976</v>
      </c>
      <c r="DZ47" s="1">
        <v>196.23252703089699</v>
      </c>
      <c r="EA47" s="1">
        <v>195.69727730950459</v>
      </c>
      <c r="EB47" s="1">
        <v>10.518769804155726</v>
      </c>
      <c r="EC47" s="1">
        <v>11.13862684813062</v>
      </c>
      <c r="ED47" s="1">
        <v>12.242944629684798</v>
      </c>
      <c r="EE47" s="1">
        <v>12.614750999267073</v>
      </c>
      <c r="EF47" s="1">
        <v>12.667714271813418</v>
      </c>
      <c r="EG47" s="1">
        <v>12.526387602778339</v>
      </c>
      <c r="EH47" s="1">
        <v>11.787871954639074</v>
      </c>
      <c r="EI47" s="1">
        <v>10.443747347198642</v>
      </c>
      <c r="EJ47" s="1">
        <v>10.292898873352593</v>
      </c>
      <c r="EK47" s="1">
        <v>10.237318181047643</v>
      </c>
      <c r="EL47" s="1">
        <v>10.129415067435326</v>
      </c>
      <c r="EM47" s="1">
        <v>9.9994193683041015</v>
      </c>
      <c r="EN47" s="1">
        <v>9.8910861307945748</v>
      </c>
      <c r="EO47" s="1">
        <v>9.7557074887049708</v>
      </c>
      <c r="EP47" s="1">
        <v>9.6034804907650351</v>
      </c>
      <c r="EQ47" s="86">
        <v>9.4712435672679973</v>
      </c>
      <c r="ER47" s="1">
        <v>9.2526142354351872</v>
      </c>
      <c r="ES47" s="1">
        <v>9.1573691324585944</v>
      </c>
      <c r="ET47" s="1">
        <v>8.9937066151253369</v>
      </c>
      <c r="EU47" s="1">
        <v>8.8657440704586428</v>
      </c>
      <c r="EV47" s="1">
        <v>8.7970596406580395</v>
      </c>
      <c r="EW47" s="1">
        <v>38824.754768569292</v>
      </c>
      <c r="EX47" s="1">
        <v>39379.944263835998</v>
      </c>
      <c r="EY47" s="1">
        <v>40506.041723186987</v>
      </c>
      <c r="EZ47" s="1">
        <v>42223.444777511046</v>
      </c>
      <c r="FA47" s="1">
        <v>45379.510423901251</v>
      </c>
      <c r="FB47" s="1">
        <v>48826.217981781374</v>
      </c>
      <c r="FC47" s="1">
        <v>51921.380419250883</v>
      </c>
      <c r="FD47" s="1">
        <v>56341.462725431345</v>
      </c>
      <c r="FE47" s="1">
        <v>62958.836922038201</v>
      </c>
      <c r="FF47" s="1">
        <v>60045.082444681961</v>
      </c>
      <c r="FG47" s="1">
        <v>59062.360827727287</v>
      </c>
      <c r="FH47" s="1">
        <v>57248.367555433462</v>
      </c>
      <c r="FI47" s="1">
        <v>58536.859159795807</v>
      </c>
      <c r="FJ47" s="1">
        <v>58454.989630125136</v>
      </c>
      <c r="FK47" s="1">
        <v>57751.677566894585</v>
      </c>
      <c r="FL47" s="1">
        <v>58076.658030507657</v>
      </c>
      <c r="FM47" s="1">
        <v>58217.026056620387</v>
      </c>
      <c r="FN47" s="1">
        <v>58153.508562757925</v>
      </c>
      <c r="FO47" s="1">
        <v>55426.262337556502</v>
      </c>
      <c r="FP47" s="1">
        <v>56031.831493922466</v>
      </c>
      <c r="FQ47" s="1">
        <v>56167.495059327637</v>
      </c>
      <c r="FR47" s="87" t="s">
        <v>372</v>
      </c>
      <c r="FS47" s="87" t="s">
        <v>372</v>
      </c>
      <c r="FT47" s="87" t="s">
        <v>372</v>
      </c>
      <c r="FU47" s="87" t="s">
        <v>372</v>
      </c>
      <c r="FV47" s="87" t="s">
        <v>372</v>
      </c>
      <c r="FW47" s="87" t="s">
        <v>372</v>
      </c>
    </row>
  </sheetData>
  <sheetProtection algorithmName="SHA-512" hashValue="JBN2MsScPHM9bhklg5mFLGBQHqIA5lCZpmZhY5cukSzjD7PeXrDE40M1kn662kmrR8MFynIc1/ZJALwFE5QeVQ==" saltValue="QtJJXdzxXUvGgqErU2C16w==" spinCount="100000" sheet="1" objects="1" scenarios="1"/>
  <phoneticPr fontId="0" type="noConversion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Admin</vt:lpstr>
      <vt:lpstr>Output</vt:lpstr>
      <vt:lpstr>Filter</vt:lpstr>
      <vt:lpstr>Source</vt:lpstr>
      <vt:lpstr>Filter!LGAs</vt:lpstr>
      <vt:lpstr>Filter!Print_Area</vt:lpstr>
      <vt:lpstr>Output!Print_Area</vt:lpstr>
      <vt:lpstr>Source!Print_Area</vt:lpstr>
    </vt:vector>
  </TitlesOfParts>
  <Company>The University of Adelaide,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University of Adelaide</dc:creator>
  <cp:lastModifiedBy>Anthony Kosturjak</cp:lastModifiedBy>
  <cp:lastPrinted>2018-10-03T01:45:29Z</cp:lastPrinted>
  <dcterms:created xsi:type="dcterms:W3CDTF">2006-07-18T01:34:44Z</dcterms:created>
  <dcterms:modified xsi:type="dcterms:W3CDTF">2019-10-22T01:55:52Z</dcterms:modified>
</cp:coreProperties>
</file>