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306"/>
  <workbookPr showInkAnnotation="0" autoCompressPictures="0"/>
  <bookViews>
    <workbookView xWindow="0" yWindow="0" windowWidth="25600" windowHeight="16060" tabRatio="949"/>
  </bookViews>
  <sheets>
    <sheet name="I_Bilan" sheetId="1" r:id="rId1"/>
    <sheet name="I_HorsBilan" sheetId="18" r:id="rId2"/>
    <sheet name="I_Resultat_ProduitsCharges" sheetId="19" r:id="rId3"/>
    <sheet name="I_JustificationCapitauxPropres" sheetId="29" r:id="rId4"/>
    <sheet name="I_RepartitionBenefice" sheetId="47" r:id="rId5"/>
    <sheet name="I_Bilan_CommHedgAcc" sheetId="54" r:id="rId6"/>
    <sheet name="I_iBilan_ApercuCouv-PretsCompr" sheetId="23" r:id="rId7"/>
    <sheet name="I_Instr_Derives" sheetId="50" r:id="rId8"/>
    <sheet name="I_Instr_Derives-repart" sheetId="59" r:id="rId9"/>
    <sheet name="I_iBilan_ImmoblstnFinanciers" sheetId="25" r:id="rId10"/>
    <sheet name="I_iBilan_ImmoblstnFinancier-rep" sheetId="58" r:id="rId11"/>
    <sheet name="I_iBilan_AutrActifPass-ActifsGa" sheetId="26" r:id="rId12"/>
    <sheet name="I_iBilan_EngInstPrevProf" sheetId="62" r:id="rId13"/>
    <sheet name="I_iBilan_InstPrevProf" sheetId="51" r:id="rId14"/>
    <sheet name="I_CorrectifsValeursProvisions" sheetId="28" r:id="rId15"/>
    <sheet name="I_CapitalSocial" sheetId="48" r:id="rId16"/>
    <sheet name="I_CapitalSocial-interne" sheetId="60" r:id="rId17"/>
    <sheet name="I_CréancEngPartliées" sheetId="52" r:id="rId18"/>
    <sheet name="I_ActifsSolvab" sheetId="56" r:id="rId19"/>
    <sheet name="I_iHorsBilan_OperationsFidu" sheetId="38" r:id="rId20"/>
    <sheet name="I_iHorsBilan_AvoirsClient" sheetId="39" r:id="rId21"/>
    <sheet name="I_iHorsBilan_AvoirsClientEvol" sheetId="61" r:id="rId22"/>
    <sheet name="I_iResultat_Negoce" sheetId="40" r:id="rId23"/>
    <sheet name="I_iResultat_Intérêts" sheetId="57" r:id="rId24"/>
    <sheet name="I_iResultat_Personnel" sheetId="41" r:id="rId25"/>
    <sheet name="I_iResultat_Exploitation" sheetId="42" r:id="rId26"/>
    <sheet name="I_iResultat_Extraordinaires" sheetId="43" r:id="rId27"/>
    <sheet name="I_iImpôts" sheetId="20" r:id="rId28"/>
    <sheet name="I_iResultat_FondsPropres" sheetId="64" r:id="rId29"/>
    <sheet name="I_iResultat_FondsPropresReqis" sheetId="65" r:id="rId30"/>
    <sheet name="I_iResultat_FondsProprsRatioLiq" sheetId="66" r:id="rId31"/>
    <sheet name="I_iResultat_FondsProprsRatioLev" sheetId="67" r:id="rId32"/>
    <sheet name="_labels" sheetId="2" r:id="rId33"/>
  </sheets>
  <externalReferences>
    <externalReference r:id="rId34"/>
    <externalReference r:id="rId35"/>
  </externalReferences>
  <definedNames>
    <definedName name="_xlnm.Print_Area" localSheetId="18">I_ActifsSolvab!$A$1:$F$17</definedName>
    <definedName name="_xlnm.Print_Area" localSheetId="0">I_Bilan!$A$1:$C$31</definedName>
    <definedName name="_xlnm.Print_Area" localSheetId="15">I_CapitalSocial!$A$1:$G$8</definedName>
    <definedName name="_xlnm.Print_Area" localSheetId="16">'I_CapitalSocial-interne'!$A$1:$E$8</definedName>
    <definedName name="_xlnm.Print_Area" localSheetId="14">I_CorrectifsValeursProvisions!$A$1:$I$7</definedName>
    <definedName name="_xlnm.Print_Area" localSheetId="17">I_CréancEngPartliées!$A$1:$E$20</definedName>
    <definedName name="_xlnm.Print_Area" localSheetId="1">I_HorsBilan!$A$1:$C$6</definedName>
    <definedName name="_xlnm.Print_Area" localSheetId="6">'I_iBilan_ApercuCouv-PretsCompr'!$A$1:$E$23</definedName>
    <definedName name="_xlnm.Print_Area" localSheetId="11">'I_iBilan_AutrActifPass-ActifsGa'!$A$1:$E$17</definedName>
    <definedName name="_xlnm.Print_Area" localSheetId="12">I_iBilan_EngInstPrevProf!$A$1:$C$14</definedName>
    <definedName name="_xlnm.Print_Area" localSheetId="10">'I_iBilan_ImmoblstnFinancier-rep'!$A$1:$G$6</definedName>
    <definedName name="_xlnm.Print_Area" localSheetId="9">I_iBilan_ImmoblstnFinanciers!$A$1:$G$11</definedName>
    <definedName name="_xlnm.Print_Area" localSheetId="13">I_iBilan_InstPrevProf!$A$1:$H$21</definedName>
    <definedName name="_xlnm.Print_Area" localSheetId="20">I_iHorsBilan_AvoirsClient!$A$1:$C$13</definedName>
    <definedName name="_xlnm.Print_Area" localSheetId="21">I_iHorsBilan_AvoirsClientEvol!$A$1:$C$15</definedName>
    <definedName name="_xlnm.Print_Area" localSheetId="19">I_iHorsBilan_OperationsFidu!$A$1:$C$6</definedName>
    <definedName name="_xlnm.Print_Area" localSheetId="27">I_iImpôts!$A$1:$C$8</definedName>
    <definedName name="_xlnm.Print_Area" localSheetId="7">I_Instr_Derives!$A$1:$G$13</definedName>
    <definedName name="_xlnm.Print_Area" localSheetId="8">'I_Instr_Derives-repart'!$A$1:$D$4</definedName>
    <definedName name="_xlnm.Print_Area" localSheetId="26">I_iResultat_Extraordinaires!$A$1:$C$3</definedName>
    <definedName name="_xlnm.Print_Area" localSheetId="22">I_iResultat_Negoce!$A$1:$C$14</definedName>
    <definedName name="_xlnm.Print_Area" localSheetId="3">I_JustificationCapitauxPropres!$A$1:$G$7</definedName>
    <definedName name="_xlnm.Print_Area" localSheetId="4">I_RepartitionBenefice!$A$1:$C$10</definedName>
    <definedName name="_xlnm.Print_Area" localSheetId="2">I_Resultat_ProduitsCharges!$A$1:$C$35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9" i="64" l="1"/>
  <c r="B6" i="40"/>
  <c r="C7" i="60"/>
  <c r="C6" i="60"/>
  <c r="C5" i="60"/>
  <c r="C8" i="60"/>
  <c r="B7" i="60"/>
  <c r="B8" i="60"/>
  <c r="B6" i="60"/>
  <c r="B5" i="60"/>
  <c r="B7" i="67"/>
  <c r="E7" i="66"/>
  <c r="D7" i="66"/>
  <c r="C7" i="66"/>
  <c r="B7" i="66"/>
  <c r="C5" i="20"/>
  <c r="C6" i="20"/>
  <c r="B5" i="20"/>
  <c r="C9" i="42"/>
  <c r="C7" i="42"/>
  <c r="C6" i="42"/>
  <c r="C5" i="42"/>
  <c r="C4" i="42"/>
  <c r="B7" i="42"/>
  <c r="B5" i="42"/>
  <c r="B9" i="42"/>
  <c r="B10" i="42"/>
  <c r="B4" i="42"/>
  <c r="C8" i="41"/>
  <c r="C6" i="41"/>
  <c r="C9" i="41"/>
  <c r="C4" i="41"/>
  <c r="B8" i="41"/>
  <c r="B6" i="41"/>
  <c r="B4" i="41"/>
  <c r="B9" i="41"/>
  <c r="C12" i="40"/>
  <c r="C11" i="40"/>
  <c r="C10" i="40"/>
  <c r="C13" i="40"/>
  <c r="B12" i="40"/>
  <c r="B11" i="40"/>
  <c r="B10" i="40"/>
  <c r="C6" i="40"/>
  <c r="B5" i="40"/>
  <c r="C9" i="40"/>
  <c r="B9" i="40"/>
  <c r="C5" i="38"/>
  <c r="B5" i="38"/>
  <c r="B4" i="38"/>
  <c r="B6" i="38"/>
  <c r="C4" i="38"/>
  <c r="C6" i="38"/>
  <c r="A16" i="50"/>
  <c r="A15" i="50"/>
  <c r="A13" i="50"/>
  <c r="A12" i="50"/>
  <c r="C8" i="64"/>
  <c r="C3" i="64"/>
  <c r="C8" i="62"/>
  <c r="C7" i="62"/>
  <c r="B7" i="62"/>
  <c r="B10" i="62"/>
  <c r="H12" i="51"/>
  <c r="G12" i="51"/>
  <c r="F12" i="51"/>
  <c r="B12" i="51"/>
  <c r="B10" i="51"/>
  <c r="D13" i="52"/>
  <c r="B13" i="52"/>
  <c r="E3" i="52"/>
  <c r="C3" i="52"/>
  <c r="D3" i="52"/>
  <c r="B3" i="52"/>
  <c r="D11" i="23"/>
  <c r="E11" i="23"/>
  <c r="D12" i="23"/>
  <c r="C12" i="23"/>
  <c r="E12" i="23"/>
  <c r="D8" i="23"/>
  <c r="B8" i="23"/>
  <c r="C10" i="62"/>
  <c r="C5" i="62"/>
  <c r="B5" i="62"/>
  <c r="J6" i="20"/>
  <c r="C4" i="61"/>
  <c r="B4" i="61"/>
  <c r="C23" i="19"/>
  <c r="B23" i="19"/>
  <c r="C2" i="19"/>
  <c r="B2" i="19"/>
  <c r="D9" i="25"/>
  <c r="B9" i="25"/>
  <c r="E6" i="25"/>
  <c r="D6" i="25"/>
  <c r="B6" i="25"/>
  <c r="I5" i="25"/>
  <c r="J5" i="25"/>
  <c r="E5" i="25"/>
  <c r="E9" i="25"/>
  <c r="C5" i="25"/>
  <c r="C9" i="25"/>
  <c r="B3" i="61"/>
  <c r="C7" i="61"/>
  <c r="C5" i="61"/>
  <c r="C2" i="61"/>
  <c r="B2" i="61"/>
  <c r="C8" i="19"/>
  <c r="C30" i="19"/>
  <c r="G8" i="19"/>
  <c r="E6" i="56"/>
  <c r="E14" i="56"/>
  <c r="N7" i="56"/>
  <c r="M7" i="56"/>
  <c r="L7" i="56"/>
  <c r="K7" i="56"/>
  <c r="J7" i="56"/>
  <c r="C9" i="57"/>
  <c r="B9" i="57"/>
  <c r="C6" i="52"/>
  <c r="C8" i="52"/>
  <c r="C4" i="52"/>
  <c r="D6" i="52"/>
  <c r="D8" i="52"/>
  <c r="B6" i="52"/>
  <c r="B4" i="52"/>
  <c r="D4" i="52"/>
  <c r="B30" i="19"/>
  <c r="I30" i="19"/>
  <c r="B8" i="19"/>
  <c r="I8" i="19"/>
  <c r="E5" i="60"/>
  <c r="E8" i="60"/>
  <c r="E6" i="60"/>
  <c r="E7" i="60"/>
  <c r="D5" i="60"/>
  <c r="D6" i="60"/>
  <c r="D7" i="60"/>
  <c r="D8" i="60"/>
  <c r="E4" i="60"/>
  <c r="D4" i="60"/>
  <c r="C4" i="60"/>
  <c r="B4" i="60"/>
  <c r="B7" i="26"/>
  <c r="B8" i="26"/>
  <c r="E8" i="26"/>
  <c r="E9" i="26"/>
  <c r="C8" i="26"/>
  <c r="C9" i="26"/>
  <c r="D7" i="26"/>
  <c r="D8" i="26"/>
  <c r="D9" i="26"/>
  <c r="F10" i="26"/>
  <c r="G4" i="58"/>
  <c r="J4" i="58"/>
  <c r="A23" i="19"/>
  <c r="C5" i="52"/>
  <c r="B5" i="52"/>
  <c r="B8" i="52"/>
  <c r="E7" i="28"/>
  <c r="I7" i="28"/>
  <c r="B6" i="20"/>
  <c r="C4" i="20"/>
  <c r="B4" i="20"/>
  <c r="G3" i="28"/>
  <c r="I3" i="28"/>
  <c r="I4" i="28"/>
  <c r="I6" i="28"/>
  <c r="B6" i="42"/>
  <c r="C4" i="40"/>
  <c r="C7" i="40"/>
  <c r="B4" i="40"/>
  <c r="B7" i="40"/>
  <c r="B6" i="39"/>
  <c r="C14" i="56"/>
  <c r="D11" i="56"/>
  <c r="C4" i="56"/>
  <c r="E4" i="56"/>
  <c r="E15" i="23"/>
  <c r="E14" i="23"/>
  <c r="E17" i="23"/>
  <c r="D17" i="23"/>
  <c r="C17" i="23"/>
  <c r="E3" i="29"/>
  <c r="G3" i="29"/>
  <c r="G7" i="29"/>
  <c r="D3" i="29"/>
  <c r="D7" i="29"/>
  <c r="F7" i="29"/>
  <c r="C7" i="29"/>
  <c r="B7" i="29"/>
  <c r="G6" i="29"/>
  <c r="G5" i="29"/>
  <c r="G4" i="29"/>
  <c r="A3" i="29"/>
  <c r="E7" i="29"/>
  <c r="E8" i="52"/>
  <c r="H4" i="28"/>
  <c r="H6" i="28"/>
  <c r="G4" i="28"/>
  <c r="F4" i="28"/>
  <c r="E4" i="28"/>
  <c r="D4" i="28"/>
  <c r="D6" i="28"/>
  <c r="C4" i="28"/>
  <c r="C6" i="28"/>
  <c r="B4" i="28"/>
  <c r="E6" i="28"/>
  <c r="C15" i="26"/>
  <c r="C17" i="26"/>
  <c r="B15" i="26"/>
  <c r="B17" i="26"/>
  <c r="E16" i="26"/>
  <c r="E17" i="26"/>
  <c r="D16" i="26"/>
  <c r="D17" i="26"/>
  <c r="B29" i="1"/>
  <c r="C28" i="1"/>
  <c r="B28" i="1"/>
  <c r="I10" i="25"/>
  <c r="J6" i="25"/>
  <c r="C9" i="50"/>
  <c r="B9" i="50"/>
  <c r="D9" i="50"/>
  <c r="D12" i="50"/>
  <c r="G12" i="50"/>
  <c r="F12" i="50"/>
  <c r="E12" i="50"/>
  <c r="C12" i="50"/>
  <c r="B12" i="50"/>
  <c r="C6" i="23"/>
  <c r="C8" i="23"/>
  <c r="E6" i="23"/>
  <c r="E8" i="23"/>
  <c r="I12" i="23"/>
  <c r="B5" i="47"/>
  <c r="B10" i="47"/>
  <c r="H8" i="47"/>
  <c r="E4" i="47"/>
  <c r="E3" i="47"/>
  <c r="B34" i="19"/>
  <c r="E6" i="20"/>
  <c r="C27" i="19"/>
  <c r="B27" i="19"/>
  <c r="C21" i="19"/>
  <c r="B21" i="19"/>
  <c r="C15" i="19"/>
  <c r="B15" i="19"/>
  <c r="C4" i="19"/>
  <c r="C7" i="19"/>
  <c r="C9" i="19"/>
  <c r="C28" i="19"/>
  <c r="B4" i="19"/>
  <c r="B7" i="19"/>
  <c r="B9" i="19"/>
  <c r="B12" i="1"/>
  <c r="B13" i="1"/>
  <c r="F9" i="26"/>
  <c r="C22" i="1"/>
  <c r="C21" i="1"/>
  <c r="C29" i="1"/>
  <c r="G10" i="26"/>
  <c r="C20" i="1"/>
  <c r="C12" i="1"/>
  <c r="G9" i="26"/>
  <c r="C6" i="1"/>
  <c r="C9" i="1"/>
  <c r="G22" i="1"/>
  <c r="G19" i="1"/>
  <c r="G21" i="1"/>
  <c r="G29" i="1"/>
  <c r="G7" i="1"/>
  <c r="G12" i="1"/>
  <c r="C4" i="1"/>
  <c r="C8" i="1"/>
  <c r="C13" i="1"/>
  <c r="G8" i="1"/>
  <c r="I6" i="25"/>
  <c r="B13" i="40"/>
  <c r="B7" i="39"/>
  <c r="B7" i="61"/>
  <c r="B5" i="61"/>
  <c r="I5" i="28"/>
  <c r="G6" i="28"/>
  <c r="F6" i="28"/>
  <c r="C3" i="42"/>
  <c r="B3" i="42"/>
  <c r="C3" i="41"/>
  <c r="B3" i="41"/>
  <c r="C3" i="39"/>
  <c r="B3" i="39"/>
  <c r="C3" i="38"/>
  <c r="B3" i="38"/>
  <c r="E4" i="25"/>
  <c r="D4" i="25"/>
  <c r="A7" i="29"/>
  <c r="E14" i="48"/>
  <c r="B14" i="48"/>
  <c r="E2" i="48"/>
  <c r="B2" i="48"/>
  <c r="I2" i="28"/>
  <c r="B2" i="28"/>
  <c r="D12" i="26"/>
  <c r="B12" i="26"/>
  <c r="D3" i="26"/>
  <c r="B3" i="26"/>
  <c r="C4" i="25"/>
  <c r="B4" i="25"/>
  <c r="C7" i="47"/>
  <c r="B7" i="47"/>
  <c r="C2" i="1"/>
  <c r="C16" i="1"/>
  <c r="B2" i="1"/>
  <c r="B16" i="1"/>
  <c r="C2" i="18"/>
  <c r="B2" i="18"/>
  <c r="A1" i="19"/>
  <c r="A1" i="1"/>
  <c r="C2" i="47"/>
  <c r="B2" i="47"/>
  <c r="D12" i="56"/>
  <c r="D13" i="56"/>
  <c r="B9" i="26"/>
  <c r="C31" i="19"/>
  <c r="I6" i="20"/>
  <c r="J8" i="20"/>
  <c r="D9" i="56"/>
  <c r="D7" i="56"/>
  <c r="D8" i="56"/>
  <c r="D6" i="56"/>
  <c r="C6" i="25"/>
  <c r="D10" i="56"/>
  <c r="C35" i="19"/>
  <c r="F35" i="19"/>
  <c r="F29" i="1"/>
  <c r="B31" i="19"/>
  <c r="B28" i="19"/>
  <c r="C10" i="42"/>
  <c r="F6" i="20"/>
  <c r="I8" i="20"/>
  <c r="C8" i="20"/>
  <c r="F7" i="56"/>
  <c r="F12" i="56"/>
  <c r="F9" i="56"/>
  <c r="F8" i="56"/>
  <c r="F10" i="56"/>
  <c r="F6" i="56"/>
  <c r="F11" i="56"/>
  <c r="F13" i="56"/>
  <c r="G13" i="1"/>
  <c r="B35" i="19"/>
  <c r="E35" i="19"/>
  <c r="H6" i="20"/>
  <c r="H8" i="20"/>
  <c r="B8" i="20"/>
</calcChain>
</file>

<file path=xl/comments1.xml><?xml version="1.0" encoding="utf-8"?>
<comments xmlns="http://schemas.openxmlformats.org/spreadsheetml/2006/main">
  <authors>
    <author>Sonja Egetemeyer</author>
  </authors>
  <commentList>
    <comment ref="G7" authorId="0">
      <text>
        <r>
          <rPr>
            <b/>
            <sz val="9"/>
            <color indexed="81"/>
            <rFont val="Tahoma"/>
            <family val="2"/>
          </rPr>
          <t>Sonja Egetemeyer:</t>
        </r>
        <r>
          <rPr>
            <sz val="9"/>
            <color indexed="81"/>
            <rFont val="Tahoma"/>
            <family val="2"/>
          </rPr>
          <t xml:space="preserve">
VRP  GE     2'497'168.51
VRP  BPES    443'410.53
Eliminations    (26'092.57)
 </t>
        </r>
      </text>
    </comment>
    <comment ref="G19" authorId="0">
      <text>
        <r>
          <rPr>
            <b/>
            <sz val="9"/>
            <color indexed="81"/>
            <rFont val="Tahoma"/>
            <family val="2"/>
          </rPr>
          <t>Sonja Egetemeyer:</t>
        </r>
        <r>
          <rPr>
            <sz val="9"/>
            <color indexed="81"/>
            <rFont val="Tahoma"/>
            <family val="2"/>
          </rPr>
          <t xml:space="preserve">
VRP  GE     4'160'464.90
VRP  BPES    513'933.67
Eliminations    (26'092.57) </t>
        </r>
      </text>
    </comment>
  </commentList>
</comments>
</file>

<file path=xl/comments2.xml><?xml version="1.0" encoding="utf-8"?>
<comments xmlns="http://schemas.openxmlformats.org/spreadsheetml/2006/main">
  <authors>
    <author>Sonja Egetemeyer</author>
  </authors>
  <commentList>
    <comment ref="H10" authorId="0">
      <text>
        <r>
          <rPr>
            <b/>
            <sz val="9"/>
            <color indexed="81"/>
            <rFont val="Tahoma"/>
            <family val="2"/>
          </rPr>
          <t>Sonja Egetemeyer:</t>
        </r>
        <r>
          <rPr>
            <sz val="9"/>
            <color indexed="81"/>
            <rFont val="Tahoma"/>
            <family val="2"/>
          </rPr>
          <t xml:space="preserve">
Créances compromises</t>
        </r>
      </text>
    </comment>
  </commentList>
</comments>
</file>

<file path=xl/comments3.xml><?xml version="1.0" encoding="utf-8"?>
<comments xmlns="http://schemas.openxmlformats.org/spreadsheetml/2006/main">
  <authors>
    <author>Sonja Egetemeyer</author>
  </authors>
  <commentList>
    <comment ref="K7" authorId="0">
      <text>
        <r>
          <rPr>
            <b/>
            <sz val="9"/>
            <color indexed="81"/>
            <rFont val="Tahoma"/>
            <family val="2"/>
          </rPr>
          <t>Sonja Egetemeyer:</t>
        </r>
        <r>
          <rPr>
            <sz val="9"/>
            <color indexed="81"/>
            <rFont val="Tahoma"/>
            <family val="2"/>
          </rPr>
          <t xml:space="preserve">
Etranger</t>
        </r>
      </text>
    </comment>
    <comment ref="L7" authorId="0">
      <text>
        <r>
          <rPr>
            <b/>
            <sz val="9"/>
            <color indexed="81"/>
            <rFont val="Tahoma"/>
            <family val="2"/>
          </rPr>
          <t>Sonja Egetemeyer:</t>
        </r>
        <r>
          <rPr>
            <sz val="9"/>
            <color indexed="81"/>
            <rFont val="Tahoma"/>
            <family val="2"/>
          </rPr>
          <t xml:space="preserve">
Suisse</t>
        </r>
      </text>
    </comment>
  </commentList>
</comments>
</file>

<file path=xl/sharedStrings.xml><?xml version="1.0" encoding="utf-8"?>
<sst xmlns="http://schemas.openxmlformats.org/spreadsheetml/2006/main" count="521" uniqueCount="372">
  <si>
    <t>Actifs</t>
  </si>
  <si>
    <t>This year</t>
  </si>
  <si>
    <t xml:space="preserve">Immobilisations corporelles </t>
  </si>
  <si>
    <t xml:space="preserve">Autres actifs </t>
  </si>
  <si>
    <t xml:space="preserve">Total des actifs </t>
  </si>
  <si>
    <t xml:space="preserve">Passifs </t>
  </si>
  <si>
    <t xml:space="preserve">Engagements envers les banques </t>
  </si>
  <si>
    <t xml:space="preserve">Autres passifs </t>
  </si>
  <si>
    <t xml:space="preserve">Total des passifs </t>
  </si>
  <si>
    <t>Engagements conditionnels</t>
  </si>
  <si>
    <t>montant des sous-jacents</t>
  </si>
  <si>
    <t>valeurs de remplacement positives</t>
  </si>
  <si>
    <t>Liquidités</t>
  </si>
  <si>
    <t>Créances résultant de papiers monétaires</t>
  </si>
  <si>
    <t>Créances sur les banques</t>
  </si>
  <si>
    <t>Créances sur la clientèle</t>
  </si>
  <si>
    <t>Immobilisations financières</t>
  </si>
  <si>
    <t>Engagements irrévocables</t>
  </si>
  <si>
    <t>Instruments financiers dérivés</t>
  </si>
  <si>
    <t>valeurs de remplacement négatives</t>
  </si>
  <si>
    <t>Opérations fiduciaires</t>
  </si>
  <si>
    <t>Total</t>
  </si>
  <si>
    <t>Opérations hors bilan</t>
  </si>
  <si>
    <t>Participations</t>
  </si>
  <si>
    <t>Total des créances sur les sociétés du groupe et les participants qualifiés</t>
  </si>
  <si>
    <t>Bénéfice reporté</t>
  </si>
  <si>
    <t>Bénéfice de l’exercice</t>
  </si>
  <si>
    <t>Résultat des opérations d’intérêts</t>
  </si>
  <si>
    <t>Produit des intérêts et des escomptes</t>
  </si>
  <si>
    <t>Produit des intérêts et des dividendes des immobilisations financières</t>
  </si>
  <si>
    <t>Charges d’intérêts</t>
  </si>
  <si>
    <t>Résultat des opérations de commissions et des prestations de service</t>
  </si>
  <si>
    <t>Produit des commissions sur les opérations de crédit</t>
  </si>
  <si>
    <t>Produit des commissions sur les autres prestations de service</t>
  </si>
  <si>
    <t>Charges de commissions</t>
  </si>
  <si>
    <t>Sous-total résultat des opérations de commissions et des prestations de service</t>
  </si>
  <si>
    <t>Résultat des opérations de négoce</t>
  </si>
  <si>
    <t>Autres résultats ordinaires</t>
  </si>
  <si>
    <t>Autres produits ordinaires</t>
  </si>
  <si>
    <t>Sous-total autres résultats ordinaires</t>
  </si>
  <si>
    <t>Produits totaux de l’activité bancaire ordinaire</t>
  </si>
  <si>
    <t>Charges d’exploitation</t>
  </si>
  <si>
    <t>Charges de personnel</t>
  </si>
  <si>
    <t>Autres charges d’exploitation</t>
  </si>
  <si>
    <t>Sous-total charges d’exploitation</t>
  </si>
  <si>
    <t>Bénéfice brut</t>
  </si>
  <si>
    <t>Produits extraordinaires</t>
  </si>
  <si>
    <t>Charges extraordinaires</t>
  </si>
  <si>
    <t>Impôts</t>
  </si>
  <si>
    <t>Résultats des aliénations d’immobilisations financières</t>
  </si>
  <si>
    <t>Proposition du Conseil d’Administration relative à la répartition du bénéfice</t>
  </si>
  <si>
    <t>Bénéfice au bilan</t>
  </si>
  <si>
    <t xml:space="preserve">Proposition de répartition du bénéfice </t>
  </si>
  <si>
    <t>Attribution à la réserve légale générale</t>
  </si>
  <si>
    <t>Distribution ordinaire sur le capital</t>
  </si>
  <si>
    <t>Solde à reporter</t>
  </si>
  <si>
    <t>Nature des couvertures</t>
  </si>
  <si>
    <t>Hors bilan</t>
  </si>
  <si>
    <t>Montant brut</t>
  </si>
  <si>
    <t>Valeur estimée de réalisation des sûretés</t>
  </si>
  <si>
    <t>Montant net</t>
  </si>
  <si>
    <t>Informations se rapportant au bilan</t>
  </si>
  <si>
    <t>Valeur comptable</t>
  </si>
  <si>
    <t>Juste valeur</t>
  </si>
  <si>
    <t>Titres de créance</t>
  </si>
  <si>
    <t>dont destinés à être conservés jusqu’à l’échéance</t>
  </si>
  <si>
    <t>Dont titres admis en pension selon les prescriptions en matière de liquidités</t>
  </si>
  <si>
    <t>Autres actifs et autres passifs</t>
  </si>
  <si>
    <t>Autres actifs</t>
  </si>
  <si>
    <t>Autres passifs</t>
  </si>
  <si>
    <t>Autres</t>
  </si>
  <si>
    <t>Engagements effectifs</t>
  </si>
  <si>
    <t>Autres provisions</t>
  </si>
  <si>
    <t>Total provisions</t>
  </si>
  <si>
    <t>Capital-actions</t>
  </si>
  <si>
    <t>Valeur nominale totale</t>
  </si>
  <si>
    <t>Nombre de titres</t>
  </si>
  <si>
    <t>Capital donnant droit au dividende</t>
  </si>
  <si>
    <t>(à 100)</t>
  </si>
  <si>
    <t>Propriétaires importants de capital et groupes de propriétaires de capital liés par des conventions de vote</t>
  </si>
  <si>
    <t>Nominal en milliers de CHF</t>
  </si>
  <si>
    <t>Taux de participation en %</t>
  </si>
  <si>
    <t>Droit de vote en %</t>
  </si>
  <si>
    <t>Avec droit de vote:</t>
  </si>
  <si>
    <t>CBH Holding SA, Genève *</t>
  </si>
  <si>
    <t>Florian Rais</t>
  </si>
  <si>
    <t>Meyer Benhamou</t>
  </si>
  <si>
    <t>Mycol Benhamou</t>
  </si>
  <si>
    <t>Joseph Benhamou</t>
  </si>
  <si>
    <t>Valeur absolue</t>
  </si>
  <si>
    <t>Part en %</t>
  </si>
  <si>
    <t>Informations se rapportant aux operations hors bilan</t>
  </si>
  <si>
    <t>Instruments de négoce</t>
  </si>
  <si>
    <t>Instruments de couverture</t>
  </si>
  <si>
    <t>Valeurs de remplacement positives</t>
  </si>
  <si>
    <t>Valeurs de remplacement negatives</t>
  </si>
  <si>
    <t>Instruments de taux</t>
  </si>
  <si>
    <t>Devises/métaux précieux</t>
  </si>
  <si>
    <t>Contrats à terme</t>
  </si>
  <si>
    <t>Options (OTC)</t>
  </si>
  <si>
    <t>Avoirs sous mandat de gestion</t>
  </si>
  <si>
    <t>Résultat des opérations de négoce de billets</t>
  </si>
  <si>
    <t>Résultat des opérations de négoce de titres</t>
  </si>
  <si>
    <t>Prestations sociales</t>
  </si>
  <si>
    <t>Autres charges de personnel</t>
  </si>
  <si>
    <t>Coût des locaux</t>
  </si>
  <si>
    <t>Informations se rapportant au compte de résultat</t>
  </si>
  <si>
    <t>Résultat des opérations de négoce de devises brut</t>
  </si>
  <si>
    <t>Produit des participations</t>
  </si>
  <si>
    <t>Correctifs de valeurs compensés directement à l’actif</t>
  </si>
  <si>
    <t>Capital social (Capital structure)</t>
  </si>
  <si>
    <t>Capital social (Share capital)</t>
  </si>
  <si>
    <t>(à 1’000)</t>
  </si>
  <si>
    <t>(2014: 66.02%)</t>
  </si>
  <si>
    <t>(2014: 13.57%)</t>
  </si>
  <si>
    <t>Commentaires</t>
  </si>
  <si>
    <t>Reclass.2014
Nouvelles PCB</t>
  </si>
  <si>
    <t>Valeurs de remplacement négatives d'instruments financiers dérivés</t>
  </si>
  <si>
    <t>Valeurs de remplacement positives d'instruments financiers dérivés</t>
  </si>
  <si>
    <t xml:space="preserve">Engagements résultant des dépôts de la clientèle </t>
  </si>
  <si>
    <t xml:space="preserve">Provisions </t>
  </si>
  <si>
    <t>Réserve légale issue du bénéfice</t>
  </si>
  <si>
    <t>Arrondis</t>
  </si>
  <si>
    <t>Résultat brut des opérations d’intérêts</t>
  </si>
  <si>
    <t>Variations des corrections de valeur pour risques de défaillance et pertes liées aux opérations d'intérêts</t>
  </si>
  <si>
    <t>Sous-total résultat net des opérations d'intérêts</t>
  </si>
  <si>
    <t>Produit des commissions sur les titres et les opérations de placements</t>
  </si>
  <si>
    <t>Résultat des opérations de négoce et de l'option de la juste valeur</t>
  </si>
  <si>
    <t>Correctifs de valeurs sur participations, amortissements sur immobilisations et valeurs immatérielles</t>
  </si>
  <si>
    <t>Variations des provisions et autes corrections de valeur, pertes</t>
  </si>
  <si>
    <t>Résultat opérationnel</t>
  </si>
  <si>
    <t>Ligne à supprimer</t>
  </si>
  <si>
    <t>Nouvelle ligne</t>
  </si>
  <si>
    <t>MàJ libellé</t>
  </si>
  <si>
    <t>Contrôle arrondis</t>
  </si>
  <si>
    <t>Couvertures hypothécaires</t>
  </si>
  <si>
    <t>Autres couvertures</t>
  </si>
  <si>
    <t>Sans couverture</t>
  </si>
  <si>
    <t>Prêts (avant compensation avec les corrections de valeur)</t>
  </si>
  <si>
    <t>Modification libellé</t>
  </si>
  <si>
    <t>Corrections de valeurs individuelles</t>
  </si>
  <si>
    <t>Créances compromises</t>
  </si>
  <si>
    <t>Informations se rapportant aux opérations hors bilan</t>
  </si>
  <si>
    <t>Présentation des instruments financiers derives (actifs et passifs)</t>
  </si>
  <si>
    <t>Volume des contrats</t>
  </si>
  <si>
    <t>Répartition selon contreparties</t>
  </si>
  <si>
    <t>Instances centrales de clearing</t>
  </si>
  <si>
    <t>Banques et négociants en valeurs mobilières</t>
  </si>
  <si>
    <t>Autres clients</t>
  </si>
  <si>
    <t>Val.comptable</t>
  </si>
  <si>
    <t>Répartition des contreparties selon la notation</t>
  </si>
  <si>
    <t>AAA à AA-</t>
  </si>
  <si>
    <t>A+ à A-</t>
  </si>
  <si>
    <t>BBB+ à BBB-</t>
  </si>
  <si>
    <t>BB+ à B-</t>
  </si>
  <si>
    <t>&lt; à B-</t>
  </si>
  <si>
    <t>sans notation</t>
  </si>
  <si>
    <t>Total des créances subordonnées</t>
  </si>
  <si>
    <t>Total des engagements de rang subordonné</t>
  </si>
  <si>
    <t>Capitaux propres</t>
  </si>
  <si>
    <t>Total des capitaux propres</t>
  </si>
  <si>
    <t>Engagements de libérer et d'effectuer des versements supplémentaires</t>
  </si>
  <si>
    <t>Crédits par engagement</t>
  </si>
  <si>
    <t>Modification texte</t>
  </si>
  <si>
    <t>Suppression ligne</t>
  </si>
  <si>
    <t>Valeurs de remplacement</t>
  </si>
  <si>
    <t>Actifs nantis / cédés</t>
  </si>
  <si>
    <t>Reclassification</t>
  </si>
  <si>
    <t>Différences de change</t>
  </si>
  <si>
    <t>Intérêts en souffrance, recouvrements</t>
  </si>
  <si>
    <t>Nouvelles constitutions à la charge du compte de résultat</t>
  </si>
  <si>
    <t>Dissolutions par le compte de résultat</t>
  </si>
  <si>
    <t>Total des provisions</t>
  </si>
  <si>
    <t>Correctifs de valeurs et provisions pour risques de défaillance des créances compromises</t>
  </si>
  <si>
    <t>Corrections de valeur, des provisions et des réserves pour risques bancaires généraux ainsi que de leurs variations durant l'exercice de référence</t>
  </si>
  <si>
    <t>Créances et engagements envers les parties liées</t>
  </si>
  <si>
    <t>Créances</t>
  </si>
  <si>
    <t>Engagements</t>
  </si>
  <si>
    <t>Participants qualifiés</t>
  </si>
  <si>
    <t>Affaires d'organes</t>
  </si>
  <si>
    <t>Autres parties liées</t>
  </si>
  <si>
    <t>Participants significatifs</t>
  </si>
  <si>
    <t>Nominal</t>
  </si>
  <si>
    <t>CBH Holding SA</t>
  </si>
  <si>
    <t>Participants directs</t>
  </si>
  <si>
    <t>Avec droit de vote</t>
  </si>
  <si>
    <t>Dont Participants indirects</t>
  </si>
  <si>
    <t>71.44%</t>
  </si>
  <si>
    <t>11.66%</t>
  </si>
  <si>
    <t>*Les principaux détenteurs du capital et des droits de vote de CBH Holding SA au 31.12.2015 sont:</t>
  </si>
  <si>
    <t>Bénéfice de l’exercice 2015</t>
  </si>
  <si>
    <t>Etat des capitaux propres</t>
  </si>
  <si>
    <t>Capital social</t>
  </si>
  <si>
    <t>Bénéfice de l'exercice 2015</t>
  </si>
  <si>
    <t>Commentaire</t>
  </si>
  <si>
    <t>Différende d'arrondi +1 avec le bilan</t>
  </si>
  <si>
    <t>Couvertures des créances et des opérations hors bilan ainsi que des créances compromises</t>
  </si>
  <si>
    <t>Titres de participations</t>
  </si>
  <si>
    <t>Toutes les opérations bilan et hors bilan ont été octroyées à des conditions conformes au marché.</t>
  </si>
  <si>
    <t>Actifs selon la solvabilité des groupes de pays (domicile du risque)</t>
  </si>
  <si>
    <t>Expositions nettes à l'étranger</t>
  </si>
  <si>
    <t>1</t>
  </si>
  <si>
    <t>2</t>
  </si>
  <si>
    <t>3</t>
  </si>
  <si>
    <t>4</t>
  </si>
  <si>
    <t>5</t>
  </si>
  <si>
    <t>6</t>
  </si>
  <si>
    <t>7</t>
  </si>
  <si>
    <t>Sans notation</t>
  </si>
  <si>
    <t>S&amp;P</t>
  </si>
  <si>
    <t>BBB+ - BBB-</t>
  </si>
  <si>
    <t>A+ - A-</t>
  </si>
  <si>
    <t>BB+ - BB-</t>
  </si>
  <si>
    <t>B+ - B-</t>
  </si>
  <si>
    <t>CCC+ - C</t>
  </si>
  <si>
    <t>Notation interne*</t>
  </si>
  <si>
    <t>AA+ - AA-</t>
  </si>
  <si>
    <t>AAA</t>
  </si>
  <si>
    <t xml:space="preserve">Placements fiduciaires auprès de sociétés tierces </t>
  </si>
  <si>
    <t>Autres opérations fiduciaires</t>
  </si>
  <si>
    <t>Autres avoirs administrés</t>
  </si>
  <si>
    <t xml:space="preserve">Dont prises en compte doubles </t>
  </si>
  <si>
    <t>Total des avoirs administrés (y compris prises en compte doubles)</t>
  </si>
  <si>
    <t>Evolution des avoirs administrés</t>
  </si>
  <si>
    <t>Total des avoirs administrés (y.c.prises en compte double) initiaux</t>
  </si>
  <si>
    <t>Total des avoirs administrés (y.c.prises en compte double) finaux</t>
  </si>
  <si>
    <t>Répartition par secteur d'activité</t>
  </si>
  <si>
    <t>Opération de négoce pour compte propre</t>
  </si>
  <si>
    <t>Opération de négoce pour le compte de clients</t>
  </si>
  <si>
    <r>
      <t xml:space="preserve">Indication d'un produit de refinancement significatif dans la rubrique </t>
    </r>
    <r>
      <rPr>
        <b/>
        <i/>
        <sz val="14"/>
        <color theme="4" tint="-0.249977111117893"/>
        <rFont val="Corbel"/>
        <family val="2"/>
      </rPr>
      <t xml:space="preserve">Produits des intérêts et des escomptes </t>
    </r>
    <r>
      <rPr>
        <b/>
        <sz val="14"/>
        <color theme="4" tint="-0.249977111117893"/>
        <rFont val="Corbel"/>
        <family val="2"/>
      </rPr>
      <t>ainsi que les intérêts négatifs significatifs</t>
    </r>
  </si>
  <si>
    <t>Intérêts négatifs</t>
  </si>
  <si>
    <t>Appointements</t>
  </si>
  <si>
    <t>Charges relatives à la technique de l'information et de la communication</t>
  </si>
  <si>
    <t>Honoraires de la société d'audit</t>
  </si>
  <si>
    <t xml:space="preserve"> - dont pour les prestations en matière d'audit financier et d'audit prudentiel</t>
  </si>
  <si>
    <t xml:space="preserve"> - dont pour les autres prestations de service</t>
  </si>
  <si>
    <t>Commentaires des pertes significatives ainsi que des produits et charges extraordinaires de même que des dissolutions significatives de réserves latentes, de réserves pour risques bancaires généraux et de correctifs de valeurs et provisions devenus libres</t>
  </si>
  <si>
    <t>Actifs mis en gage ou cédés en garantie de propres engagements ainsi que des actifs qui font l’objet d’une réserve de propriété</t>
  </si>
  <si>
    <t>Arrondi</t>
  </si>
  <si>
    <t>Collaborateurs</t>
  </si>
  <si>
    <t>Nombre
Droits de participation</t>
  </si>
  <si>
    <t>Valeur
Droits de participation</t>
  </si>
  <si>
    <t>Impôts courants</t>
  </si>
  <si>
    <t>Supprimer ligne</t>
  </si>
  <si>
    <t>Dividendes et autres distributions</t>
  </si>
  <si>
    <t>Autres dotations / (prélèvements) affectant les autres réserves</t>
  </si>
  <si>
    <t>Impôts courants et latents, avec indication du taux d'imposition</t>
  </si>
  <si>
    <t>Contrôle avec P&amp;P 2014</t>
  </si>
  <si>
    <t>Contrôle avec P&amp;P 2015</t>
  </si>
  <si>
    <t>Impôts indirects</t>
  </si>
  <si>
    <t>Comptes d'ordre</t>
  </si>
  <si>
    <t>Contrôle avec bilan 2014</t>
  </si>
  <si>
    <t>Contrôle avec bilan 2015</t>
  </si>
  <si>
    <t>Réserve légale issue du capital</t>
  </si>
  <si>
    <t>Reclass.2015
Nouvelles PCB</t>
  </si>
  <si>
    <t>Situation économique des propres institutions de prévoyance</t>
  </si>
  <si>
    <t>La prévoyance de retraite couvrant l’ensemble du personnel de la Banque repose sur un plan de prévoyance en primauté des cotisations. Les avoirs de prévoyance sont détenus par la fondation de prévoyance en faveur du personnel de CBH Compagnie Bancaire Helvétique SA et sociétés affiliées, une fondation semi-autonome.</t>
  </si>
  <si>
    <t>Au 31 décembre 2015, le compte courant employeur auprès de la caisse de pension présentait un solde débiteur de CHF 58'467 (2014: CHF 38’663).</t>
  </si>
  <si>
    <t>Part économique de la banque / du groupe financier</t>
  </si>
  <si>
    <t>Modification de la part économique par rapport à l'année 2014 (avantage / engagement économique)</t>
  </si>
  <si>
    <t>Charges de prévoyance dans les charges de personnnel</t>
  </si>
  <si>
    <t>Repartition du résultat des operations de négoce et de l'option de la juste valeur</t>
  </si>
  <si>
    <t xml:space="preserve">   dont provenant de l'option de la juste valeur</t>
  </si>
  <si>
    <t>Produits de refinancement dans la rubrique "Produit des intérêts et des escomptes"</t>
  </si>
  <si>
    <t>Le produit des intérêts et des escomptes n'est pas crédité de coûts de refinancement des opérations de négoce.</t>
  </si>
  <si>
    <t>Les intérêts négatifs concernant les opérations actives sont présentés comme réduction du produit des intérêts et des escomptes, et les intérêts négatifs concernant les opérations passives comme réduction des charges d’intérêts.</t>
  </si>
  <si>
    <t>Intérêts négatifs concernant les opérations actives (réduction du produit des intérêts et des escomptes)</t>
  </si>
  <si>
    <t>Intérêts négatifs concernant les opérations passives (réduction des charges d’intérêts)</t>
  </si>
  <si>
    <t>Plan de prévoyance avec excédent</t>
  </si>
  <si>
    <t>Cotisations total versées CHF 3'044'200</t>
  </si>
  <si>
    <t>Etranger</t>
  </si>
  <si>
    <t>Suisse</t>
  </si>
  <si>
    <t>Europe</t>
  </si>
  <si>
    <t>Canada</t>
  </si>
  <si>
    <t>Au 31 décembre 2015, il n’existait aucun litige significatif à l’encontre de la Banque nécessitant une mention dans l’annexe aux états financiers.</t>
  </si>
  <si>
    <t xml:space="preserve"> dont établis au moyen d'un modèle d'évaluation</t>
  </si>
  <si>
    <t>Au cours de l'exercice sous revue, la Banque n'a enregistré aucunes pertes ni produits extraordinaires significatives. De même qu'aucune dissolution de réserves latentes, de réserves pour risques bancaires généraux et provisions devenus libres n'a été enregistrée.</t>
  </si>
  <si>
    <t>Durant l'année 2015, la Banque a enregistré un Goodwill en relation avec l'acquisition de la clientèle BPES d'un montant de CHF 1,35 mios. Ce dernier a été entièrement amorti au cours de l'exercice sous le poste "Correctifs de valeurs sur participations, amortissements sur immobilisations et valeurs immatérielles".</t>
  </si>
  <si>
    <t>Adaptations de valeur relatives aux avantages et engagements économiques découlant des institutions de prévoyance</t>
  </si>
  <si>
    <t>Swaps</t>
  </si>
  <si>
    <t>dont participations qualifiées</t>
  </si>
  <si>
    <t>Durantl'exercice 2014, la Banque a repris d'une banque suisse pour CHF 922'974 d'avoirs administrés. Cette reprise est publiée sous "Autres effets".</t>
  </si>
  <si>
    <t>La Banque détermine le montant net d’argent frais en se basant sur les apports et retraits de fonds ainsi que de valeurs patrimoniales de la clientèle.  Le montant net d’argent frais s’entend hors variations liées au marché, aux cours de change et ne tient pas compte des d'intérêts et dividendes. Les frais et commissions sont considérés comme des apports/retraits.</t>
  </si>
  <si>
    <t>Avoirs administrés</t>
  </si>
  <si>
    <t>Genre d'avoirs administrés</t>
  </si>
  <si>
    <t>Engagement envers les propres institutions de prévoyance professionnelle ainsi que du nombre et du type d'instruments de capitaux propres de la banque détenus par ces institutions</t>
  </si>
  <si>
    <t>Engagements résultant des dépôts de la clientèle</t>
  </si>
  <si>
    <t>Valeurs de remplacement négatives d’instruments financiers dérivés</t>
  </si>
  <si>
    <t>Engagements envers les propres institutions de pévoyance professionnelle</t>
  </si>
  <si>
    <t>Comptes de régularisation passifs</t>
  </si>
  <si>
    <t>Instruments de capitaux propres de la banque</t>
  </si>
  <si>
    <t>Aucune réserve de contribution de l’employeur n’existe à la date du bilan (2014: aucune).</t>
  </si>
  <si>
    <t>Les chiffres présentés relatifs à l'année 2015 n'ont pas été audités à la date de publication du présent rapport.</t>
  </si>
  <si>
    <t xml:space="preserve">L’institution de prévoyance  établit ses comptes selon les recommandations de présentation des comptes Swiss GAAP RPC 26. </t>
  </si>
  <si>
    <r>
      <t xml:space="preserve">En date du 31.12.2015, le degré de couverture s'élève à 106% (2014: 114,12%).  </t>
    </r>
    <r>
      <rPr>
        <sz val="12"/>
        <color theme="4" tint="-0.249977111117893"/>
        <rFont val="Corbel"/>
        <family val="2"/>
      </rPr>
      <t>Il n’existe, à cette date, aucun avantage ou engagement économique (2014: aucun).</t>
    </r>
  </si>
  <si>
    <t>Trois plans de prévoyance sont accessibles aux collaborateurs de la Banque et pour lesquels le financement est assuré aussi bien par l'employeur que par l'employé. Seul la contribution de l'employé varie en fonction du plan choisi.</t>
  </si>
  <si>
    <t>Avantage / engagement économique et charges de prévoyance</t>
  </si>
  <si>
    <t>31.12.2014</t>
  </si>
  <si>
    <t>31.12.2015</t>
  </si>
  <si>
    <t>Total des prêts (avant compensation avec les corrections de valeur)</t>
  </si>
  <si>
    <t>Total des prêts (après compensation avec les corrections de valeur)</t>
  </si>
  <si>
    <t>Utilisations conformes au but</t>
  </si>
  <si>
    <t>Les avoirs administrés comprennent tous les avoirs de la clientèle ayant caractère de placement en dépôt auprès de la Banque ainsi que les avoirs de la clientèle déposés auprès de banques tierces mais administrés par la Banque. Ne sont pas compris les avoirs en dépôt auprès de la Banque, qui sont administrés par des tiers (avoirs en simple dépôt). Sont traités comme simples dépôts les avoirs de banques de même que ceux des directions de fonds pour lesquels la Banque fait exclusivement fonction de banques dépositaires.</t>
  </si>
  <si>
    <t>Les avoirs sous mandat de gestion comprennent les avoirs de la clientèle pour lesquels les décisions de placement sont prises par la Banque. Les autres avoirs administrés sont ceux pour lesquels les décisions de placement sont prises par le client.</t>
  </si>
  <si>
    <t>Taux d'imposition moyen pondéré</t>
  </si>
  <si>
    <t>Excédent / insuffisance de couverture au</t>
  </si>
  <si>
    <t xml:space="preserve">Cotisations payées pour </t>
  </si>
  <si>
    <t>Avoirs détenus par des instruments de placement collectifs sous gestion propre (banque)</t>
  </si>
  <si>
    <t>Présentation des fonds propres pouvant être pris en compte</t>
  </si>
  <si>
    <t>Calcul des fonds propres</t>
  </si>
  <si>
    <t>CET1 - fonds propres de base durs</t>
  </si>
  <si>
    <t>AT1 - fonds propres de base additionnels</t>
  </si>
  <si>
    <t xml:space="preserve">T2 - fonds propres complémentaires  </t>
  </si>
  <si>
    <t>Total des fonds propres pris en compte</t>
  </si>
  <si>
    <t>Presentation des fonds propres requis (non audité)</t>
  </si>
  <si>
    <t>Approche utilisée</t>
  </si>
  <si>
    <t>Exigences de fonds propres</t>
  </si>
  <si>
    <t>Risques de crédit</t>
  </si>
  <si>
    <t>Standard international</t>
  </si>
  <si>
    <t>Risques non liés à des contreparties</t>
  </si>
  <si>
    <t>Standard</t>
  </si>
  <si>
    <t>Risques de marché</t>
  </si>
  <si>
    <t>dont sur devises</t>
  </si>
  <si>
    <t>dont sur matières premières (métaux précieux)</t>
  </si>
  <si>
    <t>Risques opérationnels</t>
  </si>
  <si>
    <t>Indicateur de base</t>
  </si>
  <si>
    <t>Risques de cours relatifs aux titres de participation dans le  portefeuille de la banque</t>
  </si>
  <si>
    <t>–</t>
  </si>
  <si>
    <t>+/- Apports / (retraits) nets d’argent frais</t>
  </si>
  <si>
    <t>+/- Evolution des cours, intérêts, dividendes et évolution de change</t>
  </si>
  <si>
    <t>+/- Autres effets</t>
  </si>
  <si>
    <t>Total hors bilan</t>
  </si>
  <si>
    <t>Total avant / après prise en compte des contrats de netting</t>
  </si>
  <si>
    <t>Comptes de régularisation (actif)</t>
  </si>
  <si>
    <t>Comptes de régularisation (passif)</t>
  </si>
  <si>
    <t>Valeurs comptables</t>
  </si>
  <si>
    <t>Ratio CET1 - fonds propres de base durs</t>
  </si>
  <si>
    <t>Ratio TIER1 - fonds propres (CET1 + AT1)</t>
  </si>
  <si>
    <t>Ratio relatif aux fonds propres réglementaires totaux</t>
  </si>
  <si>
    <t>Ratio de liquidité</t>
  </si>
  <si>
    <t>Exigences en CET1 selon les dispositions transitoires de l’OFR</t>
  </si>
  <si>
    <t>Total des actifs liquides de haute qualité</t>
  </si>
  <si>
    <t>Total des sorties nettes de fonds</t>
  </si>
  <si>
    <t>Ratio de liquidité à court terme (LCR)</t>
  </si>
  <si>
    <t>CET1 disponible afin de couvrir les exigences minimales et les exigences en volants, après déduction des exigences en AT1 et T2 qui sont couvertes par du CET1</t>
  </si>
  <si>
    <t>Objectif du CET 1 selon Circ.-FINMA 11/2 majoré du volant anticyclique</t>
  </si>
  <si>
    <t>CET1 disponible</t>
  </si>
  <si>
    <t>Objectif de fonds propres T1 selon Circ.-FINMA 11/2 majoré du volant anticyclique</t>
  </si>
  <si>
    <t>T1 disponible</t>
  </si>
  <si>
    <t>Objectif de fonds propres réglementaires selon Circ.-FINMA 11/2 majoré du volant anticyclique</t>
  </si>
  <si>
    <t>Fonds propres réglementaires disponibles</t>
  </si>
  <si>
    <t>Ratio de levier</t>
  </si>
  <si>
    <t>Engagement total</t>
  </si>
  <si>
    <t>Le capital-actions se compose d'actions nominatives et est entièrement libéré.</t>
  </si>
  <si>
    <t>Informations relatives aux exigences de fonds propres</t>
  </si>
  <si>
    <t>Informations relatives aux ratios de fonds propres, ratio de liquidité à court terme (LCR) et au ratio de levier</t>
  </si>
  <si>
    <t xml:space="preserve">Q4 2015
</t>
  </si>
  <si>
    <t xml:space="preserve">Q3 2015
</t>
  </si>
  <si>
    <t xml:space="preserve">Q2 2015
</t>
  </si>
  <si>
    <t xml:space="preserve">Q1 2015
</t>
  </si>
  <si>
    <t>Ratios de fonds propres</t>
  </si>
  <si>
    <t>Moyenne</t>
  </si>
  <si>
    <t>Valeurs de remplacement positives (avant/après prise en compte des contrats de netting)</t>
  </si>
  <si>
    <t>Titres de créance, valeur comptable</t>
  </si>
  <si>
    <t>Membres du conseil d'administration</t>
  </si>
  <si>
    <t>Membres des organes de direction</t>
  </si>
  <si>
    <t>Nombre et valeur des droits de participations ou des options sur de tels droits accordés à tous les membres des organes de direction et d'administration ainsi qu'aux collaborateurs</t>
  </si>
  <si>
    <t>* La Banque utilise son propre système de notation interne en matière de risques souverains, ces ratings sont présentés ci-dessus avec les correspondances des ratings de l'agence S&amp;P.</t>
  </si>
  <si>
    <r>
      <t xml:space="preserve"> - </t>
    </r>
    <r>
      <rPr>
        <i/>
        <sz val="12"/>
        <color rgb="FF00B050"/>
        <rFont val="Corbel"/>
        <family val="2"/>
      </rPr>
      <t>dont charges en relation avec les rémunérations basées sur les actions et les formes alternatives de la rémunération variable</t>
    </r>
  </si>
  <si>
    <t>Sociétés du Groupe</t>
  </si>
  <si>
    <t xml:space="preserve"> Les notations présentées ci-dessus sont celles de l'agence Fitch. A défaut, la Banque recourt aux notations de l'agence S&amp;P.</t>
  </si>
  <si>
    <t>L'institution de prévoyance ne détient pas d'instruments de capitaux propres de la Banque.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</si>
</sst>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 _f_r_._-;\-* #,##0\ _f_r_._-;_-* &quot;-&quot;\ _f_r_._-;_-@_-"/>
    <numFmt numFmtId="165" formatCode="_(* #,##0.00_);_(* \(#,##0.00\);_(* &quot;-&quot;??_);_(@_)"/>
    <numFmt numFmtId="166" formatCode="#,##0.00_ ;[Red]\-#,##0.00\ "/>
    <numFmt numFmtId="167" formatCode="#,##0.00_ ;\-#,##0.00\ "/>
    <numFmt numFmtId="168" formatCode="#,##0_ ;\-#,##0\ "/>
  </numFmts>
  <fonts count="82" x14ac:knownFonts="1">
    <font>
      <sz val="12"/>
      <color theme="1"/>
      <name val="Calibri"/>
      <family val="2"/>
      <scheme val="minor"/>
    </font>
    <font>
      <sz val="12"/>
      <color theme="1"/>
      <name val="Calibri"/>
      <family val="2"/>
      <scheme val="minor"/>
    </font>
    <font>
      <sz val="12"/>
      <color theme="1"/>
      <name val="Calibri"/>
      <family val="2"/>
      <charset val="129"/>
      <scheme val="minor"/>
    </font>
    <font>
      <sz val="12"/>
      <color theme="1"/>
      <name val="Calibri"/>
      <family val="2"/>
      <scheme val="minor"/>
    </font>
    <font>
      <u/>
      <sz val="12"/>
      <color theme="10"/>
      <name val="Calibri"/>
      <family val="2"/>
      <scheme val="minor"/>
    </font>
    <font>
      <u/>
      <sz val="12"/>
      <color theme="11"/>
      <name val="Calibri"/>
      <family val="2"/>
      <scheme val="minor"/>
    </font>
    <font>
      <b/>
      <i/>
      <sz val="12"/>
      <color theme="4" tint="-0.249977111117893"/>
      <name val="Calibri"/>
      <family val="2"/>
      <scheme val="minor"/>
    </font>
    <font>
      <sz val="10"/>
      <color theme="1" tint="0.34998626667073579"/>
      <name val="Consolas"/>
      <family val="3"/>
    </font>
    <font>
      <b/>
      <sz val="10"/>
      <color rgb="FFFF0000"/>
      <name val="Consolas"/>
      <family val="3"/>
    </font>
    <font>
      <sz val="14"/>
      <color rgb="FFFF0000"/>
      <name val="Consolas"/>
      <family val="3"/>
    </font>
    <font>
      <b/>
      <i/>
      <sz val="14"/>
      <color rgb="FFFF0000"/>
      <name val="Calibri"/>
      <family val="2"/>
      <scheme val="minor"/>
    </font>
    <font>
      <i/>
      <sz val="7"/>
      <color theme="9"/>
      <name val="Consolas"/>
      <family val="3"/>
    </font>
    <font>
      <i/>
      <sz val="8"/>
      <color theme="4" tint="-0.249977111117893"/>
      <name val="Calibri"/>
      <family val="2"/>
      <scheme val="minor"/>
    </font>
    <font>
      <sz val="10"/>
      <color theme="4" tint="-0.249977111117893"/>
      <name val="Calibri"/>
      <family val="2"/>
      <scheme val="minor"/>
    </font>
    <font>
      <sz val="10"/>
      <color theme="1"/>
      <name val="Consolas"/>
      <family val="3"/>
    </font>
    <font>
      <sz val="10"/>
      <name val="MS Sans Serif"/>
      <family val="2"/>
    </font>
    <font>
      <sz val="8"/>
      <name val="Calibri"/>
      <family val="2"/>
      <scheme val="minor"/>
    </font>
    <font>
      <b/>
      <i/>
      <sz val="14"/>
      <color theme="4" tint="-0.249977111117893"/>
      <name val="Corbel"/>
      <family val="2"/>
    </font>
    <font>
      <sz val="12"/>
      <color theme="1"/>
      <name val="Corbel"/>
      <family val="2"/>
    </font>
    <font>
      <b/>
      <sz val="12"/>
      <color theme="4" tint="-0.249977111117893"/>
      <name val="Corbel"/>
      <family val="2"/>
    </font>
    <font>
      <b/>
      <sz val="12"/>
      <color theme="1"/>
      <name val="Corbel"/>
      <family val="2"/>
    </font>
    <font>
      <sz val="12"/>
      <color theme="4" tint="-0.249977111117893"/>
      <name val="Corbel"/>
      <family val="2"/>
    </font>
    <font>
      <sz val="12"/>
      <color theme="1"/>
      <name val="Consolas"/>
      <family val="3"/>
    </font>
    <font>
      <sz val="12"/>
      <color theme="0" tint="-0.499984740745262"/>
      <name val="Consolas"/>
      <family val="3"/>
    </font>
    <font>
      <b/>
      <sz val="12"/>
      <color theme="1"/>
      <name val="Consolas"/>
      <family val="3"/>
    </font>
    <font>
      <b/>
      <sz val="12"/>
      <color theme="0" tint="-0.499984740745262"/>
      <name val="Consolas"/>
      <family val="3"/>
    </font>
    <font>
      <i/>
      <sz val="10"/>
      <color theme="4" tint="-0.249977111117893"/>
      <name val="Corbel"/>
      <family val="2"/>
    </font>
    <font>
      <i/>
      <sz val="10"/>
      <color theme="4" tint="-0.249977111117893"/>
      <name val="Consolas"/>
      <family val="3"/>
    </font>
    <font>
      <b/>
      <sz val="14"/>
      <color theme="4" tint="-0.249977111117893"/>
      <name val="Corbel"/>
      <family val="2"/>
    </font>
    <font>
      <i/>
      <sz val="10"/>
      <color rgb="FF366092"/>
      <name val="Consolas"/>
      <family val="3"/>
    </font>
    <font>
      <sz val="18"/>
      <color theme="4" tint="-0.249977111117893"/>
      <name val="Corbel"/>
      <family val="2"/>
    </font>
    <font>
      <i/>
      <sz val="10"/>
      <color theme="4" tint="0.39997558519241921"/>
      <name val="Consolas"/>
      <family val="3"/>
    </font>
    <font>
      <i/>
      <sz val="10"/>
      <color theme="4" tint="0.39997558519241921"/>
      <name val="Corbel"/>
      <family val="2"/>
    </font>
    <font>
      <sz val="12"/>
      <color theme="4" tint="0.39997558519241921"/>
      <name val="Corbel"/>
      <family val="2"/>
    </font>
    <font>
      <sz val="12"/>
      <color theme="1" tint="0.499984740745262"/>
      <name val="Consolas"/>
      <family val="3"/>
    </font>
    <font>
      <sz val="12"/>
      <color theme="1" tint="0.499984740745262"/>
      <name val="Corbel"/>
      <family val="2"/>
    </font>
    <font>
      <b/>
      <i/>
      <sz val="10"/>
      <color theme="4" tint="-0.249977111117893"/>
      <name val="Corbel"/>
      <family val="2"/>
    </font>
    <font>
      <sz val="12"/>
      <color theme="4" tint="-0.249977111117893"/>
      <name val="Consolas"/>
      <family val="3"/>
    </font>
    <font>
      <b/>
      <sz val="12"/>
      <color theme="4" tint="-0.249977111117893"/>
      <name val="Consolas"/>
      <family val="3"/>
    </font>
    <font>
      <i/>
      <sz val="12"/>
      <color theme="4" tint="-0.249977111117893"/>
      <name val="Corbel"/>
      <family val="2"/>
    </font>
    <font>
      <i/>
      <sz val="12"/>
      <color theme="1"/>
      <name val="Corbel"/>
      <family val="2"/>
    </font>
    <font>
      <i/>
      <sz val="12"/>
      <color theme="0" tint="-0.499984740745262"/>
      <name val="Corbel"/>
      <family val="2"/>
    </font>
    <font>
      <b/>
      <sz val="14"/>
      <color rgb="FFFF0000"/>
      <name val="Corbel"/>
      <family val="2"/>
    </font>
    <font>
      <i/>
      <sz val="10"/>
      <color rgb="FFFF0000"/>
      <name val="Consolas"/>
      <family val="3"/>
    </font>
    <font>
      <sz val="12"/>
      <color rgb="FFFF0000"/>
      <name val="Corbel"/>
      <family val="2"/>
    </font>
    <font>
      <i/>
      <sz val="10"/>
      <color rgb="FFFF0000"/>
      <name val="Corbel"/>
      <family val="2"/>
    </font>
    <font>
      <b/>
      <i/>
      <sz val="14"/>
      <color theme="1"/>
      <name val="Corbel"/>
      <family val="2"/>
    </font>
    <font>
      <sz val="18"/>
      <color theme="9"/>
      <name val="Corbel"/>
      <family val="2"/>
    </font>
    <font>
      <sz val="12"/>
      <color rgb="FFFF0000"/>
      <name val="Consolas"/>
      <family val="3"/>
    </font>
    <font>
      <sz val="12"/>
      <color rgb="FF00B050"/>
      <name val="Corbel"/>
      <family val="2"/>
    </font>
    <font>
      <sz val="12"/>
      <color rgb="FF00B050"/>
      <name val="Consolas"/>
      <family val="3"/>
    </font>
    <font>
      <sz val="9"/>
      <color indexed="81"/>
      <name val="Tahoma"/>
      <family val="2"/>
    </font>
    <font>
      <b/>
      <sz val="9"/>
      <color indexed="81"/>
      <name val="Tahoma"/>
      <family val="2"/>
    </font>
    <font>
      <b/>
      <sz val="12"/>
      <color rgb="FFFF0000"/>
      <name val="Corbel"/>
      <family val="2"/>
    </font>
    <font>
      <sz val="10"/>
      <color theme="1"/>
      <name val="Arial"/>
      <family val="2"/>
    </font>
    <font>
      <b/>
      <sz val="12"/>
      <name val="Consolas"/>
      <family val="3"/>
    </font>
    <font>
      <b/>
      <sz val="14"/>
      <color rgb="FF00B050"/>
      <name val="Corbel"/>
      <family val="2"/>
    </font>
    <font>
      <b/>
      <sz val="12"/>
      <color rgb="FF00B050"/>
      <name val="Corbel"/>
      <family val="2"/>
    </font>
    <font>
      <sz val="10"/>
      <color theme="4" tint="-0.249977111117893"/>
      <name val="Consolas"/>
      <family val="3"/>
    </font>
    <font>
      <b/>
      <sz val="12"/>
      <color rgb="FF00B050"/>
      <name val="Consolas"/>
      <family val="3"/>
    </font>
    <font>
      <b/>
      <i/>
      <sz val="14"/>
      <color rgb="FFFF0000"/>
      <name val="Corbel"/>
      <family val="2"/>
    </font>
    <font>
      <i/>
      <sz val="10"/>
      <color rgb="FF00B050"/>
      <name val="Corbel"/>
      <family val="2"/>
    </font>
    <font>
      <strike/>
      <sz val="12"/>
      <color rgb="FFFF0000"/>
      <name val="Cambria"/>
      <family val="1"/>
    </font>
    <font>
      <b/>
      <sz val="12"/>
      <color rgb="FFFF0000"/>
      <name val="Consolas"/>
      <family val="3"/>
    </font>
    <font>
      <b/>
      <strike/>
      <sz val="12"/>
      <color rgb="FFFF0000"/>
      <name val="Cambria"/>
      <family val="1"/>
    </font>
    <font>
      <strike/>
      <sz val="12"/>
      <color theme="1"/>
      <name val="Cambria"/>
      <family val="1"/>
    </font>
    <font>
      <strike/>
      <sz val="12"/>
      <color theme="0" tint="-0.499984740745262"/>
      <name val="Cambria"/>
      <family val="1"/>
    </font>
    <font>
      <sz val="18"/>
      <color rgb="FFFF0000"/>
      <name val="Corbel"/>
      <family val="2"/>
    </font>
    <font>
      <sz val="12"/>
      <color rgb="FFFF0000"/>
      <name val="Calibri"/>
      <family val="2"/>
      <scheme val="minor"/>
    </font>
    <font>
      <sz val="12"/>
      <color theme="4" tint="-0.249977111117893"/>
      <name val="Calibri"/>
      <family val="2"/>
      <scheme val="minor"/>
    </font>
    <font>
      <sz val="12"/>
      <color theme="4" tint="0.39997558519241921"/>
      <name val="Calibri"/>
      <family val="2"/>
    </font>
    <font>
      <i/>
      <sz val="12"/>
      <color theme="1"/>
      <name val="Consolas"/>
      <family val="3"/>
    </font>
    <font>
      <i/>
      <sz val="12"/>
      <color theme="0" tint="-0.499984740745262"/>
      <name val="Consolas"/>
      <family val="3"/>
    </font>
    <font>
      <i/>
      <sz val="12"/>
      <color rgb="FF00B050"/>
      <name val="Corbel"/>
      <family val="2"/>
    </font>
    <font>
      <sz val="12"/>
      <color theme="0" tint="-0.499984740745262"/>
      <name val="Corbel"/>
      <family val="2"/>
    </font>
    <font>
      <b/>
      <i/>
      <sz val="12"/>
      <color theme="4" tint="-0.249977111117893"/>
      <name val="Corbel"/>
      <family val="2"/>
    </font>
    <font>
      <sz val="14"/>
      <color theme="4" tint="-0.249977111117893"/>
      <name val="Corbel"/>
      <family val="2"/>
    </font>
    <font>
      <i/>
      <sz val="12"/>
      <color rgb="FFFF0000"/>
      <name val="Corbel"/>
      <family val="2"/>
    </font>
    <font>
      <b/>
      <strike/>
      <sz val="12"/>
      <color rgb="FFFF0000"/>
      <name val="Corbel"/>
      <family val="2"/>
    </font>
    <font>
      <i/>
      <sz val="10"/>
      <color theme="1"/>
      <name val="Corbel"/>
      <family val="2"/>
    </font>
    <font>
      <b/>
      <i/>
      <sz val="10"/>
      <color theme="1"/>
      <name val="Corbel"/>
      <family val="2"/>
    </font>
    <font>
      <b/>
      <sz val="12"/>
      <color theme="3"/>
      <name val="Corbel"/>
      <family val="2"/>
    </font>
  </fonts>
  <fills count="5">
    <fill>
      <patternFill patternType="none"/>
    </fill>
    <fill>
      <patternFill patternType="gray125"/>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top style="thin">
        <color theme="4" tint="0.59999389629810485"/>
      </top>
      <bottom style="thin">
        <color theme="4" tint="0.59999389629810485"/>
      </bottom>
      <diagonal/>
    </border>
    <border>
      <left/>
      <right/>
      <top style="thin">
        <color rgb="FFB8CCE4"/>
      </top>
      <bottom style="thin">
        <color rgb="FFB8CCE4"/>
      </bottom>
      <diagonal/>
    </border>
    <border>
      <left/>
      <right/>
      <top/>
      <bottom style="thin">
        <color theme="4" tint="0.59999389629810485"/>
      </bottom>
      <diagonal/>
    </border>
    <border>
      <left/>
      <right/>
      <top style="thin">
        <color theme="4" tint="0.59999389629810485"/>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833">
    <xf numFmtId="0" fontId="0" fillId="0" borderId="0"/>
    <xf numFmtId="165"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lignment horizontal="left"/>
    </xf>
    <xf numFmtId="0" fontId="7" fillId="0" borderId="0"/>
    <xf numFmtId="4" fontId="11" fillId="0" borderId="0"/>
    <xf numFmtId="49" fontId="12" fillId="0" borderId="1">
      <alignment horizontal="right" wrapText="1"/>
    </xf>
    <xf numFmtId="0" fontId="13" fillId="0" borderId="1">
      <alignment horizontal="left"/>
    </xf>
    <xf numFmtId="3" fontId="14" fillId="0" borderId="1">
      <alignment horizontal="right"/>
    </xf>
    <xf numFmtId="0" fontId="15"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5"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5"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36">
    <xf numFmtId="0" fontId="0" fillId="0" borderId="0" xfId="0"/>
    <xf numFmtId="0" fontId="6" fillId="0" borderId="0" xfId="4">
      <alignment horizontal="left"/>
    </xf>
    <xf numFmtId="0" fontId="8" fillId="0" borderId="0" xfId="5" applyFont="1"/>
    <xf numFmtId="0" fontId="9" fillId="0" borderId="0" xfId="5" applyFont="1"/>
    <xf numFmtId="0" fontId="10" fillId="0" borderId="0" xfId="5" applyFont="1" applyAlignment="1">
      <alignment horizontal="right"/>
    </xf>
    <xf numFmtId="0" fontId="9" fillId="0" borderId="0" xfId="5" applyFont="1" applyAlignment="1">
      <alignment horizontal="right"/>
    </xf>
    <xf numFmtId="0" fontId="17" fillId="0" borderId="0" xfId="4" applyNumberFormat="1" applyFont="1" applyFill="1">
      <alignment horizontal="left"/>
    </xf>
    <xf numFmtId="4" fontId="18" fillId="0" borderId="0" xfId="1" applyNumberFormat="1" applyFont="1" applyFill="1"/>
    <xf numFmtId="0" fontId="18" fillId="0" borderId="0" xfId="0" applyFont="1" applyFill="1"/>
    <xf numFmtId="49" fontId="19" fillId="0" borderId="1" xfId="8" applyNumberFormat="1" applyFont="1" applyFill="1">
      <alignment horizontal="left"/>
    </xf>
    <xf numFmtId="0" fontId="20" fillId="0" borderId="0" xfId="0" applyFont="1" applyFill="1"/>
    <xf numFmtId="49" fontId="18" fillId="0" borderId="0" xfId="0" applyNumberFormat="1" applyFont="1" applyFill="1"/>
    <xf numFmtId="49" fontId="21" fillId="0" borderId="1" xfId="8" applyNumberFormat="1" applyFont="1" applyFill="1">
      <alignment horizontal="left"/>
    </xf>
    <xf numFmtId="4" fontId="22" fillId="0" borderId="1" xfId="9" applyNumberFormat="1" applyFont="1" applyFill="1">
      <alignment horizontal="right"/>
    </xf>
    <xf numFmtId="4" fontId="23" fillId="0" borderId="1" xfId="9" applyNumberFormat="1" applyFont="1" applyFill="1">
      <alignment horizontal="right"/>
    </xf>
    <xf numFmtId="4" fontId="24" fillId="0" borderId="1" xfId="9" applyNumberFormat="1" applyFont="1" applyFill="1">
      <alignment horizontal="right"/>
    </xf>
    <xf numFmtId="4" fontId="25" fillId="0" borderId="1" xfId="9" applyNumberFormat="1" applyFont="1" applyFill="1">
      <alignment horizontal="right"/>
    </xf>
    <xf numFmtId="0" fontId="26" fillId="0" borderId="1" xfId="1" applyNumberFormat="1" applyFont="1" applyFill="1" applyBorder="1" applyAlignment="1">
      <alignment horizontal="right" wrapText="1"/>
    </xf>
    <xf numFmtId="0" fontId="27" fillId="0" borderId="1" xfId="1" applyNumberFormat="1" applyFont="1" applyFill="1" applyBorder="1" applyAlignment="1">
      <alignment horizontal="right" wrapText="1"/>
    </xf>
    <xf numFmtId="4" fontId="27" fillId="0" borderId="1" xfId="7" applyNumberFormat="1" applyFont="1" applyFill="1">
      <alignment horizontal="right" wrapText="1"/>
    </xf>
    <xf numFmtId="49" fontId="28" fillId="0" borderId="1" xfId="8" applyNumberFormat="1" applyFont="1" applyFill="1">
      <alignment horizontal="left"/>
    </xf>
    <xf numFmtId="49" fontId="21" fillId="0" borderId="1" xfId="8" applyNumberFormat="1" applyFont="1" applyFill="1" applyAlignment="1">
      <alignment horizontal="left" indent="1"/>
    </xf>
    <xf numFmtId="0" fontId="29" fillId="0" borderId="2" xfId="0" applyFont="1" applyBorder="1" applyAlignment="1">
      <alignment horizontal="right" wrapText="1"/>
    </xf>
    <xf numFmtId="0" fontId="30" fillId="0" borderId="0" xfId="4" applyNumberFormat="1" applyFont="1" applyFill="1">
      <alignment horizontal="left"/>
    </xf>
    <xf numFmtId="4" fontId="31" fillId="0" borderId="1" xfId="7" applyNumberFormat="1" applyFont="1" applyFill="1">
      <alignment horizontal="right" wrapText="1"/>
    </xf>
    <xf numFmtId="3" fontId="22" fillId="0" borderId="1" xfId="9" applyNumberFormat="1" applyFont="1" applyFill="1">
      <alignment horizontal="right"/>
    </xf>
    <xf numFmtId="3" fontId="23" fillId="0" borderId="1" xfId="9" applyNumberFormat="1" applyFont="1" applyFill="1">
      <alignment horizontal="right"/>
    </xf>
    <xf numFmtId="3" fontId="24" fillId="0" borderId="1" xfId="9" applyNumberFormat="1" applyFont="1" applyFill="1">
      <alignment horizontal="right"/>
    </xf>
    <xf numFmtId="3" fontId="25" fillId="0" borderId="1" xfId="9" applyNumberFormat="1" applyFont="1" applyFill="1">
      <alignment horizontal="right"/>
    </xf>
    <xf numFmtId="4" fontId="31" fillId="0" borderId="2" xfId="0" applyNumberFormat="1" applyFont="1" applyBorder="1" applyAlignment="1">
      <alignment horizontal="right" wrapText="1"/>
    </xf>
    <xf numFmtId="3" fontId="18" fillId="0" borderId="0" xfId="1" applyNumberFormat="1" applyFont="1" applyFill="1"/>
    <xf numFmtId="49" fontId="21" fillId="0" borderId="1" xfId="8" applyNumberFormat="1" applyFont="1" applyFill="1" applyAlignment="1">
      <alignment horizontal="left"/>
    </xf>
    <xf numFmtId="0" fontId="32" fillId="0" borderId="1" xfId="1" applyNumberFormat="1" applyFont="1" applyFill="1" applyBorder="1" applyAlignment="1">
      <alignment horizontal="right" wrapText="1"/>
    </xf>
    <xf numFmtId="3" fontId="18" fillId="0" borderId="0" xfId="0" applyNumberFormat="1" applyFont="1" applyFill="1"/>
    <xf numFmtId="0" fontId="19" fillId="0" borderId="1" xfId="8" applyNumberFormat="1" applyFont="1" applyFill="1" applyAlignment="1">
      <alignment horizontal="left" indent="1"/>
    </xf>
    <xf numFmtId="0" fontId="33" fillId="0" borderId="1" xfId="8" applyNumberFormat="1" applyFont="1" applyFill="1" applyAlignment="1">
      <alignment horizontal="left" indent="1"/>
    </xf>
    <xf numFmtId="3" fontId="34" fillId="0" borderId="1" xfId="9" applyNumberFormat="1" applyFont="1" applyFill="1">
      <alignment horizontal="right"/>
    </xf>
    <xf numFmtId="0" fontId="35" fillId="0" borderId="0" xfId="0" applyFont="1" applyFill="1"/>
    <xf numFmtId="0" fontId="35" fillId="0" borderId="1" xfId="8" applyNumberFormat="1" applyFont="1" applyFill="1">
      <alignment horizontal="left"/>
    </xf>
    <xf numFmtId="0" fontId="19" fillId="0" borderId="1" xfId="8" applyNumberFormat="1" applyFont="1" applyFill="1">
      <alignment horizontal="left"/>
    </xf>
    <xf numFmtId="4" fontId="32" fillId="0" borderId="1" xfId="7" applyNumberFormat="1" applyFont="1" applyFill="1">
      <alignment horizontal="right" wrapText="1"/>
    </xf>
    <xf numFmtId="0" fontId="26" fillId="0" borderId="3" xfId="1" applyNumberFormat="1" applyFont="1" applyFill="1" applyBorder="1" applyAlignment="1">
      <alignment horizontal="right" wrapText="1"/>
    </xf>
    <xf numFmtId="0" fontId="36" fillId="0" borderId="3" xfId="1" applyNumberFormat="1" applyFont="1" applyFill="1" applyBorder="1" applyAlignment="1">
      <alignment horizontal="right" wrapText="1"/>
    </xf>
    <xf numFmtId="3" fontId="37" fillId="0" borderId="1" xfId="9" applyNumberFormat="1" applyFont="1" applyFill="1">
      <alignment horizontal="right"/>
    </xf>
    <xf numFmtId="3" fontId="38" fillId="0" borderId="1" xfId="9" applyNumberFormat="1" applyFont="1" applyFill="1">
      <alignment horizontal="right"/>
    </xf>
    <xf numFmtId="49" fontId="39" fillId="0" borderId="1" xfId="8" applyNumberFormat="1" applyFont="1" applyFill="1">
      <alignment horizontal="left"/>
    </xf>
    <xf numFmtId="3" fontId="40" fillId="0" borderId="1" xfId="9" applyNumberFormat="1" applyFont="1" applyFill="1">
      <alignment horizontal="right"/>
    </xf>
    <xf numFmtId="3" fontId="41" fillId="0" borderId="1" xfId="9" applyNumberFormat="1" applyFont="1" applyFill="1">
      <alignment horizontal="right"/>
    </xf>
    <xf numFmtId="0" fontId="40" fillId="0" borderId="0" xfId="0" applyFont="1" applyFill="1"/>
    <xf numFmtId="49" fontId="42" fillId="0" borderId="1" xfId="8" applyNumberFormat="1" applyFont="1" applyFill="1">
      <alignment horizontal="left"/>
    </xf>
    <xf numFmtId="0" fontId="43" fillId="0" borderId="1" xfId="1" applyNumberFormat="1" applyFont="1" applyFill="1" applyBorder="1" applyAlignment="1">
      <alignment horizontal="right" wrapText="1"/>
    </xf>
    <xf numFmtId="0" fontId="44" fillId="0" borderId="0" xfId="0" applyFont="1" applyFill="1"/>
    <xf numFmtId="0" fontId="45" fillId="0" borderId="1" xfId="1" applyNumberFormat="1" applyFont="1" applyFill="1" applyBorder="1" applyAlignment="1">
      <alignment horizontal="right" wrapText="1"/>
    </xf>
    <xf numFmtId="0" fontId="47" fillId="0" borderId="0" xfId="4" applyNumberFormat="1" applyFont="1" applyFill="1">
      <alignment horizontal="left"/>
    </xf>
    <xf numFmtId="0" fontId="46" fillId="2" borderId="0" xfId="4" applyNumberFormat="1" applyFont="1" applyFill="1">
      <alignment horizontal="left"/>
    </xf>
    <xf numFmtId="49" fontId="44" fillId="0" borderId="1" xfId="8" applyNumberFormat="1" applyFont="1" applyFill="1">
      <alignment horizontal="left"/>
    </xf>
    <xf numFmtId="3" fontId="48" fillId="0" borderId="1" xfId="9" applyNumberFormat="1" applyFont="1" applyFill="1">
      <alignment horizontal="right"/>
    </xf>
    <xf numFmtId="166" fontId="18" fillId="0" borderId="0" xfId="0" applyNumberFormat="1" applyFont="1" applyFill="1"/>
    <xf numFmtId="166" fontId="18" fillId="0" borderId="0" xfId="0" applyNumberFormat="1" applyFont="1" applyFill="1" applyAlignment="1">
      <alignment horizontal="right" wrapText="1"/>
    </xf>
    <xf numFmtId="166" fontId="20" fillId="0" borderId="0" xfId="0" applyNumberFormat="1" applyFont="1" applyFill="1"/>
    <xf numFmtId="49" fontId="49" fillId="0" borderId="1" xfId="8" applyNumberFormat="1" applyFont="1" applyFill="1">
      <alignment horizontal="left"/>
    </xf>
    <xf numFmtId="3" fontId="50" fillId="0" borderId="1" xfId="9" applyNumberFormat="1" applyFont="1" applyFill="1">
      <alignment horizontal="right"/>
    </xf>
    <xf numFmtId="3" fontId="20" fillId="0" borderId="0" xfId="0" applyNumberFormat="1" applyFont="1" applyFill="1"/>
    <xf numFmtId="0" fontId="18" fillId="0" borderId="0" xfId="0" applyFont="1" applyFill="1" applyAlignment="1">
      <alignment horizontal="right"/>
    </xf>
    <xf numFmtId="49" fontId="49" fillId="0" borderId="1" xfId="8" applyNumberFormat="1" applyFont="1" applyFill="1" applyAlignment="1">
      <alignment horizontal="left" wrapText="1"/>
    </xf>
    <xf numFmtId="49" fontId="49" fillId="0" borderId="1" xfId="8" applyNumberFormat="1" applyFont="1" applyFill="1" applyAlignment="1">
      <alignment horizontal="left"/>
    </xf>
    <xf numFmtId="166" fontId="44" fillId="0" borderId="0" xfId="0" applyNumberFormat="1" applyFont="1" applyFill="1"/>
    <xf numFmtId="49" fontId="44" fillId="0" borderId="1" xfId="8" applyNumberFormat="1" applyFont="1" applyFill="1" applyAlignment="1">
      <alignment horizontal="left" indent="1"/>
    </xf>
    <xf numFmtId="49" fontId="53" fillId="0" borderId="1" xfId="8" applyNumberFormat="1" applyFont="1" applyFill="1">
      <alignment horizontal="left"/>
    </xf>
    <xf numFmtId="49" fontId="44" fillId="0" borderId="1" xfId="8" applyNumberFormat="1" applyFont="1" applyFill="1" applyAlignment="1">
      <alignment horizontal="left" wrapText="1"/>
    </xf>
    <xf numFmtId="2" fontId="18" fillId="0" borderId="0" xfId="0" applyNumberFormat="1" applyFont="1" applyFill="1" applyAlignment="1">
      <alignment horizontal="right" wrapText="1"/>
    </xf>
    <xf numFmtId="4" fontId="18" fillId="0" borderId="0" xfId="0" applyNumberFormat="1" applyFont="1" applyFill="1"/>
    <xf numFmtId="4" fontId="54" fillId="0" borderId="0" xfId="0" applyNumberFormat="1" applyFont="1" applyFill="1"/>
    <xf numFmtId="167" fontId="18" fillId="0" borderId="0" xfId="0" applyNumberFormat="1" applyFont="1" applyFill="1"/>
    <xf numFmtId="0" fontId="26" fillId="0" borderId="1" xfId="1" applyNumberFormat="1" applyFont="1" applyFill="1" applyBorder="1" applyAlignment="1">
      <alignment horizontal="center"/>
    </xf>
    <xf numFmtId="0" fontId="53" fillId="0" borderId="1" xfId="8" applyNumberFormat="1" applyFont="1" applyFill="1" applyAlignment="1">
      <alignment horizontal="left" wrapText="1" indent="1"/>
    </xf>
    <xf numFmtId="3" fontId="55" fillId="0" borderId="1" xfId="9" applyNumberFormat="1" applyFont="1" applyFill="1">
      <alignment horizontal="right"/>
    </xf>
    <xf numFmtId="0" fontId="18" fillId="0" borderId="0" xfId="0" applyFont="1" applyFill="1" applyAlignment="1">
      <alignment horizontal="left"/>
    </xf>
    <xf numFmtId="49" fontId="42" fillId="0" borderId="1" xfId="8" applyNumberFormat="1" applyFont="1" applyFill="1" applyAlignment="1">
      <alignment horizontal="left" wrapText="1"/>
    </xf>
    <xf numFmtId="49" fontId="56" fillId="0" borderId="1" xfId="8" applyNumberFormat="1" applyFont="1" applyFill="1">
      <alignment horizontal="left"/>
    </xf>
    <xf numFmtId="49" fontId="57" fillId="0" borderId="1" xfId="8" applyNumberFormat="1" applyFont="1" applyFill="1">
      <alignment horizontal="left"/>
    </xf>
    <xf numFmtId="0" fontId="58" fillId="0" borderId="1" xfId="1" applyNumberFormat="1" applyFont="1" applyFill="1" applyBorder="1" applyAlignment="1">
      <alignment horizontal="right" wrapText="1"/>
    </xf>
    <xf numFmtId="3" fontId="59" fillId="0" borderId="1" xfId="9" applyNumberFormat="1" applyFont="1" applyFill="1">
      <alignment horizontal="right"/>
    </xf>
    <xf numFmtId="0" fontId="60" fillId="0" borderId="0" xfId="4" applyNumberFormat="1" applyFont="1" applyFill="1">
      <alignment horizontal="left"/>
    </xf>
    <xf numFmtId="49" fontId="53" fillId="0" borderId="1" xfId="8" applyNumberFormat="1" applyFont="1" applyFill="1" applyAlignment="1">
      <alignment horizontal="left"/>
    </xf>
    <xf numFmtId="49" fontId="62" fillId="0" borderId="1" xfId="8" applyNumberFormat="1" applyFont="1" applyFill="1">
      <alignment horizontal="left"/>
    </xf>
    <xf numFmtId="3" fontId="62" fillId="0" borderId="1" xfId="9" applyNumberFormat="1" applyFont="1" applyFill="1">
      <alignment horizontal="right"/>
    </xf>
    <xf numFmtId="3" fontId="63" fillId="0" borderId="1" xfId="9" applyNumberFormat="1" applyFont="1" applyFill="1">
      <alignment horizontal="right"/>
    </xf>
    <xf numFmtId="49" fontId="64" fillId="0" borderId="1" xfId="8" applyNumberFormat="1" applyFont="1" applyFill="1">
      <alignment horizontal="left"/>
    </xf>
    <xf numFmtId="3" fontId="64" fillId="0" borderId="1" xfId="9" applyNumberFormat="1" applyFont="1" applyFill="1">
      <alignment horizontal="right"/>
    </xf>
    <xf numFmtId="3" fontId="65" fillId="0" borderId="1" xfId="9" applyNumberFormat="1" applyFont="1" applyFill="1">
      <alignment horizontal="right"/>
    </xf>
    <xf numFmtId="3" fontId="66" fillId="0" borderId="1" xfId="9" applyNumberFormat="1" applyFont="1" applyFill="1">
      <alignment horizontal="right"/>
    </xf>
    <xf numFmtId="168" fontId="18" fillId="0" borderId="0" xfId="0" applyNumberFormat="1" applyFont="1" applyFill="1"/>
    <xf numFmtId="0" fontId="61" fillId="0" borderId="1" xfId="1" applyNumberFormat="1" applyFont="1" applyFill="1" applyBorder="1" applyAlignment="1">
      <alignment horizontal="left" wrapText="1"/>
    </xf>
    <xf numFmtId="49" fontId="21" fillId="0" borderId="1" xfId="8" applyNumberFormat="1" applyFont="1" applyFill="1" applyAlignment="1">
      <alignment horizontal="left" wrapText="1"/>
    </xf>
    <xf numFmtId="0" fontId="45" fillId="0" borderId="3" xfId="1" applyNumberFormat="1" applyFont="1" applyFill="1" applyBorder="1" applyAlignment="1">
      <alignment horizontal="right" wrapText="1"/>
    </xf>
    <xf numFmtId="14" fontId="26" fillId="0" borderId="1" xfId="1" applyNumberFormat="1" applyFont="1" applyFill="1" applyBorder="1" applyAlignment="1">
      <alignment horizontal="right" wrapText="1"/>
    </xf>
    <xf numFmtId="14" fontId="32" fillId="0" borderId="1" xfId="1" applyNumberFormat="1" applyFont="1" applyFill="1" applyBorder="1" applyAlignment="1">
      <alignment horizontal="right" wrapText="1"/>
    </xf>
    <xf numFmtId="0" fontId="17" fillId="0" borderId="0" xfId="4" applyNumberFormat="1" applyFont="1" applyFill="1" applyAlignment="1">
      <alignment horizontal="left" wrapText="1"/>
    </xf>
    <xf numFmtId="49" fontId="21" fillId="0" borderId="0" xfId="0" applyNumberFormat="1" applyFont="1" applyFill="1"/>
    <xf numFmtId="10" fontId="23" fillId="0" borderId="1" xfId="9" applyNumberFormat="1" applyFont="1" applyFill="1">
      <alignment horizontal="right"/>
    </xf>
    <xf numFmtId="3" fontId="22" fillId="0" borderId="1" xfId="9" applyNumberFormat="1" applyFont="1" applyFill="1" applyAlignment="1">
      <alignment horizontal="right" wrapText="1"/>
    </xf>
    <xf numFmtId="0" fontId="53" fillId="0" borderId="0" xfId="0" applyFont="1" applyFill="1"/>
    <xf numFmtId="49" fontId="37" fillId="0" borderId="1" xfId="8" applyNumberFormat="1" applyFont="1" applyFill="1">
      <alignment horizontal="left"/>
    </xf>
    <xf numFmtId="0" fontId="69" fillId="0" borderId="0" xfId="0" applyFont="1"/>
    <xf numFmtId="3" fontId="71" fillId="0" borderId="1" xfId="9" applyNumberFormat="1" applyFont="1" applyFill="1">
      <alignment horizontal="right"/>
    </xf>
    <xf numFmtId="3" fontId="72" fillId="0" borderId="1" xfId="9" applyNumberFormat="1" applyFont="1" applyFill="1">
      <alignment horizontal="right"/>
    </xf>
    <xf numFmtId="3" fontId="65" fillId="0" borderId="0" xfId="1" applyNumberFormat="1" applyFont="1" applyFill="1"/>
    <xf numFmtId="49" fontId="62" fillId="0" borderId="1" xfId="8" applyNumberFormat="1" applyFont="1" applyFill="1" applyAlignment="1">
      <alignment horizontal="left" indent="1"/>
    </xf>
    <xf numFmtId="0" fontId="57" fillId="0" borderId="1" xfId="8" applyNumberFormat="1" applyFont="1" applyFill="1" applyAlignment="1">
      <alignment horizontal="left" wrapText="1" indent="1"/>
    </xf>
    <xf numFmtId="0" fontId="26" fillId="0" borderId="0" xfId="1" applyNumberFormat="1" applyFont="1" applyFill="1" applyBorder="1" applyAlignment="1">
      <alignment horizontal="right" wrapText="1"/>
    </xf>
    <xf numFmtId="168" fontId="18" fillId="0" borderId="0" xfId="1" applyNumberFormat="1" applyFont="1" applyFill="1"/>
    <xf numFmtId="49" fontId="39" fillId="0" borderId="0" xfId="0" applyNumberFormat="1" applyFont="1" applyFill="1"/>
    <xf numFmtId="10" fontId="72" fillId="0" borderId="1" xfId="9" applyNumberFormat="1" applyFont="1" applyFill="1">
      <alignment horizontal="right"/>
    </xf>
    <xf numFmtId="49" fontId="40" fillId="0" borderId="0" xfId="0" applyNumberFormat="1" applyFont="1" applyFill="1"/>
    <xf numFmtId="0" fontId="26" fillId="0" borderId="4" xfId="1" applyNumberFormat="1" applyFont="1" applyFill="1" applyBorder="1" applyAlignment="1">
      <alignment horizontal="right" wrapText="1"/>
    </xf>
    <xf numFmtId="0" fontId="30" fillId="0" borderId="0" xfId="4" applyNumberFormat="1" applyFont="1" applyFill="1" applyBorder="1">
      <alignment horizontal="left"/>
    </xf>
    <xf numFmtId="4" fontId="18" fillId="0" borderId="0" xfId="1" applyNumberFormat="1" applyFont="1" applyFill="1" applyBorder="1"/>
    <xf numFmtId="49" fontId="18" fillId="3" borderId="0" xfId="0" applyNumberFormat="1" applyFont="1" applyFill="1"/>
    <xf numFmtId="49" fontId="28" fillId="3" borderId="1" xfId="8" applyNumberFormat="1" applyFont="1" applyFill="1">
      <alignment horizontal="left"/>
    </xf>
    <xf numFmtId="0" fontId="26" fillId="3" borderId="1" xfId="1" applyNumberFormat="1" applyFont="1" applyFill="1" applyBorder="1" applyAlignment="1">
      <alignment horizontal="right" wrapText="1"/>
    </xf>
    <xf numFmtId="0" fontId="32" fillId="3" borderId="1" xfId="1" applyNumberFormat="1" applyFont="1" applyFill="1" applyBorder="1" applyAlignment="1">
      <alignment horizontal="right" wrapText="1"/>
    </xf>
    <xf numFmtId="49" fontId="21" fillId="3" borderId="1" xfId="8" applyNumberFormat="1" applyFont="1" applyFill="1">
      <alignment horizontal="left"/>
    </xf>
    <xf numFmtId="3" fontId="22" fillId="3" borderId="1" xfId="9" applyNumberFormat="1" applyFont="1" applyFill="1">
      <alignment horizontal="right"/>
    </xf>
    <xf numFmtId="3" fontId="23" fillId="3" borderId="1" xfId="9" applyNumberFormat="1" applyFont="1" applyFill="1">
      <alignment horizontal="right"/>
    </xf>
    <xf numFmtId="4" fontId="22" fillId="3" borderId="1" xfId="9" applyNumberFormat="1" applyFont="1" applyFill="1">
      <alignment horizontal="right"/>
    </xf>
    <xf numFmtId="4" fontId="23" fillId="3" borderId="1" xfId="9" applyNumberFormat="1" applyFont="1" applyFill="1">
      <alignment horizontal="right"/>
    </xf>
    <xf numFmtId="4" fontId="18" fillId="3" borderId="0" xfId="1" applyNumberFormat="1" applyFont="1" applyFill="1"/>
    <xf numFmtId="49" fontId="22" fillId="3" borderId="1" xfId="9" applyNumberFormat="1" applyFont="1" applyFill="1">
      <alignment horizontal="right"/>
    </xf>
    <xf numFmtId="49" fontId="49" fillId="0" borderId="1" xfId="8" applyNumberFormat="1" applyFont="1" applyFill="1" applyAlignment="1">
      <alignment horizontal="left" indent="1"/>
    </xf>
    <xf numFmtId="164" fontId="71" fillId="0" borderId="1" xfId="9" applyNumberFormat="1" applyFont="1" applyFill="1">
      <alignment horizontal="right"/>
    </xf>
    <xf numFmtId="164" fontId="72" fillId="0" borderId="1" xfId="9" applyNumberFormat="1" applyFont="1" applyFill="1">
      <alignment horizontal="right"/>
    </xf>
    <xf numFmtId="49" fontId="73" fillId="0" borderId="1" xfId="8" applyNumberFormat="1" applyFont="1" applyFill="1">
      <alignment horizontal="left"/>
    </xf>
    <xf numFmtId="0" fontId="39" fillId="0" borderId="0" xfId="1" applyNumberFormat="1" applyFont="1" applyFill="1" applyBorder="1" applyAlignment="1">
      <alignment horizontal="right" wrapText="1"/>
    </xf>
    <xf numFmtId="168" fontId="39" fillId="0" borderId="0" xfId="1" applyNumberFormat="1" applyFont="1" applyFill="1" applyBorder="1" applyAlignment="1">
      <alignment horizontal="right" wrapText="1"/>
    </xf>
    <xf numFmtId="10" fontId="18" fillId="0" borderId="0" xfId="1" applyNumberFormat="1" applyFont="1" applyFill="1"/>
    <xf numFmtId="0" fontId="27" fillId="0" borderId="1" xfId="1" applyNumberFormat="1" applyFont="1" applyFill="1" applyBorder="1" applyAlignment="1">
      <alignment horizontal="center" wrapText="1"/>
    </xf>
    <xf numFmtId="0" fontId="31" fillId="0" borderId="1" xfId="1" applyNumberFormat="1" applyFont="1" applyFill="1" applyBorder="1" applyAlignment="1">
      <alignment horizontal="center" wrapText="1"/>
    </xf>
    <xf numFmtId="0" fontId="18" fillId="0" borderId="0" xfId="0" applyFont="1" applyFill="1" applyAlignment="1">
      <alignment horizontal="right" wrapText="1"/>
    </xf>
    <xf numFmtId="10" fontId="18" fillId="0" borderId="0" xfId="0" applyNumberFormat="1" applyFont="1" applyFill="1"/>
    <xf numFmtId="49" fontId="28" fillId="0" borderId="3" xfId="8" applyNumberFormat="1" applyFont="1" applyFill="1" applyBorder="1" applyAlignment="1">
      <alignment horizontal="left" wrapText="1"/>
    </xf>
    <xf numFmtId="0" fontId="18" fillId="0" borderId="0" xfId="0" applyFont="1"/>
    <xf numFmtId="4" fontId="18" fillId="0" borderId="0" xfId="578" applyNumberFormat="1" applyFont="1" applyFill="1"/>
    <xf numFmtId="3" fontId="21" fillId="0" borderId="5" xfId="9" applyNumberFormat="1" applyFont="1" applyFill="1" applyBorder="1" applyAlignment="1">
      <alignment horizontal="left" wrapText="1"/>
    </xf>
    <xf numFmtId="3" fontId="21" fillId="0" borderId="5" xfId="9" applyNumberFormat="1" applyFont="1" applyFill="1" applyBorder="1" applyAlignment="1">
      <alignment horizontal="right" wrapText="1"/>
    </xf>
    <xf numFmtId="0" fontId="21" fillId="0" borderId="5" xfId="0" applyFont="1" applyBorder="1"/>
    <xf numFmtId="49" fontId="19" fillId="0" borderId="3" xfId="8" applyNumberFormat="1" applyFont="1" applyFill="1" applyBorder="1" applyAlignment="1">
      <alignment horizontal="left"/>
    </xf>
    <xf numFmtId="49" fontId="28" fillId="0" borderId="3" xfId="8" applyNumberFormat="1" applyFont="1" applyFill="1" applyBorder="1" applyAlignment="1">
      <alignment horizontal="left"/>
    </xf>
    <xf numFmtId="49" fontId="21" fillId="0" borderId="3" xfId="8" applyNumberFormat="1" applyFont="1" applyFill="1" applyBorder="1" applyAlignment="1">
      <alignment horizontal="left"/>
    </xf>
    <xf numFmtId="0" fontId="27" fillId="0" borderId="1" xfId="578" applyNumberFormat="1" applyFont="1" applyFill="1" applyBorder="1" applyAlignment="1">
      <alignment horizontal="right" wrapText="1"/>
    </xf>
    <xf numFmtId="3" fontId="18" fillId="0" borderId="0" xfId="9" applyNumberFormat="1" applyFont="1" applyFill="1" applyBorder="1">
      <alignment horizontal="right"/>
    </xf>
    <xf numFmtId="3" fontId="74" fillId="0" borderId="0" xfId="9" applyNumberFormat="1" applyFont="1" applyFill="1" applyBorder="1">
      <alignment horizontal="right"/>
    </xf>
    <xf numFmtId="0" fontId="17" fillId="0" borderId="0" xfId="4" applyNumberFormat="1" applyFont="1" applyFill="1" applyBorder="1">
      <alignment horizontal="left"/>
    </xf>
    <xf numFmtId="4" fontId="18" fillId="0" borderId="0" xfId="578" applyNumberFormat="1" applyFont="1" applyFill="1" applyBorder="1"/>
    <xf numFmtId="0" fontId="26" fillId="0" borderId="0" xfId="578" applyNumberFormat="1" applyFont="1" applyFill="1" applyBorder="1" applyAlignment="1">
      <alignment horizontal="right" wrapText="1"/>
    </xf>
    <xf numFmtId="0" fontId="18" fillId="0" borderId="0" xfId="0" applyFont="1" applyBorder="1"/>
    <xf numFmtId="0" fontId="18" fillId="0" borderId="0" xfId="0" applyFont="1" applyFill="1" applyBorder="1"/>
    <xf numFmtId="49" fontId="21" fillId="0" borderId="0" xfId="8" applyNumberFormat="1" applyFont="1" applyFill="1" applyBorder="1">
      <alignment horizontal="left"/>
    </xf>
    <xf numFmtId="49" fontId="21" fillId="0" borderId="6" xfId="8" applyNumberFormat="1" applyFont="1" applyFill="1" applyBorder="1">
      <alignment horizontal="left"/>
    </xf>
    <xf numFmtId="49" fontId="21" fillId="0" borderId="7" xfId="8" applyNumberFormat="1" applyFont="1" applyFill="1" applyBorder="1">
      <alignment horizontal="left"/>
    </xf>
    <xf numFmtId="0" fontId="0" fillId="0" borderId="8" xfId="0" applyBorder="1"/>
    <xf numFmtId="49" fontId="21" fillId="0" borderId="9" xfId="8" applyNumberFormat="1" applyFont="1" applyFill="1" applyBorder="1">
      <alignment horizontal="left"/>
    </xf>
    <xf numFmtId="3" fontId="18" fillId="0" borderId="9" xfId="9" applyNumberFormat="1" applyFont="1" applyFill="1" applyBorder="1">
      <alignment horizontal="right"/>
    </xf>
    <xf numFmtId="3" fontId="74" fillId="0" borderId="9" xfId="9" applyNumberFormat="1" applyFont="1" applyFill="1" applyBorder="1">
      <alignment horizontal="right"/>
    </xf>
    <xf numFmtId="0" fontId="18" fillId="0" borderId="9" xfId="0" applyFont="1" applyBorder="1"/>
    <xf numFmtId="0" fontId="18" fillId="0" borderId="9" xfId="0" applyFont="1" applyFill="1" applyBorder="1"/>
    <xf numFmtId="168" fontId="21" fillId="0" borderId="9" xfId="0" applyNumberFormat="1" applyFont="1" applyFill="1" applyBorder="1"/>
    <xf numFmtId="168" fontId="33" fillId="0" borderId="9" xfId="0" applyNumberFormat="1" applyFont="1" applyFill="1" applyBorder="1"/>
    <xf numFmtId="49" fontId="18" fillId="0" borderId="0" xfId="0" applyNumberFormat="1" applyFont="1" applyFill="1" applyBorder="1"/>
    <xf numFmtId="0" fontId="75" fillId="0" borderId="0" xfId="4" applyNumberFormat="1" applyFont="1" applyFill="1" applyBorder="1">
      <alignment horizontal="left"/>
    </xf>
    <xf numFmtId="168" fontId="0" fillId="0" borderId="0" xfId="0" applyNumberFormat="1"/>
    <xf numFmtId="166" fontId="22" fillId="0" borderId="0" xfId="0" applyNumberFormat="1" applyFont="1" applyFill="1"/>
    <xf numFmtId="0" fontId="18" fillId="4" borderId="0" xfId="0" applyFont="1" applyFill="1"/>
    <xf numFmtId="49" fontId="18" fillId="0" borderId="0" xfId="0" applyNumberFormat="1" applyFont="1" applyFill="1" applyAlignment="1">
      <alignment horizontal="left"/>
    </xf>
    <xf numFmtId="4" fontId="18" fillId="0" borderId="0" xfId="578" applyNumberFormat="1" applyFont="1" applyFill="1" applyAlignment="1">
      <alignment horizontal="left"/>
    </xf>
    <xf numFmtId="49" fontId="21" fillId="0" borderId="1" xfId="8" applyNumberFormat="1" applyFont="1" applyFill="1" applyAlignment="1">
      <alignment horizontal="left" wrapText="1"/>
    </xf>
    <xf numFmtId="0" fontId="31" fillId="0" borderId="1" xfId="7" applyNumberFormat="1" applyFont="1" applyFill="1">
      <alignment horizontal="right" wrapText="1"/>
    </xf>
    <xf numFmtId="0" fontId="43" fillId="0" borderId="1" xfId="7" applyNumberFormat="1" applyFont="1" applyFill="1">
      <alignment horizontal="right" wrapText="1"/>
    </xf>
    <xf numFmtId="49" fontId="76" fillId="0" borderId="1" xfId="8" applyNumberFormat="1" applyFont="1" applyFill="1">
      <alignment horizontal="left"/>
    </xf>
    <xf numFmtId="49" fontId="18" fillId="0" borderId="0" xfId="0" applyNumberFormat="1" applyFont="1" applyFill="1" applyAlignment="1">
      <alignment wrapText="1"/>
    </xf>
    <xf numFmtId="3" fontId="18" fillId="0" borderId="0" xfId="578" applyNumberFormat="1" applyFont="1" applyFill="1"/>
    <xf numFmtId="0" fontId="31" fillId="0" borderId="1" xfId="1" applyNumberFormat="1" applyFont="1" applyFill="1" applyBorder="1" applyAlignment="1">
      <alignment horizontal="right" wrapText="1"/>
    </xf>
    <xf numFmtId="49" fontId="20" fillId="0" borderId="0" xfId="0" applyNumberFormat="1" applyFont="1" applyFill="1" applyBorder="1" applyAlignment="1">
      <alignment horizontal="left" wrapText="1"/>
    </xf>
    <xf numFmtId="0" fontId="17" fillId="0" borderId="0" xfId="4" applyNumberFormat="1" applyFont="1" applyFill="1" applyBorder="1" applyAlignment="1">
      <alignment wrapText="1"/>
    </xf>
    <xf numFmtId="0" fontId="44" fillId="0" borderId="1" xfId="8" quotePrefix="1" applyNumberFormat="1" applyFont="1" applyFill="1" applyAlignment="1">
      <alignment horizontal="left" wrapText="1" indent="1"/>
    </xf>
    <xf numFmtId="0" fontId="53" fillId="0" borderId="1" xfId="8" quotePrefix="1" applyNumberFormat="1" applyFont="1" applyFill="1" applyAlignment="1">
      <alignment horizontal="left" wrapText="1" indent="1"/>
    </xf>
    <xf numFmtId="0" fontId="57" fillId="0" borderId="1" xfId="8" quotePrefix="1" applyNumberFormat="1" applyFont="1" applyFill="1" applyAlignment="1">
      <alignment horizontal="left" wrapText="1" indent="1"/>
    </xf>
    <xf numFmtId="0" fontId="49" fillId="0" borderId="1" xfId="8" quotePrefix="1" applyNumberFormat="1" applyFont="1" applyFill="1" applyAlignment="1">
      <alignment horizontal="left" wrapText="1" indent="1"/>
    </xf>
    <xf numFmtId="49" fontId="39" fillId="0" borderId="1" xfId="8" applyNumberFormat="1" applyFont="1" applyFill="1" applyAlignment="1">
      <alignment horizontal="left" indent="1"/>
    </xf>
    <xf numFmtId="49" fontId="77" fillId="0" borderId="1" xfId="8" applyNumberFormat="1" applyFont="1" applyFill="1" applyAlignment="1">
      <alignment horizontal="left" indent="1"/>
    </xf>
    <xf numFmtId="49" fontId="78" fillId="0" borderId="1" xfId="8" applyNumberFormat="1" applyFont="1" applyFill="1">
      <alignment horizontal="left"/>
    </xf>
    <xf numFmtId="0" fontId="26" fillId="0" borderId="1" xfId="578" applyNumberFormat="1" applyFont="1" applyFill="1" applyBorder="1" applyAlignment="1">
      <alignment horizontal="right" wrapText="1"/>
    </xf>
    <xf numFmtId="0" fontId="79" fillId="0" borderId="1" xfId="578" applyNumberFormat="1" applyFont="1" applyFill="1" applyBorder="1" applyAlignment="1">
      <alignment horizontal="right" wrapText="1"/>
    </xf>
    <xf numFmtId="0" fontId="80" fillId="0" borderId="1" xfId="578" applyNumberFormat="1" applyFont="1" applyFill="1" applyBorder="1" applyAlignment="1">
      <alignment horizontal="right" wrapText="1"/>
    </xf>
    <xf numFmtId="10" fontId="24" fillId="0" borderId="1" xfId="9" applyNumberFormat="1" applyFont="1" applyFill="1">
      <alignment horizontal="right"/>
    </xf>
    <xf numFmtId="49" fontId="49" fillId="0" borderId="1" xfId="8" quotePrefix="1" applyNumberFormat="1" applyFont="1" applyFill="1" applyAlignment="1">
      <alignment horizontal="left" indent="1"/>
    </xf>
    <xf numFmtId="0" fontId="19" fillId="0" borderId="1" xfId="8" quotePrefix="1" applyNumberFormat="1" applyFont="1" applyFill="1" applyAlignment="1">
      <alignment horizontal="left" indent="1"/>
    </xf>
    <xf numFmtId="0" fontId="32" fillId="0" borderId="1" xfId="578" applyNumberFormat="1" applyFont="1" applyFill="1" applyBorder="1" applyAlignment="1">
      <alignment horizontal="right" wrapText="1"/>
    </xf>
    <xf numFmtId="49" fontId="21" fillId="0" borderId="1" xfId="8" applyNumberFormat="1" applyFont="1" applyFill="1" applyAlignment="1">
      <alignment horizontal="left" wrapText="1"/>
    </xf>
    <xf numFmtId="0" fontId="80" fillId="0" borderId="0" xfId="578" applyNumberFormat="1" applyFont="1" applyFill="1" applyBorder="1" applyAlignment="1">
      <alignment horizontal="right" wrapText="1"/>
    </xf>
    <xf numFmtId="4" fontId="20" fillId="0" borderId="0" xfId="578" applyNumberFormat="1" applyFont="1" applyFill="1" applyAlignment="1">
      <alignment horizontal="right" wrapText="1"/>
    </xf>
    <xf numFmtId="4" fontId="20" fillId="0" borderId="0" xfId="578" quotePrefix="1" applyNumberFormat="1" applyFont="1" applyFill="1" applyAlignment="1">
      <alignment horizontal="right"/>
    </xf>
    <xf numFmtId="49" fontId="19" fillId="0" borderId="1" xfId="8" applyNumberFormat="1" applyFont="1" applyFill="1" applyAlignment="1">
      <alignment horizontal="left" wrapText="1"/>
    </xf>
    <xf numFmtId="4" fontId="81" fillId="0" borderId="0" xfId="578" quotePrefix="1" applyNumberFormat="1" applyFont="1" applyFill="1" applyAlignment="1">
      <alignment horizontal="right"/>
    </xf>
    <xf numFmtId="0" fontId="33" fillId="0" borderId="1" xfId="8" quotePrefix="1" applyNumberFormat="1" applyFont="1" applyFill="1" applyAlignment="1">
      <alignment horizontal="left" wrapText="1" indent="1"/>
    </xf>
    <xf numFmtId="0" fontId="27" fillId="0" borderId="0" xfId="1" applyNumberFormat="1" applyFont="1" applyFill="1" applyBorder="1" applyAlignment="1">
      <alignment horizontal="right" wrapText="1"/>
    </xf>
    <xf numFmtId="0" fontId="27" fillId="0" borderId="1" xfId="1" applyNumberFormat="1" applyFont="1" applyFill="1" applyBorder="1" applyAlignment="1">
      <alignment horizontal="center" wrapText="1"/>
    </xf>
    <xf numFmtId="0" fontId="26" fillId="0" borderId="1" xfId="1" applyNumberFormat="1" applyFont="1" applyFill="1" applyBorder="1" applyAlignment="1">
      <alignment horizontal="center" wrapText="1"/>
    </xf>
    <xf numFmtId="0" fontId="36" fillId="0" borderId="1" xfId="1" applyNumberFormat="1" applyFont="1" applyFill="1" applyBorder="1" applyAlignment="1">
      <alignment horizontal="center" wrapText="1"/>
    </xf>
    <xf numFmtId="166" fontId="18" fillId="0" borderId="0" xfId="0" applyNumberFormat="1" applyFont="1" applyFill="1" applyAlignment="1">
      <alignment horizontal="center"/>
    </xf>
    <xf numFmtId="0" fontId="31" fillId="0" borderId="1" xfId="1" applyNumberFormat="1" applyFont="1" applyFill="1" applyBorder="1" applyAlignment="1">
      <alignment horizontal="center" wrapText="1"/>
    </xf>
    <xf numFmtId="0" fontId="17" fillId="0" borderId="0" xfId="4" applyNumberFormat="1" applyFont="1" applyFill="1" applyAlignment="1">
      <alignment horizontal="left" wrapText="1"/>
    </xf>
    <xf numFmtId="0" fontId="0" fillId="0" borderId="0" xfId="0" applyFill="1" applyAlignment="1"/>
    <xf numFmtId="0" fontId="17" fillId="0" borderId="0" xfId="4" applyNumberFormat="1" applyFont="1" applyFill="1" applyBorder="1" applyAlignment="1">
      <alignment horizontal="left" wrapText="1"/>
    </xf>
    <xf numFmtId="49" fontId="21" fillId="0" borderId="0" xfId="8" applyNumberFormat="1" applyFont="1" applyFill="1" applyBorder="1" applyAlignment="1">
      <alignment horizontal="left"/>
    </xf>
    <xf numFmtId="49" fontId="21" fillId="0" borderId="0" xfId="8" applyNumberFormat="1" applyFont="1" applyFill="1" applyBorder="1" applyAlignment="1">
      <alignment horizontal="left" wrapText="1"/>
    </xf>
    <xf numFmtId="3" fontId="21" fillId="0" borderId="5" xfId="9" applyNumberFormat="1" applyFont="1" applyFill="1" applyBorder="1" applyAlignment="1">
      <alignment wrapText="1"/>
    </xf>
    <xf numFmtId="0" fontId="67" fillId="0" borderId="0" xfId="4" applyNumberFormat="1" applyFont="1" applyFill="1" applyAlignment="1">
      <alignment horizontal="left" wrapText="1"/>
    </xf>
    <xf numFmtId="0" fontId="68" fillId="0" borderId="0" xfId="0" applyFont="1" applyAlignment="1"/>
    <xf numFmtId="0" fontId="27" fillId="3" borderId="1" xfId="1" applyNumberFormat="1" applyFont="1" applyFill="1" applyBorder="1" applyAlignment="1">
      <alignment horizontal="center" wrapText="1"/>
    </xf>
    <xf numFmtId="0" fontId="31" fillId="3" borderId="1" xfId="1" applyNumberFormat="1" applyFont="1" applyFill="1" applyBorder="1" applyAlignment="1">
      <alignment horizontal="center" wrapText="1"/>
    </xf>
    <xf numFmtId="0" fontId="17" fillId="3" borderId="0" xfId="4" applyNumberFormat="1" applyFont="1" applyFill="1" applyAlignment="1">
      <alignment horizontal="left" wrapText="1"/>
    </xf>
    <xf numFmtId="0" fontId="26" fillId="0" borderId="0" xfId="1" applyNumberFormat="1" applyFont="1" applyFill="1" applyBorder="1" applyAlignment="1">
      <alignment horizontal="center" wrapText="1"/>
    </xf>
    <xf numFmtId="0" fontId="69" fillId="0" borderId="1" xfId="0" applyFont="1" applyFill="1" applyBorder="1" applyAlignment="1">
      <alignment horizontal="center"/>
    </xf>
    <xf numFmtId="14" fontId="69" fillId="0" borderId="1" xfId="0" applyNumberFormat="1" applyFont="1" applyFill="1" applyBorder="1" applyAlignment="1">
      <alignment horizontal="center"/>
    </xf>
    <xf numFmtId="14" fontId="70" fillId="0" borderId="1" xfId="1" applyNumberFormat="1" applyFont="1" applyFill="1" applyBorder="1" applyAlignment="1">
      <alignment horizontal="center" wrapText="1"/>
    </xf>
    <xf numFmtId="4" fontId="31" fillId="0" borderId="1" xfId="7" applyNumberFormat="1" applyFont="1" applyFill="1" applyAlignment="1">
      <alignment horizontal="center" wrapText="1"/>
    </xf>
    <xf numFmtId="0" fontId="37" fillId="0" borderId="1" xfId="1" applyNumberFormat="1" applyFont="1" applyFill="1" applyBorder="1" applyAlignment="1">
      <alignment horizontal="center" wrapText="1"/>
    </xf>
    <xf numFmtId="166" fontId="18" fillId="0" borderId="0" xfId="0" applyNumberFormat="1" applyFont="1" applyFill="1" applyAlignment="1">
      <alignment horizontal="right" wrapText="1"/>
    </xf>
    <xf numFmtId="49" fontId="18" fillId="0" borderId="0" xfId="0" applyNumberFormat="1" applyFont="1" applyFill="1" applyAlignment="1">
      <alignment horizontal="left" wrapText="1"/>
    </xf>
    <xf numFmtId="49" fontId="28" fillId="0" borderId="3" xfId="8" applyNumberFormat="1" applyFont="1" applyFill="1" applyBorder="1" applyAlignment="1">
      <alignment horizontal="left" wrapText="1"/>
    </xf>
    <xf numFmtId="49" fontId="21" fillId="0" borderId="1" xfId="8" applyNumberFormat="1" applyFont="1" applyFill="1" applyAlignment="1">
      <alignment horizontal="left" wrapText="1"/>
    </xf>
    <xf numFmtId="49" fontId="28" fillId="0" borderId="0" xfId="8" applyNumberFormat="1" applyFont="1" applyFill="1" applyBorder="1" applyAlignment="1">
      <alignment horizontal="left" wrapText="1"/>
    </xf>
    <xf numFmtId="0" fontId="0" fillId="0" borderId="0" xfId="0" applyBorder="1" applyAlignment="1">
      <alignment wrapText="1"/>
    </xf>
    <xf numFmtId="0" fontId="18" fillId="0" borderId="0" xfId="0" applyFont="1" applyFill="1" applyAlignment="1">
      <alignment horizontal="center" wrapText="1"/>
    </xf>
    <xf numFmtId="0" fontId="18" fillId="0" borderId="0" xfId="0" applyFont="1" applyFill="1" applyAlignment="1">
      <alignment horizontal="left" wrapText="1"/>
    </xf>
  </cellXfs>
  <cellStyles count="833">
    <cellStyle name="check" xfId="6"/>
    <cellStyle name="Comma" xfId="1" builtinId="3"/>
    <cellStyle name="Comma 2" xfId="369"/>
    <cellStyle name="Comma 3" xfId="578"/>
    <cellStyle name="Followed Hyperlink" xfId="3"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Header" xfId="7"/>
    <cellStyle name="Hyperlink" xfId="2"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Label" xfId="8"/>
    <cellStyle name="Normal" xfId="0" builtinId="0"/>
    <cellStyle name="Normal 2" xfId="5"/>
    <cellStyle name="Number" xfId="9"/>
    <cellStyle name="Standard_ANH-1" xfId="10"/>
    <cellStyle name="Title 2" xfId="4"/>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externalLink" Target="externalLinks/externalLink1.xml"/><Relationship Id="rId35" Type="http://schemas.openxmlformats.org/officeDocument/2006/relationships/externalLink" Target="externalLinks/externalLink2.xml"/><Relationship Id="rId36" Type="http://schemas.openxmlformats.org/officeDocument/2006/relationships/theme" Target="theme/theme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tyles" Target="styles.xml"/><Relationship Id="rId38" Type="http://schemas.openxmlformats.org/officeDocument/2006/relationships/sharedStrings" Target="sharedStrings.xml"/><Relationship Id="rId3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H_AnnualReport-ComptesConsolides_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BH_AnnualReport-ComptesIndividuels_2015%20new.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_Bilan"/>
      <sheetName val="C_HorsBilan"/>
      <sheetName val="C_Resultat_ProduitsCharges"/>
      <sheetName val="C_JustificationCapitauxPropres"/>
      <sheetName val="C_Resultat_Financement"/>
      <sheetName val="C_iBilan_ApercuCouv-PretsCompr"/>
      <sheetName val="C_Instr_Derives"/>
      <sheetName val="C_Instr_Derives-repart"/>
      <sheetName val="C_iBilan_ImmoblstnFinancieres"/>
      <sheetName val="C_iBilan_ImmoblstnFinancier-rep"/>
      <sheetName val="C_iBilan_ParticipnsNonConsolid"/>
      <sheetName val="C_iBilan_Particpermasign"/>
      <sheetName val="C_iBilan_PresentnImmoblisCorpl"/>
      <sheetName val="C_iBilan_PresentnValeursImmtrls"/>
      <sheetName val="C_iBilan_AutrActifPass-ActifsGa"/>
      <sheetName val="C_iBilan_EngPrevoyanceProf"/>
      <sheetName val="C_iBilan_InstPrevProf"/>
      <sheetName val="C_CorrectifsValeursProvisions"/>
      <sheetName val="C_CapitalSoc-interne"/>
      <sheetName val="C_TransactionsPartiesLiees"/>
      <sheetName val="C_StructureEcheancesActif"/>
      <sheetName val="C_ActifsPassifsSuisseEtranger"/>
      <sheetName val="C_ActifsRepartisPays"/>
      <sheetName val="C_ActifsSolvab"/>
      <sheetName val="C_BilanMonnaiesActifs"/>
      <sheetName val="C_BilanMonnaiesPassifs"/>
      <sheetName val="C_iHorsBilan_Engagements"/>
      <sheetName val="C_iHorsBilan_OperationsFidu"/>
      <sheetName val="C_iHorsBilan_AvoirsClientRepart"/>
      <sheetName val="C_iHorsBilan_AvoirsClientEvol"/>
      <sheetName val="C_iResultat_Negoce"/>
      <sheetName val="C_iResultat_Intérêts"/>
      <sheetName val="C_iResultat_Personnel"/>
      <sheetName val="C_iResultat_Exploitation"/>
      <sheetName val="C_iResultat_Extraordinaires"/>
      <sheetName val="C_iResultat_SuisseEtranger"/>
      <sheetName val="C_iImpôts"/>
      <sheetName val="C_iResultat_FondsPropres"/>
      <sheetName val="C_iResultat_FondsPropresReqis"/>
      <sheetName val="C_iResultat_FondsProprsRatioLiq"/>
      <sheetName val="C_iResultat_FondsProprsRatioLev"/>
      <sheetName val="_labe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1">
          <cell r="B1">
            <v>2015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_Bilan"/>
      <sheetName val="I_HorsBilan"/>
      <sheetName val="I_Resultat_ProduitsCharges"/>
      <sheetName val="I_RepartitionBenefice"/>
      <sheetName val="I_JustificationCapitauxPropres"/>
      <sheetName val="I_Bilan_CommHedgAcc"/>
      <sheetName val="I_iBilan_ApercuCouv-PretsCompr"/>
      <sheetName val="I_Instr_Derives"/>
      <sheetName val="I_iBilan_ImmoblstnFinanciers"/>
      <sheetName val="I_iBilan_ImmoblstnFinancierRepa"/>
      <sheetName val="I_iBilan_AutrActifPass-ActifsGa"/>
      <sheetName val="I_iBilan_InstPrevProf"/>
      <sheetName val="I_CorrectifsValeursProvisions"/>
      <sheetName val="I_CapitalSocial"/>
      <sheetName val="I_CréancEngPartliées"/>
      <sheetName val="I_CreancesEngagementsSocietes"/>
      <sheetName val="I_ActifsSolvab"/>
      <sheetName val="I_iHorsBilan_OperationsFidu"/>
      <sheetName val="I_iHorsBilan_AvoirsClient"/>
      <sheetName val="I_iResultat_Negoce"/>
      <sheetName val="I_iResultat_Intérêts"/>
      <sheetName val="I_iResultat_Personnel"/>
      <sheetName val="I_iResultat_Exploitation"/>
      <sheetName val="I_iResultat_Extraordinaires"/>
      <sheetName val="I_iImpôts"/>
      <sheetName val="_lab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row r="1">
          <cell r="B1">
            <v>2015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H31"/>
  <sheetViews>
    <sheetView tabSelected="1" workbookViewId="0">
      <pane xSplit="1" ySplit="2" topLeftCell="B3" activePane="bottomRight" state="frozen"/>
      <selection pane="topRight" activeCell="B1" sqref="B1"/>
      <selection pane="bottomLeft" activeCell="A3" sqref="A3"/>
      <selection pane="bottomRight" activeCell="B15" sqref="B15"/>
    </sheetView>
  </sheetViews>
  <sheetFormatPr baseColWidth="10" defaultColWidth="10.83203125" defaultRowHeight="19" customHeight="1" x14ac:dyDescent="0"/>
  <cols>
    <col min="1" max="1" width="77" style="11" bestFit="1" customWidth="1"/>
    <col min="2" max="3" width="20.83203125" style="7" customWidth="1"/>
    <col min="4" max="4" width="7.1640625" style="8" customWidth="1"/>
    <col min="5" max="5" width="8.1640625" style="8" customWidth="1"/>
    <col min="6" max="6" width="16.33203125" style="8" customWidth="1"/>
    <col min="7" max="7" width="15.83203125" style="57" customWidth="1"/>
    <col min="8" max="8" width="15.1640625" style="8" customWidth="1"/>
    <col min="9" max="16384" width="10.83203125" style="8"/>
  </cols>
  <sheetData>
    <row r="1" spans="1:8" ht="43" customHeight="1">
      <c r="A1" s="23" t="str">
        <f>"Bilan au 31 décembre "&amp;_labels!$B$1</f>
        <v>Bilan au 31 décembre 2016</v>
      </c>
      <c r="C1" s="17"/>
    </row>
    <row r="2" spans="1:8" ht="43" customHeight="1">
      <c r="A2" s="20" t="s">
        <v>0</v>
      </c>
      <c r="B2" s="18" t="str">
        <f>"31.12."&amp;_labels!$B$1</f>
        <v>31.12.2016</v>
      </c>
      <c r="C2" s="24" t="str">
        <f>"31.12."&amp;_labels!$B$1-1</f>
        <v>31.12.2015</v>
      </c>
      <c r="F2" s="63" t="s">
        <v>122</v>
      </c>
      <c r="G2" s="58" t="s">
        <v>116</v>
      </c>
      <c r="H2" s="63" t="s">
        <v>115</v>
      </c>
    </row>
    <row r="3" spans="1:8" ht="24" customHeight="1">
      <c r="A3" s="12" t="s">
        <v>12</v>
      </c>
      <c r="B3" s="25">
        <v>220728402</v>
      </c>
      <c r="C3" s="26">
        <v>164225305</v>
      </c>
    </row>
    <row r="4" spans="1:8" ht="24" customHeight="1">
      <c r="A4" s="85" t="s">
        <v>13</v>
      </c>
      <c r="B4" s="86">
        <v>0</v>
      </c>
      <c r="C4" s="86">
        <f>249776995-249776995</f>
        <v>0</v>
      </c>
      <c r="G4" s="57">
        <v>-249776994.69999999</v>
      </c>
      <c r="H4" s="8" t="s">
        <v>131</v>
      </c>
    </row>
    <row r="5" spans="1:8" ht="24" customHeight="1">
      <c r="A5" s="12" t="s">
        <v>14</v>
      </c>
      <c r="B5" s="25">
        <v>461235898</v>
      </c>
      <c r="C5" s="26">
        <v>834888631</v>
      </c>
    </row>
    <row r="6" spans="1:8" ht="24" customHeight="1">
      <c r="A6" s="12" t="s">
        <v>15</v>
      </c>
      <c r="B6" s="25">
        <v>816290276</v>
      </c>
      <c r="C6" s="26">
        <f>530304661-502441</f>
        <v>529802220</v>
      </c>
      <c r="G6" s="57">
        <v>-502440.85</v>
      </c>
    </row>
    <row r="7" spans="1:8" ht="24" customHeight="1">
      <c r="A7" s="60" t="s">
        <v>118</v>
      </c>
      <c r="B7" s="61">
        <v>3438962</v>
      </c>
      <c r="C7" s="61">
        <v>2914486.47</v>
      </c>
      <c r="G7" s="57">
        <f>2497168.51+443410.53-26092.57</f>
        <v>2914486.47</v>
      </c>
      <c r="H7" s="8" t="s">
        <v>132</v>
      </c>
    </row>
    <row r="8" spans="1:8" ht="24" customHeight="1">
      <c r="A8" s="12" t="s">
        <v>16</v>
      </c>
      <c r="B8" s="25">
        <v>629824595</v>
      </c>
      <c r="C8" s="26">
        <f>219285511+249776995</f>
        <v>469062506</v>
      </c>
      <c r="G8" s="57">
        <f>-G4</f>
        <v>249776994.69999999</v>
      </c>
    </row>
    <row r="9" spans="1:8" ht="24" customHeight="1">
      <c r="A9" s="12" t="s">
        <v>333</v>
      </c>
      <c r="B9" s="25">
        <v>7552100</v>
      </c>
      <c r="C9" s="26">
        <f>5598576-2113</f>
        <v>5596463</v>
      </c>
      <c r="G9" s="57">
        <v>-2112.8000000000002</v>
      </c>
    </row>
    <row r="10" spans="1:8" ht="24" customHeight="1">
      <c r="A10" s="12" t="s">
        <v>23</v>
      </c>
      <c r="B10" s="25">
        <v>12551358</v>
      </c>
      <c r="C10" s="26">
        <v>5234689</v>
      </c>
    </row>
    <row r="11" spans="1:8" ht="24" customHeight="1">
      <c r="A11" s="12" t="s">
        <v>2</v>
      </c>
      <c r="B11" s="25">
        <v>7984679</v>
      </c>
      <c r="C11" s="26">
        <v>7417322</v>
      </c>
    </row>
    <row r="12" spans="1:8" ht="24" customHeight="1">
      <c r="A12" s="12" t="s">
        <v>3</v>
      </c>
      <c r="B12" s="25">
        <f>2845415+1</f>
        <v>2845416</v>
      </c>
      <c r="C12" s="26">
        <f>4903430-2914486+2113</f>
        <v>1991057</v>
      </c>
      <c r="F12" s="8">
        <v>1</v>
      </c>
      <c r="G12" s="57">
        <f>-G7-G9</f>
        <v>-2912373.6700000004</v>
      </c>
    </row>
    <row r="13" spans="1:8" s="10" customFormat="1" ht="24" customHeight="1">
      <c r="A13" s="9" t="s">
        <v>4</v>
      </c>
      <c r="B13" s="27">
        <f>SUM(B3:B12)</f>
        <v>2162451686</v>
      </c>
      <c r="C13" s="28">
        <f>SUM(C3:C12)</f>
        <v>2021132679.47</v>
      </c>
      <c r="G13" s="59">
        <f>SUM(G3:G12)</f>
        <v>-502440.84999999544</v>
      </c>
    </row>
    <row r="14" spans="1:8" ht="24" customHeight="1">
      <c r="A14" s="85" t="s">
        <v>24</v>
      </c>
      <c r="B14" s="86">
        <v>0</v>
      </c>
      <c r="C14" s="86">
        <v>0</v>
      </c>
      <c r="H14" s="8" t="s">
        <v>131</v>
      </c>
    </row>
    <row r="15" spans="1:8" ht="24" customHeight="1">
      <c r="A15" s="80" t="s">
        <v>157</v>
      </c>
      <c r="B15" s="82">
        <v>0</v>
      </c>
      <c r="C15" s="82">
        <v>0</v>
      </c>
      <c r="H15" s="8" t="s">
        <v>132</v>
      </c>
    </row>
    <row r="16" spans="1:8" ht="36" customHeight="1">
      <c r="A16" s="20" t="s">
        <v>5</v>
      </c>
      <c r="B16" s="22" t="str">
        <f>+B2</f>
        <v>31.12.2016</v>
      </c>
      <c r="C16" s="29" t="str">
        <f>+C2</f>
        <v>31.12.2015</v>
      </c>
    </row>
    <row r="17" spans="1:8" ht="24" customHeight="1">
      <c r="A17" s="12" t="s">
        <v>6</v>
      </c>
      <c r="B17" s="25">
        <v>227003630</v>
      </c>
      <c r="C17" s="26">
        <v>246705649</v>
      </c>
    </row>
    <row r="18" spans="1:8" ht="24" customHeight="1">
      <c r="A18" s="55" t="s">
        <v>119</v>
      </c>
      <c r="B18" s="25">
        <v>1786674299</v>
      </c>
      <c r="C18" s="26">
        <v>1637881950</v>
      </c>
      <c r="H18" s="8" t="s">
        <v>133</v>
      </c>
    </row>
    <row r="19" spans="1:8" ht="24" customHeight="1">
      <c r="A19" s="60" t="s">
        <v>117</v>
      </c>
      <c r="B19" s="61">
        <v>2823882</v>
      </c>
      <c r="C19" s="61">
        <v>4648306</v>
      </c>
      <c r="G19" s="57">
        <f>4160464.9+513933.67-26092.57</f>
        <v>4648306</v>
      </c>
      <c r="H19" s="8" t="s">
        <v>132</v>
      </c>
    </row>
    <row r="20" spans="1:8" ht="24" customHeight="1">
      <c r="A20" s="12" t="s">
        <v>334</v>
      </c>
      <c r="B20" s="25">
        <v>11889764</v>
      </c>
      <c r="C20" s="26">
        <f>13520833-13</f>
        <v>13520820</v>
      </c>
      <c r="G20" s="57">
        <v>-12.65</v>
      </c>
    </row>
    <row r="21" spans="1:8" ht="24" customHeight="1">
      <c r="A21" s="12" t="s">
        <v>7</v>
      </c>
      <c r="B21" s="25">
        <v>2784877</v>
      </c>
      <c r="C21" s="26">
        <f>8626208-4648306+13</f>
        <v>3977915</v>
      </c>
      <c r="G21" s="57">
        <f>-G19-G20</f>
        <v>-4648293.3499999996</v>
      </c>
    </row>
    <row r="22" spans="1:8" ht="24" customHeight="1">
      <c r="A22" s="12" t="s">
        <v>120</v>
      </c>
      <c r="B22" s="25">
        <v>35216180</v>
      </c>
      <c r="C22" s="26">
        <f>24671901-502441</f>
        <v>24169460</v>
      </c>
      <c r="G22" s="57">
        <f>+G6</f>
        <v>-502440.85</v>
      </c>
    </row>
    <row r="23" spans="1:8" ht="24" customHeight="1">
      <c r="A23" s="190" t="s">
        <v>159</v>
      </c>
      <c r="B23" s="25"/>
      <c r="C23" s="26"/>
      <c r="H23" s="8" t="s">
        <v>132</v>
      </c>
    </row>
    <row r="24" spans="1:8" ht="24" customHeight="1">
      <c r="A24" s="12" t="s">
        <v>111</v>
      </c>
      <c r="B24" s="25">
        <v>32000000</v>
      </c>
      <c r="C24" s="26">
        <v>32000000</v>
      </c>
    </row>
    <row r="25" spans="1:8" ht="24" customHeight="1">
      <c r="A25" s="55" t="s">
        <v>121</v>
      </c>
      <c r="B25" s="25">
        <v>5803073</v>
      </c>
      <c r="C25" s="26">
        <v>5565883</v>
      </c>
      <c r="H25" s="8" t="s">
        <v>133</v>
      </c>
    </row>
    <row r="26" spans="1:8" ht="24" customHeight="1">
      <c r="A26" s="12" t="s">
        <v>25</v>
      </c>
      <c r="B26" s="25">
        <v>51444226</v>
      </c>
      <c r="C26" s="26">
        <v>47918903</v>
      </c>
    </row>
    <row r="27" spans="1:8" ht="24" customHeight="1">
      <c r="A27" s="12" t="s">
        <v>26</v>
      </c>
      <c r="B27" s="25">
        <v>6811755</v>
      </c>
      <c r="C27" s="26">
        <v>4743793</v>
      </c>
    </row>
    <row r="28" spans="1:8" ht="24" customHeight="1">
      <c r="A28" s="88" t="s">
        <v>160</v>
      </c>
      <c r="B28" s="86">
        <f>SUM(B24:B27)</f>
        <v>96059054</v>
      </c>
      <c r="C28" s="86">
        <f>SUM(C24:C27)</f>
        <v>90228579</v>
      </c>
      <c r="H28" s="8" t="s">
        <v>132</v>
      </c>
    </row>
    <row r="29" spans="1:8" s="10" customFormat="1" ht="24" customHeight="1">
      <c r="A29" s="9" t="s">
        <v>8</v>
      </c>
      <c r="B29" s="27">
        <f>SUM(B17:B27)</f>
        <v>2162451686</v>
      </c>
      <c r="C29" s="28">
        <f>SUM(C17:C27)</f>
        <v>2021132679</v>
      </c>
      <c r="F29" s="62">
        <f>+C29-C13</f>
        <v>-0.47000002861022949</v>
      </c>
      <c r="G29" s="59">
        <f>SUM(G17:G27)</f>
        <v>-502440.85</v>
      </c>
    </row>
    <row r="30" spans="1:8" ht="24" customHeight="1">
      <c r="A30" s="85" t="s">
        <v>24</v>
      </c>
      <c r="B30" s="86">
        <v>0</v>
      </c>
      <c r="C30" s="86">
        <v>0</v>
      </c>
      <c r="H30" s="8" t="s">
        <v>131</v>
      </c>
    </row>
    <row r="31" spans="1:8" ht="19" customHeight="1">
      <c r="A31" s="80" t="s">
        <v>158</v>
      </c>
      <c r="B31" s="82">
        <v>0</v>
      </c>
      <c r="C31" s="82">
        <v>0</v>
      </c>
      <c r="H31" s="8" t="s">
        <v>132</v>
      </c>
    </row>
  </sheetData>
  <phoneticPr fontId="16" type="noConversion"/>
  <pageMargins left="0.44" right="0.52" top="0.78" bottom="1" header="0.5" footer="0.5"/>
  <pageSetup paperSize="9" scale="72" orientation="portrait" horizontalDpi="1200" verticalDpi="1200"/>
  <legacyDrawing r:id="rId1"/>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10"/>
  <sheetViews>
    <sheetView workbookViewId="0">
      <selection activeCell="A2" sqref="A2"/>
    </sheetView>
  </sheetViews>
  <sheetFormatPr baseColWidth="10" defaultColWidth="10.83203125" defaultRowHeight="19" customHeight="1" x14ac:dyDescent="0"/>
  <cols>
    <col min="1" max="1" width="64.83203125" style="11" customWidth="1"/>
    <col min="2" max="2" width="12.83203125" style="7" customWidth="1"/>
    <col min="3" max="3" width="12.5" style="7" customWidth="1"/>
    <col min="4" max="4" width="13.5" style="7" customWidth="1"/>
    <col min="5" max="5" width="13" style="7" customWidth="1"/>
    <col min="6" max="6" width="11.1640625" style="8" customWidth="1"/>
    <col min="7" max="7" width="10.6640625" style="8" customWidth="1"/>
    <col min="8" max="8" width="10.83203125" style="8"/>
    <col min="9" max="10" width="16.33203125" style="8" customWidth="1"/>
    <col min="11" max="11" width="15.6640625" style="8" customWidth="1"/>
    <col min="12" max="16384" width="10.83203125" style="8"/>
  </cols>
  <sheetData>
    <row r="1" spans="1:11" ht="43" customHeight="1">
      <c r="A1" s="23" t="s">
        <v>61</v>
      </c>
      <c r="B1" s="18"/>
      <c r="C1" s="18"/>
      <c r="D1" s="18"/>
      <c r="E1" s="18"/>
    </row>
    <row r="2" spans="1:11" ht="43" customHeight="1">
      <c r="A2" s="78" t="s">
        <v>16</v>
      </c>
      <c r="B2" s="18"/>
      <c r="C2" s="18"/>
      <c r="D2" s="18"/>
      <c r="E2" s="18"/>
    </row>
    <row r="3" spans="1:11" ht="43" customHeight="1">
      <c r="B3" s="207" t="s">
        <v>62</v>
      </c>
      <c r="C3" s="207"/>
      <c r="D3" s="207" t="s">
        <v>63</v>
      </c>
      <c r="E3" s="207"/>
      <c r="H3" s="63" t="s">
        <v>122</v>
      </c>
      <c r="I3" s="209" t="s">
        <v>116</v>
      </c>
      <c r="J3" s="209"/>
      <c r="K3" s="77" t="s">
        <v>115</v>
      </c>
    </row>
    <row r="4" spans="1:11" ht="24" customHeight="1">
      <c r="A4" s="79"/>
      <c r="B4" s="18" t="str">
        <f>"31.12."&amp;_labels!$B$1</f>
        <v>31.12.2016</v>
      </c>
      <c r="C4" s="24" t="str">
        <f>"31.12."&amp;_labels!$B$1-1</f>
        <v>31.12.2015</v>
      </c>
      <c r="D4" s="18" t="str">
        <f>"31.12."&amp;_labels!$B$1</f>
        <v>31.12.2016</v>
      </c>
      <c r="E4" s="24" t="str">
        <f>"31.12."&amp;_labels!$B$1-1</f>
        <v>31.12.2015</v>
      </c>
      <c r="I4" s="63" t="s">
        <v>149</v>
      </c>
      <c r="J4" s="63" t="s">
        <v>63</v>
      </c>
    </row>
    <row r="5" spans="1:11" s="10" customFormat="1" ht="24" customHeight="1">
      <c r="A5" s="9" t="s">
        <v>64</v>
      </c>
      <c r="B5" s="25">
        <v>629294</v>
      </c>
      <c r="C5" s="26">
        <f>218470+249777</f>
        <v>468247</v>
      </c>
      <c r="D5" s="25">
        <v>618240</v>
      </c>
      <c r="E5" s="26">
        <f>207312+249684</f>
        <v>456996</v>
      </c>
      <c r="I5" s="73">
        <f>+I_Bilan!G8/1000</f>
        <v>249776.99469999998</v>
      </c>
      <c r="J5" s="73">
        <f>249684355.5/1000</f>
        <v>249684.35550000001</v>
      </c>
    </row>
    <row r="6" spans="1:11" ht="24" customHeight="1">
      <c r="A6" s="188" t="s">
        <v>65</v>
      </c>
      <c r="B6" s="105">
        <f>+B5</f>
        <v>629294</v>
      </c>
      <c r="C6" s="106">
        <f>+C5</f>
        <v>468247</v>
      </c>
      <c r="D6" s="105">
        <f>+D5</f>
        <v>618240</v>
      </c>
      <c r="E6" s="106">
        <f>+E5</f>
        <v>456996</v>
      </c>
      <c r="I6" s="73">
        <f>+I_Bilan!G8/1000</f>
        <v>249776.99469999998</v>
      </c>
      <c r="J6" s="73">
        <f>249684355.5/1000</f>
        <v>249684.35550000001</v>
      </c>
    </row>
    <row r="7" spans="1:11" ht="24" customHeight="1">
      <c r="A7" s="68" t="s">
        <v>197</v>
      </c>
      <c r="B7" s="25">
        <v>530</v>
      </c>
      <c r="C7" s="26">
        <v>816</v>
      </c>
      <c r="D7" s="25">
        <v>1364</v>
      </c>
      <c r="E7" s="26">
        <v>1962</v>
      </c>
    </row>
    <row r="8" spans="1:11" ht="24" customHeight="1">
      <c r="A8" s="189" t="s">
        <v>280</v>
      </c>
      <c r="B8" s="105">
        <v>0</v>
      </c>
      <c r="C8" s="106">
        <v>0</v>
      </c>
      <c r="D8" s="105">
        <v>0</v>
      </c>
      <c r="E8" s="106">
        <v>0</v>
      </c>
    </row>
    <row r="9" spans="1:11" s="10" customFormat="1" ht="19" customHeight="1">
      <c r="A9" s="9" t="s">
        <v>21</v>
      </c>
      <c r="B9" s="27">
        <f>+B5+B7</f>
        <v>629824</v>
      </c>
      <c r="C9" s="28">
        <f t="shared" ref="C9:E9" si="0">+C5+C7</f>
        <v>469063</v>
      </c>
      <c r="D9" s="27">
        <f t="shared" si="0"/>
        <v>619604</v>
      </c>
      <c r="E9" s="28">
        <f t="shared" si="0"/>
        <v>458958</v>
      </c>
    </row>
    <row r="10" spans="1:11" ht="24" customHeight="1">
      <c r="A10" s="21" t="s">
        <v>66</v>
      </c>
      <c r="B10" s="25">
        <v>76272</v>
      </c>
      <c r="C10" s="26">
        <v>6616</v>
      </c>
      <c r="D10" s="25"/>
      <c r="E10" s="26"/>
      <c r="I10" s="73">
        <f>6616477.5/1000</f>
        <v>6616.4775</v>
      </c>
      <c r="J10" s="73"/>
    </row>
  </sheetData>
  <mergeCells count="3">
    <mergeCell ref="B3:C3"/>
    <mergeCell ref="D3:E3"/>
    <mergeCell ref="I3:J3"/>
  </mergeCells>
  <pageMargins left="0.35" right="0.21" top="1" bottom="1" header="0.5" footer="0.5"/>
  <pageSetup paperSize="9" scale="65" orientation="portrait" horizontalDpi="1200" verticalDpi="1200"/>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6"/>
  <sheetViews>
    <sheetView workbookViewId="0">
      <selection activeCell="A6" sqref="A6"/>
    </sheetView>
  </sheetViews>
  <sheetFormatPr baseColWidth="10" defaultColWidth="10.83203125" defaultRowHeight="19" customHeight="1" x14ac:dyDescent="0"/>
  <cols>
    <col min="1" max="1" width="64.83203125" style="11" customWidth="1"/>
    <col min="2" max="2" width="12.83203125" style="7" customWidth="1"/>
    <col min="3" max="3" width="12.5" style="7" customWidth="1"/>
    <col min="4" max="4" width="13.5" style="7" customWidth="1"/>
    <col min="5" max="5" width="13" style="7" customWidth="1"/>
    <col min="6" max="6" width="11.1640625" style="8" customWidth="1"/>
    <col min="7" max="7" width="10.6640625" style="8" customWidth="1"/>
    <col min="8" max="8" width="10.83203125" style="8"/>
    <col min="9" max="10" width="16.33203125" style="8" customWidth="1"/>
    <col min="11" max="11" width="15.6640625" style="8" customWidth="1"/>
    <col min="12" max="16384" width="10.83203125" style="8"/>
  </cols>
  <sheetData>
    <row r="1" spans="1:11" ht="43" customHeight="1">
      <c r="A1" s="23" t="s">
        <v>61</v>
      </c>
      <c r="B1" s="18"/>
      <c r="C1" s="18"/>
      <c r="D1" s="18"/>
      <c r="E1" s="18"/>
    </row>
    <row r="2" spans="1:11" ht="21.75" customHeight="1">
      <c r="A2" s="80" t="s">
        <v>150</v>
      </c>
      <c r="K2" s="8" t="s">
        <v>132</v>
      </c>
    </row>
    <row r="3" spans="1:11" ht="27" customHeight="1">
      <c r="B3" s="81" t="s">
        <v>151</v>
      </c>
      <c r="C3" s="81" t="s">
        <v>152</v>
      </c>
      <c r="D3" s="81" t="s">
        <v>153</v>
      </c>
      <c r="E3" s="81" t="s">
        <v>154</v>
      </c>
      <c r="F3" s="81" t="s">
        <v>155</v>
      </c>
      <c r="G3" s="81" t="s">
        <v>156</v>
      </c>
    </row>
    <row r="4" spans="1:11" ht="19" customHeight="1">
      <c r="A4" s="9" t="s">
        <v>363</v>
      </c>
      <c r="B4" s="25">
        <v>352175</v>
      </c>
      <c r="C4" s="25">
        <v>121891</v>
      </c>
      <c r="D4" s="25">
        <v>88748</v>
      </c>
      <c r="E4" s="25">
        <v>21742</v>
      </c>
      <c r="F4" s="25">
        <v>44540</v>
      </c>
      <c r="G4" s="25">
        <f>198</f>
        <v>198</v>
      </c>
      <c r="J4" s="33">
        <f>SUM(B4:G4)-I_iBilan_ImmoblstnFinanciers!B6</f>
        <v>0</v>
      </c>
    </row>
    <row r="6" spans="1:11" ht="19" customHeight="1">
      <c r="A6" s="11" t="s">
        <v>370</v>
      </c>
    </row>
  </sheetData>
  <pageMargins left="0.35" right="0.21" top="1" bottom="1" header="0.5" footer="0.5"/>
  <pageSetup paperSize="9" scale="65" orientation="portrait" horizontalDpi="1200" verticalDpi="12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7"/>
  <sheetViews>
    <sheetView topLeftCell="A2" workbookViewId="0">
      <selection activeCell="A2" sqref="A2"/>
    </sheetView>
  </sheetViews>
  <sheetFormatPr baseColWidth="10" defaultColWidth="10.83203125" defaultRowHeight="19" customHeight="1" x14ac:dyDescent="0"/>
  <cols>
    <col min="1" max="1" width="53.6640625" style="11" customWidth="1"/>
    <col min="2" max="5" width="15.83203125" style="7" customWidth="1"/>
    <col min="6" max="6" width="15.1640625" style="8" customWidth="1"/>
    <col min="7" max="7" width="13.33203125" style="8" customWidth="1"/>
    <col min="8" max="8" width="12.83203125" style="8" customWidth="1"/>
    <col min="9" max="9" width="14.1640625" style="8" customWidth="1"/>
    <col min="10" max="10" width="16.5" style="8" bestFit="1" customWidth="1"/>
    <col min="11" max="16384" width="10.83203125" style="8"/>
  </cols>
  <sheetData>
    <row r="1" spans="1:10" ht="43" customHeight="1">
      <c r="A1" s="23" t="s">
        <v>61</v>
      </c>
      <c r="B1" s="18"/>
      <c r="C1" s="18"/>
      <c r="D1" s="18"/>
      <c r="E1" s="18"/>
      <c r="F1" s="18"/>
    </row>
    <row r="2" spans="1:10" ht="43" customHeight="1">
      <c r="A2" s="83" t="s">
        <v>67</v>
      </c>
      <c r="B2" s="18"/>
      <c r="C2" s="18"/>
      <c r="D2" s="18"/>
      <c r="E2" s="18"/>
      <c r="F2" s="205"/>
    </row>
    <row r="3" spans="1:10" ht="43" customHeight="1">
      <c r="B3" s="206" t="str">
        <f>"31.12."&amp;_labels!$B$1</f>
        <v>31.12.2016</v>
      </c>
      <c r="C3" s="206"/>
      <c r="D3" s="210" t="str">
        <f>"31.12."&amp;_labels!$B$1-1</f>
        <v>31.12.2015</v>
      </c>
      <c r="E3" s="210"/>
      <c r="F3" s="138" t="s">
        <v>252</v>
      </c>
      <c r="G3" s="138" t="s">
        <v>251</v>
      </c>
      <c r="H3" s="58" t="s">
        <v>116</v>
      </c>
      <c r="I3" s="58" t="s">
        <v>116</v>
      </c>
      <c r="J3" s="8" t="s">
        <v>163</v>
      </c>
    </row>
    <row r="4" spans="1:10" ht="24" customHeight="1">
      <c r="A4" s="20"/>
      <c r="B4" s="17" t="s">
        <v>68</v>
      </c>
      <c r="C4" s="17" t="s">
        <v>69</v>
      </c>
      <c r="D4" s="32" t="s">
        <v>68</v>
      </c>
      <c r="E4" s="32" t="s">
        <v>69</v>
      </c>
    </row>
    <row r="5" spans="1:10" ht="22.5" customHeight="1">
      <c r="A5" s="85" t="s">
        <v>165</v>
      </c>
      <c r="B5" s="90"/>
      <c r="C5" s="90"/>
      <c r="D5" s="91"/>
      <c r="E5" s="91"/>
      <c r="J5" s="8" t="s">
        <v>131</v>
      </c>
    </row>
    <row r="6" spans="1:10" ht="22.5" customHeight="1">
      <c r="A6" s="12" t="s">
        <v>249</v>
      </c>
      <c r="B6" s="25">
        <v>73</v>
      </c>
      <c r="C6" s="25">
        <v>195</v>
      </c>
      <c r="D6" s="26">
        <v>61</v>
      </c>
      <c r="E6" s="26">
        <v>172</v>
      </c>
    </row>
    <row r="7" spans="1:10" ht="22.5" customHeight="1">
      <c r="A7" s="12" t="s">
        <v>250</v>
      </c>
      <c r="B7" s="25">
        <f>2607+165-3-19</f>
        <v>2750</v>
      </c>
      <c r="C7" s="25">
        <v>2551</v>
      </c>
      <c r="D7" s="26">
        <f>1404+584-3-19-61</f>
        <v>1905</v>
      </c>
      <c r="E7" s="26">
        <v>3674</v>
      </c>
    </row>
    <row r="8" spans="1:10" ht="24" customHeight="1">
      <c r="A8" s="12" t="s">
        <v>70</v>
      </c>
      <c r="B8" s="25">
        <f>2845-B6-B7</f>
        <v>22</v>
      </c>
      <c r="C8" s="25">
        <f>2785-C6-C7</f>
        <v>39</v>
      </c>
      <c r="D8" s="26">
        <f>1991-D6-D7</f>
        <v>25</v>
      </c>
      <c r="E8" s="26">
        <f>3978-E6-E7</f>
        <v>132</v>
      </c>
    </row>
    <row r="9" spans="1:10" s="10" customFormat="1" ht="24" customHeight="1">
      <c r="A9" s="9" t="s">
        <v>21</v>
      </c>
      <c r="B9" s="27">
        <f>SUM(B6:B8)</f>
        <v>2845</v>
      </c>
      <c r="C9" s="27">
        <f>SUM(C6:C8)</f>
        <v>2785</v>
      </c>
      <c r="D9" s="28">
        <f>SUM(D6:D8)</f>
        <v>1991</v>
      </c>
      <c r="E9" s="28">
        <f>SUM(E6:E8)</f>
        <v>3978</v>
      </c>
      <c r="F9" s="62">
        <f>+I_Bilan!B12</f>
        <v>2845416</v>
      </c>
      <c r="G9" s="62">
        <f>+I_Bilan!C12</f>
        <v>1991057</v>
      </c>
    </row>
    <row r="10" spans="1:10" ht="43" customHeight="1">
      <c r="D10" s="17"/>
      <c r="E10" s="17"/>
      <c r="F10" s="33">
        <f>+I_Bilan!B21</f>
        <v>2784877</v>
      </c>
      <c r="G10" s="33">
        <f>+I_Bilan!C21</f>
        <v>3977915</v>
      </c>
    </row>
    <row r="11" spans="1:10" ht="35.25" customHeight="1">
      <c r="A11" s="211" t="s">
        <v>237</v>
      </c>
      <c r="B11" s="212"/>
      <c r="C11" s="212"/>
      <c r="D11" s="212"/>
      <c r="E11" s="212"/>
    </row>
    <row r="12" spans="1:10" ht="24" customHeight="1">
      <c r="B12" s="206" t="str">
        <f>"31.12."&amp;_labels!$B$1</f>
        <v>31.12.2016</v>
      </c>
      <c r="C12" s="206"/>
      <c r="D12" s="210" t="str">
        <f>"31.12."&amp;_labels!$B$1-1</f>
        <v>31.12.2015</v>
      </c>
      <c r="E12" s="210"/>
    </row>
    <row r="13" spans="1:10" ht="36" customHeight="1">
      <c r="A13" s="93" t="s">
        <v>166</v>
      </c>
      <c r="B13" s="191" t="s">
        <v>335</v>
      </c>
      <c r="C13" s="17" t="s">
        <v>71</v>
      </c>
      <c r="D13" s="197" t="s">
        <v>335</v>
      </c>
      <c r="E13" s="32" t="s">
        <v>71</v>
      </c>
    </row>
    <row r="14" spans="1:10" ht="24" customHeight="1">
      <c r="A14" s="85" t="s">
        <v>13</v>
      </c>
      <c r="B14" s="86">
        <v>88846</v>
      </c>
      <c r="C14" s="86">
        <v>22346</v>
      </c>
      <c r="D14" s="86">
        <v>88846</v>
      </c>
      <c r="E14" s="86">
        <v>22346</v>
      </c>
      <c r="J14" s="8" t="s">
        <v>131</v>
      </c>
    </row>
    <row r="15" spans="1:10" ht="24" customHeight="1">
      <c r="A15" s="12" t="s">
        <v>14</v>
      </c>
      <c r="B15" s="25">
        <f>1800+1200</f>
        <v>3000</v>
      </c>
      <c r="C15" s="25">
        <f>1800+1200</f>
        <v>3000</v>
      </c>
      <c r="D15" s="26">
        <v>1044</v>
      </c>
      <c r="E15" s="26">
        <v>1044</v>
      </c>
    </row>
    <row r="16" spans="1:10" ht="24" customHeight="1">
      <c r="A16" s="12" t="s">
        <v>16</v>
      </c>
      <c r="B16" s="25">
        <v>92821</v>
      </c>
      <c r="C16" s="25">
        <v>30937</v>
      </c>
      <c r="D16" s="26">
        <f>26117+88846</f>
        <v>114963</v>
      </c>
      <c r="E16" s="26">
        <f>4190+22346</f>
        <v>26536</v>
      </c>
      <c r="H16" s="92">
        <v>88846</v>
      </c>
      <c r="I16" s="92">
        <v>22346</v>
      </c>
    </row>
    <row r="17" spans="1:5" s="10" customFormat="1" ht="24" customHeight="1">
      <c r="A17" s="9" t="s">
        <v>21</v>
      </c>
      <c r="B17" s="27">
        <f>SUM(B15:B16)</f>
        <v>95821</v>
      </c>
      <c r="C17" s="27">
        <f>SUM(C15:C16)</f>
        <v>33937</v>
      </c>
      <c r="D17" s="28">
        <f>SUM(D15:D16)</f>
        <v>116007</v>
      </c>
      <c r="E17" s="28">
        <f>SUM(E15:E16)</f>
        <v>27580</v>
      </c>
    </row>
  </sheetData>
  <mergeCells count="5">
    <mergeCell ref="B3:C3"/>
    <mergeCell ref="D3:E3"/>
    <mergeCell ref="B12:C12"/>
    <mergeCell ref="D12:E12"/>
    <mergeCell ref="A11:E11"/>
  </mergeCells>
  <pageMargins left="0.75000000000000011" right="0.75000000000000011" top="1" bottom="1" header="0.5" footer="0.5"/>
  <pageSetup paperSize="9" scale="68" orientation="portrait" horizontalDpi="1200" verticalDpi="1200"/>
  <ignoredErrors>
    <ignoredError sqref="B17:C17" formulaRange="1"/>
  </ignoredErrors>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H14"/>
  <sheetViews>
    <sheetView workbookViewId="0">
      <selection activeCell="A14" sqref="A14"/>
    </sheetView>
  </sheetViews>
  <sheetFormatPr baseColWidth="10" defaultColWidth="10.83203125" defaultRowHeight="19" customHeight="1" x14ac:dyDescent="0"/>
  <cols>
    <col min="1" max="1" width="63.33203125" style="11" customWidth="1"/>
    <col min="2" max="2" width="18" style="142" customWidth="1"/>
    <col min="3" max="3" width="15.1640625" style="142" customWidth="1"/>
    <col min="4" max="4" width="10.83203125" style="141"/>
    <col min="5" max="5" width="12.6640625" style="8" customWidth="1"/>
    <col min="6" max="7" width="10.83203125" style="8"/>
    <col min="8" max="8" width="12.83203125" style="8" customWidth="1"/>
    <col min="9" max="16384" width="10.83203125" style="8"/>
  </cols>
  <sheetData>
    <row r="1" spans="1:8" ht="23">
      <c r="A1" s="23" t="s">
        <v>61</v>
      </c>
      <c r="B1" s="154"/>
      <c r="C1" s="154"/>
      <c r="D1" s="155"/>
      <c r="E1" s="154"/>
      <c r="F1" s="156"/>
      <c r="G1" s="156"/>
      <c r="H1" s="156"/>
    </row>
    <row r="2" spans="1:8" ht="18">
      <c r="A2" s="6"/>
      <c r="B2" s="153"/>
      <c r="C2" s="154"/>
      <c r="D2" s="155"/>
      <c r="E2" s="156"/>
      <c r="F2" s="156"/>
      <c r="G2" s="156"/>
      <c r="H2" s="156"/>
    </row>
    <row r="3" spans="1:8" ht="39" customHeight="1">
      <c r="A3" s="213" t="s">
        <v>285</v>
      </c>
      <c r="B3" s="213"/>
      <c r="C3" s="213"/>
      <c r="D3" s="183"/>
      <c r="E3" s="183"/>
      <c r="F3" s="183"/>
      <c r="G3" s="183"/>
      <c r="H3" s="183"/>
    </row>
    <row r="4" spans="1:8" ht="15">
      <c r="A4" s="157"/>
      <c r="B4" s="150"/>
      <c r="C4" s="151"/>
      <c r="D4" s="155"/>
      <c r="E4" s="156"/>
      <c r="F4" s="156"/>
      <c r="G4" s="156"/>
      <c r="H4" s="156"/>
    </row>
    <row r="5" spans="1:8" ht="32.25" customHeight="1">
      <c r="A5" s="182" t="s">
        <v>288</v>
      </c>
      <c r="B5" s="18" t="str">
        <f>"31.12."&amp;_labels!$B$1</f>
        <v>31.12.2016</v>
      </c>
      <c r="C5" s="181" t="str">
        <f>"31.12."&amp;_labels!$B$1-1</f>
        <v>31.12.2015</v>
      </c>
      <c r="D5" s="181"/>
      <c r="E5" s="156"/>
    </row>
    <row r="6" spans="1:8" ht="12" customHeight="1"/>
    <row r="7" spans="1:8" ht="19" customHeight="1">
      <c r="A7" s="11" t="s">
        <v>286</v>
      </c>
      <c r="B7" s="25">
        <f>3481710/1000</f>
        <v>3481.71</v>
      </c>
      <c r="C7" s="26">
        <f>ROUND(2908800/1000,0)</f>
        <v>2909</v>
      </c>
    </row>
    <row r="8" spans="1:8" ht="31.5" customHeight="1">
      <c r="A8" s="179" t="s">
        <v>287</v>
      </c>
      <c r="B8" s="25">
        <v>0</v>
      </c>
      <c r="C8" s="26">
        <f>+ROUND(6.614,0)</f>
        <v>7</v>
      </c>
    </row>
    <row r="9" spans="1:8" ht="19" customHeight="1">
      <c r="A9" s="11" t="s">
        <v>289</v>
      </c>
      <c r="B9" s="25">
        <v>0</v>
      </c>
      <c r="C9" s="26">
        <v>0</v>
      </c>
    </row>
    <row r="10" spans="1:8" ht="19" customHeight="1">
      <c r="A10" s="9" t="s">
        <v>21</v>
      </c>
      <c r="B10" s="27">
        <f>SUM(B7:B9)</f>
        <v>3481.71</v>
      </c>
      <c r="C10" s="28">
        <f>SUM(C7:C9)</f>
        <v>2916</v>
      </c>
    </row>
    <row r="12" spans="1:8" ht="19" customHeight="1">
      <c r="A12" s="182" t="s">
        <v>290</v>
      </c>
    </row>
    <row r="13" spans="1:8" ht="12.75" customHeight="1"/>
    <row r="14" spans="1:8" ht="19" customHeight="1">
      <c r="A14" s="11" t="s">
        <v>371</v>
      </c>
    </row>
  </sheetData>
  <mergeCells count="1">
    <mergeCell ref="A3:C3"/>
  </mergeCells>
  <pageMargins left="0.36" right="0.3" top="0.49" bottom="0.48" header="0.31496062992125984" footer="0.31496062992125984"/>
  <pageSetup paperSize="9" scale="92"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J21"/>
  <sheetViews>
    <sheetView workbookViewId="0">
      <selection activeCell="H12" sqref="H12"/>
    </sheetView>
  </sheetViews>
  <sheetFormatPr baseColWidth="10" defaultColWidth="10.83203125" defaultRowHeight="19" customHeight="1" x14ac:dyDescent="0"/>
  <cols>
    <col min="1" max="1" width="44.33203125" style="11" customWidth="1"/>
    <col min="2" max="2" width="15.83203125" style="142" customWidth="1"/>
    <col min="3" max="3" width="11" style="142" customWidth="1"/>
    <col min="4" max="4" width="10.83203125" style="141"/>
    <col min="5" max="5" width="12.6640625" style="8" customWidth="1"/>
    <col min="6" max="7" width="10.83203125" style="8"/>
    <col min="8" max="8" width="12.83203125" style="8" customWidth="1"/>
    <col min="9" max="16384" width="10.83203125" style="8"/>
  </cols>
  <sheetData>
    <row r="1" spans="1:10" ht="23">
      <c r="A1" s="23" t="s">
        <v>61</v>
      </c>
      <c r="B1" s="154"/>
      <c r="C1" s="154"/>
      <c r="D1" s="155"/>
      <c r="E1" s="154"/>
      <c r="F1" s="156"/>
      <c r="G1" s="156"/>
      <c r="H1" s="156"/>
    </row>
    <row r="2" spans="1:10" ht="18">
      <c r="A2" s="6"/>
      <c r="B2" s="153"/>
      <c r="C2" s="154"/>
      <c r="D2" s="155"/>
      <c r="E2" s="156"/>
      <c r="F2" s="156"/>
      <c r="G2" s="156"/>
      <c r="H2" s="156"/>
    </row>
    <row r="3" spans="1:10" ht="18">
      <c r="A3" s="152" t="s">
        <v>255</v>
      </c>
      <c r="B3" s="153"/>
      <c r="C3" s="154"/>
      <c r="D3" s="155"/>
      <c r="E3" s="156"/>
      <c r="F3" s="156"/>
      <c r="G3" s="156"/>
      <c r="H3" s="156"/>
    </row>
    <row r="4" spans="1:10" ht="15">
      <c r="A4" s="157"/>
      <c r="B4" s="150"/>
      <c r="C4" s="151"/>
      <c r="D4" s="155"/>
      <c r="E4" s="156"/>
      <c r="F4" s="156"/>
      <c r="G4" s="156"/>
      <c r="H4" s="156"/>
    </row>
    <row r="5" spans="1:10" ht="15">
      <c r="A5" s="157" t="s">
        <v>291</v>
      </c>
      <c r="B5" s="150"/>
      <c r="C5" s="151"/>
      <c r="D5" s="155"/>
      <c r="E5" s="156"/>
      <c r="F5" s="156"/>
      <c r="G5" s="156"/>
      <c r="H5" s="156"/>
    </row>
    <row r="6" spans="1:10" ht="15">
      <c r="A6" s="157"/>
      <c r="B6" s="150"/>
      <c r="C6" s="151"/>
      <c r="D6" s="155"/>
      <c r="E6" s="156"/>
      <c r="F6" s="156"/>
      <c r="G6" s="156"/>
      <c r="H6" s="156"/>
    </row>
    <row r="7" spans="1:10" ht="15">
      <c r="A7" s="169" t="s">
        <v>296</v>
      </c>
      <c r="B7" s="153"/>
      <c r="C7" s="154"/>
      <c r="D7" s="155"/>
      <c r="E7" s="156"/>
      <c r="F7" s="156"/>
      <c r="G7" s="156"/>
      <c r="H7" s="156"/>
    </row>
    <row r="8" spans="1:10" ht="8.25" customHeight="1">
      <c r="A8" s="157"/>
      <c r="B8" s="150"/>
      <c r="C8" s="151"/>
    </row>
    <row r="9" spans="1:10" ht="123.75" customHeight="1">
      <c r="A9" s="158"/>
      <c r="B9" s="143" t="s">
        <v>305</v>
      </c>
      <c r="C9" s="216" t="s">
        <v>258</v>
      </c>
      <c r="D9" s="216"/>
      <c r="E9" s="143" t="s">
        <v>259</v>
      </c>
      <c r="F9" s="143" t="s">
        <v>306</v>
      </c>
      <c r="G9" s="216" t="s">
        <v>260</v>
      </c>
      <c r="H9" s="216"/>
    </row>
    <row r="10" spans="1:10" ht="19" customHeight="1">
      <c r="A10" s="159"/>
      <c r="B10" s="144" t="str">
        <f>"31.12."&amp;[1]_labels!B1</f>
        <v>31.12.2015</v>
      </c>
      <c r="C10" s="145">
        <v>2015</v>
      </c>
      <c r="D10" s="145">
        <v>2014</v>
      </c>
      <c r="E10" s="145">
        <v>2015</v>
      </c>
      <c r="F10" s="145">
        <v>2015</v>
      </c>
      <c r="G10" s="145">
        <v>2015</v>
      </c>
      <c r="H10" s="145">
        <v>2014</v>
      </c>
    </row>
    <row r="11" spans="1:10" ht="19" customHeight="1">
      <c r="A11" s="160"/>
      <c r="B11" s="160"/>
      <c r="C11" s="160"/>
      <c r="D11" s="160"/>
      <c r="E11" s="160"/>
      <c r="F11" s="160"/>
      <c r="G11" s="160"/>
      <c r="H11" s="160"/>
    </row>
    <row r="12" spans="1:10" ht="19" customHeight="1">
      <c r="A12" s="161" t="s">
        <v>268</v>
      </c>
      <c r="B12" s="162">
        <f>1847809/1000</f>
        <v>1847.809</v>
      </c>
      <c r="C12" s="163">
        <v>0</v>
      </c>
      <c r="D12" s="164">
        <v>0</v>
      </c>
      <c r="E12" s="165">
        <v>0</v>
      </c>
      <c r="F12" s="166">
        <f>1864217/1000</f>
        <v>1864.2170000000001</v>
      </c>
      <c r="G12" s="166">
        <f>1864217/1000</f>
        <v>1864.2170000000001</v>
      </c>
      <c r="H12" s="167">
        <f>1439404/1000</f>
        <v>1439.404</v>
      </c>
      <c r="J12" s="8" t="s">
        <v>269</v>
      </c>
    </row>
    <row r="13" spans="1:10" ht="19" customHeight="1">
      <c r="A13" s="157"/>
      <c r="B13" s="150"/>
      <c r="C13" s="151"/>
    </row>
    <row r="14" spans="1:10" ht="19" customHeight="1">
      <c r="A14" s="157" t="s">
        <v>292</v>
      </c>
      <c r="B14" s="150"/>
      <c r="C14" s="151"/>
    </row>
    <row r="15" spans="1:10" ht="19" customHeight="1">
      <c r="A15" s="168"/>
      <c r="B15" s="153"/>
      <c r="C15" s="153"/>
      <c r="D15" s="155"/>
      <c r="E15" s="156"/>
    </row>
    <row r="16" spans="1:10" ht="46.5" customHeight="1">
      <c r="A16" s="215" t="s">
        <v>256</v>
      </c>
      <c r="B16" s="215"/>
      <c r="C16" s="215"/>
      <c r="D16" s="215"/>
      <c r="E16" s="215"/>
      <c r="F16" s="215"/>
      <c r="G16" s="215"/>
      <c r="H16" s="215"/>
    </row>
    <row r="17" spans="1:8" ht="40.5" customHeight="1">
      <c r="A17" s="215" t="s">
        <v>295</v>
      </c>
      <c r="B17" s="215"/>
      <c r="C17" s="215"/>
      <c r="D17" s="215"/>
      <c r="E17" s="215"/>
      <c r="F17" s="215"/>
      <c r="G17" s="215"/>
      <c r="H17" s="215"/>
    </row>
    <row r="18" spans="1:8" ht="22.5" customHeight="1">
      <c r="A18" s="215" t="s">
        <v>293</v>
      </c>
      <c r="B18" s="215"/>
      <c r="C18" s="215"/>
      <c r="D18" s="215"/>
      <c r="E18" s="215"/>
      <c r="F18" s="215"/>
      <c r="G18" s="215"/>
      <c r="H18" s="215"/>
    </row>
    <row r="19" spans="1:8" ht="37.5" customHeight="1">
      <c r="A19" s="215" t="s">
        <v>294</v>
      </c>
      <c r="B19" s="215"/>
      <c r="C19" s="215"/>
      <c r="D19" s="215"/>
      <c r="E19" s="215"/>
      <c r="F19" s="215"/>
      <c r="G19" s="215"/>
      <c r="H19" s="215"/>
    </row>
    <row r="20" spans="1:8" ht="18.75" customHeight="1">
      <c r="A20" s="215"/>
      <c r="B20" s="215"/>
      <c r="C20" s="215"/>
      <c r="D20" s="215"/>
      <c r="E20" s="215"/>
      <c r="F20" s="215"/>
      <c r="G20" s="215"/>
      <c r="H20" s="215"/>
    </row>
    <row r="21" spans="1:8" ht="28.5" customHeight="1">
      <c r="A21" s="214" t="s">
        <v>257</v>
      </c>
      <c r="B21" s="214"/>
      <c r="C21" s="214"/>
      <c r="D21" s="214"/>
      <c r="E21" s="214"/>
      <c r="F21" s="214"/>
      <c r="G21" s="214"/>
      <c r="H21" s="214"/>
    </row>
  </sheetData>
  <mergeCells count="8">
    <mergeCell ref="A21:H21"/>
    <mergeCell ref="A17:H17"/>
    <mergeCell ref="A18:H18"/>
    <mergeCell ref="C9:D9"/>
    <mergeCell ref="G9:H9"/>
    <mergeCell ref="A16:H16"/>
    <mergeCell ref="A19:H19"/>
    <mergeCell ref="A20:H20"/>
  </mergeCells>
  <pageMargins left="0.36" right="0.3" top="0.49" bottom="0.48" header="0.31496062992125984" footer="0.31496062992125984"/>
  <pageSetup paperSize="9" scale="68"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9"/>
  <sheetViews>
    <sheetView workbookViewId="0">
      <selection activeCell="A4" sqref="A4"/>
    </sheetView>
  </sheetViews>
  <sheetFormatPr baseColWidth="10" defaultColWidth="10.83203125" defaultRowHeight="19" customHeight="1" x14ac:dyDescent="0"/>
  <cols>
    <col min="1" max="1" width="57.33203125" style="11" customWidth="1"/>
    <col min="2" max="2" width="12.5" style="7" customWidth="1"/>
    <col min="3" max="3" width="13.33203125" style="8" customWidth="1"/>
    <col min="4" max="4" width="12" style="8" customWidth="1"/>
    <col min="5" max="6" width="12.5" style="8" customWidth="1"/>
    <col min="7" max="7" width="13.6640625" style="8" customWidth="1"/>
    <col min="8" max="8" width="12" style="8" customWidth="1"/>
    <col min="9" max="9" width="11.6640625" style="10" customWidth="1"/>
    <col min="10" max="13" width="10.83203125" style="8"/>
    <col min="14" max="14" width="16.33203125" style="8" customWidth="1"/>
    <col min="15" max="16384" width="10.83203125" style="8"/>
  </cols>
  <sheetData>
    <row r="1" spans="1:14" ht="44.25" customHeight="1">
      <c r="A1" s="217" t="s">
        <v>174</v>
      </c>
      <c r="B1" s="218"/>
      <c r="C1" s="218"/>
      <c r="D1" s="218"/>
      <c r="E1" s="218"/>
      <c r="F1" s="218"/>
      <c r="G1" s="218"/>
      <c r="H1" s="218"/>
      <c r="I1" s="218"/>
      <c r="N1" s="8" t="s">
        <v>163</v>
      </c>
    </row>
    <row r="2" spans="1:14" ht="56.25" customHeight="1">
      <c r="A2" s="20"/>
      <c r="B2" s="40" t="str">
        <f>"État au 31.12."&amp;_labels!$B$1-1</f>
        <v>État au 31.12.2015</v>
      </c>
      <c r="C2" s="41" t="s">
        <v>301</v>
      </c>
      <c r="D2" s="41" t="s">
        <v>167</v>
      </c>
      <c r="E2" s="95" t="s">
        <v>168</v>
      </c>
      <c r="F2" s="41" t="s">
        <v>169</v>
      </c>
      <c r="G2" s="41" t="s">
        <v>170</v>
      </c>
      <c r="H2" s="41" t="s">
        <v>171</v>
      </c>
      <c r="I2" s="42" t="str">
        <f>"État au 31.12."&amp;_labels!$B$1</f>
        <v>État au 31.12.2016</v>
      </c>
      <c r="M2" s="8" t="s">
        <v>238</v>
      </c>
    </row>
    <row r="3" spans="1:14" ht="24" customHeight="1">
      <c r="A3" s="12" t="s">
        <v>72</v>
      </c>
      <c r="B3" s="26">
        <v>24170</v>
      </c>
      <c r="C3" s="43">
        <v>0</v>
      </c>
      <c r="D3" s="43">
        <v>0</v>
      </c>
      <c r="E3" s="56">
        <v>0</v>
      </c>
      <c r="F3" s="43">
        <v>0</v>
      </c>
      <c r="G3" s="43">
        <f>11047-1</f>
        <v>11046</v>
      </c>
      <c r="H3" s="43">
        <v>0</v>
      </c>
      <c r="I3" s="27">
        <f t="shared" ref="I3:I5" si="0">SUM(B3:H3)</f>
        <v>35216</v>
      </c>
      <c r="M3" s="8">
        <v>-1</v>
      </c>
    </row>
    <row r="4" spans="1:14" s="10" customFormat="1" ht="24" customHeight="1">
      <c r="A4" s="84" t="s">
        <v>172</v>
      </c>
      <c r="B4" s="28">
        <f>+B3</f>
        <v>24170</v>
      </c>
      <c r="C4" s="44">
        <f>SUM(C3)</f>
        <v>0</v>
      </c>
      <c r="D4" s="44">
        <f t="shared" ref="D4:I4" si="1">SUM(D3)</f>
        <v>0</v>
      </c>
      <c r="E4" s="87">
        <f t="shared" si="1"/>
        <v>0</v>
      </c>
      <c r="F4" s="44">
        <f t="shared" si="1"/>
        <v>0</v>
      </c>
      <c r="G4" s="44">
        <f t="shared" si="1"/>
        <v>11046</v>
      </c>
      <c r="H4" s="44">
        <f t="shared" si="1"/>
        <v>0</v>
      </c>
      <c r="I4" s="27">
        <f t="shared" si="1"/>
        <v>35216</v>
      </c>
      <c r="N4" s="8" t="s">
        <v>163</v>
      </c>
    </row>
    <row r="5" spans="1:14" ht="24" customHeight="1">
      <c r="A5" s="85" t="s">
        <v>109</v>
      </c>
      <c r="B5" s="86">
        <v>3955</v>
      </c>
      <c r="C5" s="86">
        <v>0</v>
      </c>
      <c r="D5" s="86">
        <v>0</v>
      </c>
      <c r="E5" s="86">
        <v>0</v>
      </c>
      <c r="F5" s="86">
        <v>0</v>
      </c>
      <c r="G5" s="86">
        <v>0</v>
      </c>
      <c r="H5" s="86">
        <v>0</v>
      </c>
      <c r="I5" s="89">
        <f t="shared" si="0"/>
        <v>3955</v>
      </c>
      <c r="N5" s="8" t="s">
        <v>164</v>
      </c>
    </row>
    <row r="6" spans="1:14" s="10" customFormat="1" ht="24" customHeight="1">
      <c r="A6" s="88" t="s">
        <v>73</v>
      </c>
      <c r="B6" s="89">
        <v>24672</v>
      </c>
      <c r="C6" s="89">
        <f>SUM(C4:C5)</f>
        <v>0</v>
      </c>
      <c r="D6" s="89">
        <f t="shared" ref="D6:I6" si="2">SUM(D4:D5)</f>
        <v>0</v>
      </c>
      <c r="E6" s="89">
        <f t="shared" ref="E6" si="3">SUM(E4:E5)</f>
        <v>0</v>
      </c>
      <c r="F6" s="89">
        <f t="shared" si="2"/>
        <v>0</v>
      </c>
      <c r="G6" s="89">
        <f t="shared" si="2"/>
        <v>11046</v>
      </c>
      <c r="H6" s="89">
        <f t="shared" si="2"/>
        <v>0</v>
      </c>
      <c r="I6" s="89">
        <f t="shared" si="2"/>
        <v>39171</v>
      </c>
      <c r="N6" s="8" t="s">
        <v>164</v>
      </c>
    </row>
    <row r="7" spans="1:14" ht="34.5" customHeight="1">
      <c r="A7" s="94" t="s">
        <v>173</v>
      </c>
      <c r="B7" s="26">
        <v>4457</v>
      </c>
      <c r="C7" s="43">
        <v>0</v>
      </c>
      <c r="D7" s="43">
        <v>0</v>
      </c>
      <c r="E7" s="56">
        <f>21-14</f>
        <v>7</v>
      </c>
      <c r="F7" s="43">
        <v>14</v>
      </c>
      <c r="G7" s="43">
        <v>960</v>
      </c>
      <c r="H7" s="43">
        <v>-3</v>
      </c>
      <c r="I7" s="27">
        <f>SUM(B7:H7)</f>
        <v>5435</v>
      </c>
    </row>
    <row r="9" spans="1:14" ht="19" customHeight="1">
      <c r="A9" s="11" t="s">
        <v>274</v>
      </c>
    </row>
  </sheetData>
  <mergeCells count="1">
    <mergeCell ref="A1:I1"/>
  </mergeCells>
  <pageMargins left="0.35" right="0.28000000000000003" top="0.88" bottom="1" header="0.5" footer="0.5"/>
  <pageSetup paperSize="9" scale="57" orientation="portrait" horizontalDpi="1200" verticalDpi="1200"/>
  <ignoredErrors>
    <ignoredError sqref="I4:I6" formula="1"/>
  </ignoredErrors>
  <extLst>
    <ext xmlns:mx="http://schemas.microsoft.com/office/mac/excel/2008/main" uri="{64002731-A6B0-56B0-2670-7721B7C09600}">
      <mx:PLV Mode="0" OnePage="0" WScale="10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23"/>
  <sheetViews>
    <sheetView workbookViewId="0">
      <selection activeCell="A2" sqref="A2"/>
    </sheetView>
  </sheetViews>
  <sheetFormatPr baseColWidth="10" defaultColWidth="10.83203125" defaultRowHeight="19" customHeight="1" x14ac:dyDescent="0"/>
  <cols>
    <col min="1" max="1" width="39.33203125" style="11" customWidth="1"/>
    <col min="2" max="2" width="15.6640625" style="7" customWidth="1"/>
    <col min="3" max="7" width="15.83203125" style="7" customWidth="1"/>
    <col min="8" max="16384" width="10.83203125" style="8"/>
  </cols>
  <sheetData>
    <row r="1" spans="1:8" ht="43" customHeight="1">
      <c r="A1" s="53" t="s">
        <v>110</v>
      </c>
      <c r="B1" s="18"/>
      <c r="C1" s="18"/>
      <c r="D1" s="18"/>
      <c r="E1" s="18"/>
      <c r="F1" s="18"/>
      <c r="G1" s="18"/>
      <c r="H1" s="18"/>
    </row>
    <row r="2" spans="1:8" ht="24" customHeight="1">
      <c r="A2" s="54"/>
      <c r="B2" s="206" t="str">
        <f>"31.12."&amp;_labels!$B$1</f>
        <v>31.12.2016</v>
      </c>
      <c r="C2" s="206"/>
      <c r="D2" s="206"/>
      <c r="E2" s="210" t="str">
        <f>"31.12."&amp;_labels!$B$1-1</f>
        <v>31.12.2015</v>
      </c>
      <c r="F2" s="210"/>
      <c r="G2" s="210"/>
    </row>
    <row r="3" spans="1:8" ht="36" customHeight="1">
      <c r="A3" s="20"/>
      <c r="B3" s="17" t="s">
        <v>75</v>
      </c>
      <c r="C3" s="17" t="s">
        <v>76</v>
      </c>
      <c r="D3" s="17" t="s">
        <v>77</v>
      </c>
      <c r="E3" s="32" t="s">
        <v>75</v>
      </c>
      <c r="F3" s="32" t="s">
        <v>76</v>
      </c>
      <c r="G3" s="32" t="s">
        <v>77</v>
      </c>
    </row>
    <row r="4" spans="1:8" ht="24" customHeight="1">
      <c r="A4" s="12" t="s">
        <v>74</v>
      </c>
      <c r="B4" s="25">
        <v>32000</v>
      </c>
      <c r="C4" s="25">
        <v>197340</v>
      </c>
      <c r="D4" s="25">
        <v>32000</v>
      </c>
      <c r="E4" s="26">
        <v>32000</v>
      </c>
      <c r="F4" s="26">
        <v>197340</v>
      </c>
      <c r="G4" s="26">
        <v>32000</v>
      </c>
    </row>
    <row r="5" spans="1:8" s="48" customFormat="1" ht="24" customHeight="1">
      <c r="A5" s="45"/>
      <c r="B5" s="46"/>
      <c r="C5" s="46" t="s">
        <v>78</v>
      </c>
      <c r="D5" s="46"/>
      <c r="E5" s="47"/>
      <c r="F5" s="47" t="s">
        <v>78</v>
      </c>
      <c r="G5" s="47"/>
    </row>
    <row r="6" spans="1:8" ht="24" customHeight="1">
      <c r="A6" s="12"/>
      <c r="B6" s="25"/>
      <c r="C6" s="25">
        <v>12266</v>
      </c>
      <c r="D6" s="25"/>
      <c r="E6" s="26"/>
      <c r="F6" s="26">
        <v>12266</v>
      </c>
      <c r="G6" s="26"/>
    </row>
    <row r="7" spans="1:8" s="48" customFormat="1" ht="24" customHeight="1">
      <c r="A7" s="45"/>
      <c r="B7" s="46"/>
      <c r="C7" s="46" t="s">
        <v>112</v>
      </c>
      <c r="D7" s="46"/>
      <c r="E7" s="47"/>
      <c r="F7" s="47" t="s">
        <v>112</v>
      </c>
      <c r="G7" s="47"/>
    </row>
    <row r="8" spans="1:8" s="10" customFormat="1" ht="24" customHeight="1">
      <c r="A8" s="9" t="s">
        <v>21</v>
      </c>
      <c r="B8" s="27">
        <v>32000</v>
      </c>
      <c r="C8" s="27">
        <v>209606</v>
      </c>
      <c r="D8" s="27">
        <v>32000</v>
      </c>
      <c r="E8" s="28">
        <v>32000</v>
      </c>
      <c r="F8" s="28">
        <v>209606</v>
      </c>
      <c r="G8" s="28">
        <v>32000</v>
      </c>
    </row>
    <row r="9" spans="1:8" ht="24" customHeight="1">
      <c r="E9" s="110"/>
      <c r="F9" s="110"/>
      <c r="G9" s="110"/>
    </row>
    <row r="10" spans="1:8" ht="24" customHeight="1">
      <c r="A10" s="11" t="s">
        <v>353</v>
      </c>
      <c r="E10" s="110"/>
      <c r="F10" s="110"/>
      <c r="G10" s="110"/>
    </row>
    <row r="11" spans="1:8" ht="24" customHeight="1">
      <c r="E11" s="110"/>
      <c r="F11" s="110"/>
      <c r="G11" s="110"/>
    </row>
    <row r="12" spans="1:8" ht="24" customHeight="1">
      <c r="E12" s="110"/>
      <c r="F12" s="110"/>
      <c r="G12" s="110"/>
    </row>
    <row r="13" spans="1:8" ht="56.25" customHeight="1">
      <c r="A13" s="221" t="s">
        <v>79</v>
      </c>
      <c r="B13" s="221"/>
      <c r="C13" s="221"/>
      <c r="D13" s="221"/>
      <c r="E13" s="221"/>
      <c r="F13" s="221"/>
      <c r="G13" s="221"/>
    </row>
    <row r="14" spans="1:8" ht="24" customHeight="1">
      <c r="A14" s="118"/>
      <c r="B14" s="219" t="str">
        <f>"31.12."&amp;_labels!$B$1</f>
        <v>31.12.2016</v>
      </c>
      <c r="C14" s="219"/>
      <c r="D14" s="219"/>
      <c r="E14" s="220" t="str">
        <f>"31.12."&amp;_labels!$B$1-1</f>
        <v>31.12.2015</v>
      </c>
      <c r="F14" s="220"/>
      <c r="G14" s="220"/>
    </row>
    <row r="15" spans="1:8" ht="36" customHeight="1">
      <c r="A15" s="119"/>
      <c r="B15" s="120" t="s">
        <v>80</v>
      </c>
      <c r="C15" s="120" t="s">
        <v>81</v>
      </c>
      <c r="D15" s="120" t="s">
        <v>82</v>
      </c>
      <c r="E15" s="121" t="s">
        <v>80</v>
      </c>
      <c r="F15" s="121" t="s">
        <v>81</v>
      </c>
      <c r="G15" s="121" t="s">
        <v>82</v>
      </c>
    </row>
    <row r="16" spans="1:8" ht="24" customHeight="1">
      <c r="A16" s="122" t="s">
        <v>83</v>
      </c>
      <c r="B16" s="123"/>
      <c r="C16" s="123"/>
      <c r="D16" s="123"/>
      <c r="E16" s="124"/>
      <c r="F16" s="124"/>
      <c r="G16" s="124"/>
    </row>
    <row r="17" spans="1:7" ht="24" customHeight="1">
      <c r="A17" s="122" t="s">
        <v>84</v>
      </c>
      <c r="B17" s="123">
        <v>30404</v>
      </c>
      <c r="C17" s="125">
        <v>95.01</v>
      </c>
      <c r="D17" s="125">
        <v>71.23</v>
      </c>
      <c r="E17" s="124">
        <v>25086</v>
      </c>
      <c r="F17" s="126">
        <v>78.39</v>
      </c>
      <c r="G17" s="126">
        <v>71.23</v>
      </c>
    </row>
    <row r="18" spans="1:7" ht="24" customHeight="1">
      <c r="A18" s="122" t="s">
        <v>85</v>
      </c>
      <c r="B18" s="123">
        <v>0</v>
      </c>
      <c r="C18" s="125">
        <v>0</v>
      </c>
      <c r="D18" s="125">
        <v>5.88</v>
      </c>
      <c r="E18" s="124">
        <v>1233</v>
      </c>
      <c r="F18" s="126">
        <v>3.85</v>
      </c>
      <c r="G18" s="126">
        <v>5.88</v>
      </c>
    </row>
    <row r="19" spans="1:7" ht="24" customHeight="1">
      <c r="A19" s="122" t="s">
        <v>86</v>
      </c>
      <c r="B19" s="123">
        <v>708</v>
      </c>
      <c r="C19" s="125">
        <v>2.21</v>
      </c>
      <c r="D19" s="125">
        <v>5.32</v>
      </c>
      <c r="E19" s="124">
        <v>1307</v>
      </c>
      <c r="F19" s="126">
        <v>4.08</v>
      </c>
      <c r="G19" s="126">
        <v>5.32</v>
      </c>
    </row>
    <row r="20" spans="1:7" ht="19" customHeight="1">
      <c r="A20" s="118"/>
      <c r="B20" s="127"/>
      <c r="C20" s="127"/>
      <c r="D20" s="127"/>
      <c r="E20" s="127"/>
      <c r="F20" s="127"/>
      <c r="G20" s="127"/>
    </row>
    <row r="21" spans="1:7" ht="24" customHeight="1">
      <c r="A21" s="122" t="s">
        <v>189</v>
      </c>
      <c r="B21" s="123"/>
      <c r="C21" s="123"/>
      <c r="D21" s="123"/>
      <c r="E21" s="124"/>
      <c r="F21" s="124"/>
      <c r="G21" s="124"/>
    </row>
    <row r="22" spans="1:7" ht="24" customHeight="1">
      <c r="A22" s="122" t="s">
        <v>87</v>
      </c>
      <c r="B22" s="127"/>
      <c r="C22" s="127"/>
      <c r="D22" s="123"/>
      <c r="E22" s="128" t="s">
        <v>187</v>
      </c>
      <c r="F22" s="123" t="s">
        <v>113</v>
      </c>
      <c r="G22" s="127"/>
    </row>
    <row r="23" spans="1:7" ht="24" customHeight="1">
      <c r="A23" s="122" t="s">
        <v>88</v>
      </c>
      <c r="B23" s="127"/>
      <c r="C23" s="127"/>
      <c r="D23" s="123"/>
      <c r="E23" s="128" t="s">
        <v>188</v>
      </c>
      <c r="F23" s="123" t="s">
        <v>114</v>
      </c>
      <c r="G23" s="127"/>
    </row>
  </sheetData>
  <mergeCells count="5">
    <mergeCell ref="B2:D2"/>
    <mergeCell ref="E2:G2"/>
    <mergeCell ref="B14:D14"/>
    <mergeCell ref="E14:G14"/>
    <mergeCell ref="A13:G13"/>
  </mergeCells>
  <pageMargins left="0.4" right="0.36" top="1" bottom="1" header="0.5" footer="0.5"/>
  <pageSetup paperSize="9" scale="66" orientation="portrait" horizontalDpi="1200" verticalDpi="1200"/>
  <ignoredErrors>
    <ignoredError sqref="E22:E23" numberStoredAsText="1"/>
  </ignoredErrors>
  <extLst>
    <ext xmlns:mx="http://schemas.microsoft.com/office/mac/excel/2008/main" uri="{64002731-A6B0-56B0-2670-7721B7C09600}">
      <mx:PLV Mode="0" OnePage="0" WScale="10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8"/>
  <sheetViews>
    <sheetView workbookViewId="0">
      <selection activeCell="A3" sqref="A3"/>
    </sheetView>
  </sheetViews>
  <sheetFormatPr baseColWidth="10" defaultColWidth="10.83203125" defaultRowHeight="19" customHeight="1" x14ac:dyDescent="0"/>
  <cols>
    <col min="1" max="1" width="39.33203125" style="11" customWidth="1"/>
    <col min="2" max="2" width="15.6640625" style="7" customWidth="1"/>
    <col min="3" max="5" width="15.83203125" style="7" customWidth="1"/>
    <col min="6" max="16384" width="10.83203125" style="8"/>
  </cols>
  <sheetData>
    <row r="1" spans="1:5" ht="43" customHeight="1">
      <c r="A1" s="53" t="s">
        <v>110</v>
      </c>
      <c r="B1" s="18"/>
      <c r="C1" s="18"/>
      <c r="D1" s="18"/>
      <c r="E1" s="18"/>
    </row>
    <row r="2" spans="1:5" ht="36.75" customHeight="1">
      <c r="A2" s="211" t="s">
        <v>366</v>
      </c>
      <c r="B2" s="211"/>
      <c r="C2" s="211"/>
      <c r="D2" s="211"/>
      <c r="E2" s="211"/>
    </row>
    <row r="3" spans="1:5" ht="28.5" customHeight="1">
      <c r="B3" s="207" t="s">
        <v>240</v>
      </c>
      <c r="C3" s="207"/>
      <c r="D3" s="222" t="s">
        <v>241</v>
      </c>
      <c r="E3" s="222"/>
    </row>
    <row r="4" spans="1:5" ht="28.5" customHeight="1">
      <c r="B4" s="136" t="str">
        <f>"31.12."&amp;_labels!$B$1</f>
        <v>31.12.2016</v>
      </c>
      <c r="C4" s="137" t="str">
        <f>"31.12."&amp;_labels!$B$1-1</f>
        <v>31.12.2015</v>
      </c>
      <c r="D4" s="136" t="str">
        <f>"31.12."&amp;_labels!$B$1</f>
        <v>31.12.2016</v>
      </c>
      <c r="E4" s="137" t="str">
        <f>"31.12."&amp;_labels!$B$1-1</f>
        <v>31.12.2015</v>
      </c>
    </row>
    <row r="5" spans="1:5" ht="24" customHeight="1">
      <c r="A5" s="12" t="s">
        <v>364</v>
      </c>
      <c r="B5" s="111">
        <f>(10+10+10+577)*0</f>
        <v>0</v>
      </c>
      <c r="C5" s="133">
        <f>(30+354+577)*0</f>
        <v>0</v>
      </c>
      <c r="D5" s="30">
        <f>+B5*100/1000</f>
        <v>0</v>
      </c>
      <c r="E5" s="134">
        <f>+C5*100/1000</f>
        <v>0</v>
      </c>
    </row>
    <row r="6" spans="1:5" ht="24" customHeight="1">
      <c r="A6" s="12" t="s">
        <v>365</v>
      </c>
      <c r="B6" s="111">
        <f>800*0</f>
        <v>0</v>
      </c>
      <c r="C6" s="133">
        <f>2571*0</f>
        <v>0</v>
      </c>
      <c r="D6" s="30">
        <f>+B6*100/1000</f>
        <v>0</v>
      </c>
      <c r="E6" s="134">
        <f t="shared" ref="E6:E7" si="0">+C6*100/1000</f>
        <v>0</v>
      </c>
    </row>
    <row r="7" spans="1:5" ht="24" customHeight="1">
      <c r="A7" s="12" t="s">
        <v>239</v>
      </c>
      <c r="B7" s="111">
        <f>122*0</f>
        <v>0</v>
      </c>
      <c r="C7" s="133">
        <f>122*0</f>
        <v>0</v>
      </c>
      <c r="D7" s="30">
        <f>+B7*100/1000</f>
        <v>0</v>
      </c>
      <c r="E7" s="134">
        <f t="shared" si="0"/>
        <v>0</v>
      </c>
    </row>
    <row r="8" spans="1:5" ht="24" customHeight="1">
      <c r="A8" s="9" t="s">
        <v>21</v>
      </c>
      <c r="B8" s="111">
        <f>SUM(B5:B7)</f>
        <v>0</v>
      </c>
      <c r="C8" s="133">
        <f t="shared" ref="C8:E8" si="1">SUM(C5:C7)</f>
        <v>0</v>
      </c>
      <c r="D8" s="30">
        <f t="shared" si="1"/>
        <v>0</v>
      </c>
      <c r="E8" s="134">
        <f t="shared" si="1"/>
        <v>0</v>
      </c>
    </row>
  </sheetData>
  <mergeCells count="3">
    <mergeCell ref="A2:E2"/>
    <mergeCell ref="B3:C3"/>
    <mergeCell ref="D3:E3"/>
  </mergeCells>
  <pageMargins left="0.4" right="0.36" top="1" bottom="1" header="0.5" footer="0.5"/>
  <pageSetup paperSize="9" scale="66" orientation="portrait" horizontalDpi="1200" verticalDpi="1200"/>
  <extLst>
    <ext xmlns:mx="http://schemas.microsoft.com/office/mac/excel/2008/main" uri="{64002731-A6B0-56B0-2670-7721B7C09600}">
      <mx:PLV Mode="0" OnePage="0" WScale="10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J20"/>
  <sheetViews>
    <sheetView workbookViewId="0">
      <selection activeCell="A5" sqref="A5"/>
    </sheetView>
  </sheetViews>
  <sheetFormatPr baseColWidth="10" defaultColWidth="10.83203125" defaultRowHeight="19" customHeight="1" x14ac:dyDescent="0"/>
  <cols>
    <col min="1" max="1" width="51" style="11" customWidth="1"/>
    <col min="2" max="2" width="13.6640625" style="7" customWidth="1"/>
    <col min="3" max="3" width="13" style="7" customWidth="1"/>
    <col min="4" max="4" width="14.1640625" style="7" customWidth="1"/>
    <col min="5" max="5" width="14" style="7" customWidth="1"/>
    <col min="6" max="7" width="10.83203125" style="8"/>
    <col min="8" max="8" width="12.83203125" style="8" customWidth="1"/>
    <col min="9" max="9" width="14.1640625" style="8" customWidth="1"/>
    <col min="10" max="10" width="16.5" style="8" bestFit="1" customWidth="1"/>
    <col min="11" max="16384" width="10.83203125" style="8"/>
  </cols>
  <sheetData>
    <row r="1" spans="1:10" ht="43" customHeight="1">
      <c r="A1" s="98" t="s">
        <v>175</v>
      </c>
      <c r="B1" s="18"/>
      <c r="C1" s="18"/>
      <c r="D1" s="18"/>
      <c r="E1" s="18"/>
      <c r="F1" s="18"/>
    </row>
    <row r="2" spans="1:10" ht="43" customHeight="1">
      <c r="B2" s="223" t="s">
        <v>176</v>
      </c>
      <c r="C2" s="223"/>
      <c r="D2" s="223" t="s">
        <v>177</v>
      </c>
      <c r="E2" s="223"/>
      <c r="H2" s="58" t="s">
        <v>116</v>
      </c>
      <c r="I2" s="58" t="s">
        <v>116</v>
      </c>
      <c r="J2" s="8" t="s">
        <v>163</v>
      </c>
    </row>
    <row r="3" spans="1:10" ht="24" customHeight="1">
      <c r="A3" s="20"/>
      <c r="B3" s="18" t="str">
        <f>"31.12."&amp;_labels!$B$1</f>
        <v>31.12.2016</v>
      </c>
      <c r="C3" s="181" t="str">
        <f>"31.12."&amp;_labels!$B$1-1</f>
        <v>31.12.2015</v>
      </c>
      <c r="D3" s="18" t="str">
        <f>"31.12."&amp;_labels!$B$1</f>
        <v>31.12.2016</v>
      </c>
      <c r="E3" s="181" t="str">
        <f>"31.12."&amp;_labels!$B$1-1</f>
        <v>31.12.2015</v>
      </c>
    </row>
    <row r="4" spans="1:10" ht="24" customHeight="1">
      <c r="A4" s="12" t="s">
        <v>178</v>
      </c>
      <c r="B4" s="25">
        <f>1654+486</f>
        <v>2140</v>
      </c>
      <c r="C4" s="26">
        <f>2615+301-33</f>
        <v>2883</v>
      </c>
      <c r="D4" s="25">
        <f>34818-758</f>
        <v>34060</v>
      </c>
      <c r="E4" s="26">
        <v>1825</v>
      </c>
    </row>
    <row r="5" spans="1:10" ht="24" customHeight="1">
      <c r="A5" s="12" t="s">
        <v>369</v>
      </c>
      <c r="B5" s="25">
        <f>742+820</f>
        <v>1562</v>
      </c>
      <c r="C5" s="26">
        <f>260+11844</f>
        <v>12104</v>
      </c>
      <c r="D5" s="25">
        <v>169623</v>
      </c>
      <c r="E5" s="26">
        <v>183158</v>
      </c>
    </row>
    <row r="6" spans="1:10" ht="24" customHeight="1">
      <c r="A6" s="12" t="s">
        <v>179</v>
      </c>
      <c r="B6" s="25">
        <f>363+5</f>
        <v>368</v>
      </c>
      <c r="C6" s="26">
        <f>33+80</f>
        <v>113</v>
      </c>
      <c r="D6" s="25">
        <f>1275</f>
        <v>1275</v>
      </c>
      <c r="E6" s="26">
        <v>2800</v>
      </c>
    </row>
    <row r="7" spans="1:10" ht="24" customHeight="1">
      <c r="A7" s="12" t="s">
        <v>180</v>
      </c>
      <c r="B7" s="25"/>
      <c r="C7" s="25"/>
      <c r="D7" s="26"/>
      <c r="E7" s="26"/>
    </row>
    <row r="8" spans="1:10" s="10" customFormat="1" ht="24" customHeight="1">
      <c r="A8" s="9" t="s">
        <v>21</v>
      </c>
      <c r="B8" s="27">
        <f>SUM(B4:B7)</f>
        <v>4070</v>
      </c>
      <c r="C8" s="28">
        <f t="shared" ref="C8:E8" si="0">SUM(C4:C7)</f>
        <v>15100</v>
      </c>
      <c r="D8" s="27">
        <f t="shared" si="0"/>
        <v>204958</v>
      </c>
      <c r="E8" s="28">
        <f t="shared" si="0"/>
        <v>187783</v>
      </c>
    </row>
    <row r="9" spans="1:10" s="10" customFormat="1" ht="16.5" customHeight="1">
      <c r="A9" s="9"/>
      <c r="B9" s="27"/>
      <c r="C9" s="28"/>
      <c r="D9" s="27"/>
      <c r="E9" s="28"/>
    </row>
    <row r="10" spans="1:10" s="10" customFormat="1" ht="24" customHeight="1">
      <c r="A10" s="12" t="s">
        <v>198</v>
      </c>
      <c r="B10" s="27"/>
      <c r="C10" s="28"/>
      <c r="D10" s="27"/>
      <c r="E10" s="28"/>
    </row>
    <row r="11" spans="1:10" s="10" customFormat="1" ht="24" customHeight="1">
      <c r="A11" s="12"/>
      <c r="B11" s="27"/>
      <c r="C11" s="28"/>
      <c r="D11" s="27"/>
      <c r="E11" s="28"/>
    </row>
    <row r="12" spans="1:10" ht="43" customHeight="1">
      <c r="A12" s="98" t="s">
        <v>181</v>
      </c>
      <c r="D12" s="17"/>
      <c r="E12" s="17"/>
    </row>
    <row r="13" spans="1:10" ht="19" customHeight="1">
      <c r="B13" s="224" t="str">
        <f>"31.12."&amp;_labels!$B$1</f>
        <v>31.12.2016</v>
      </c>
      <c r="C13" s="223"/>
      <c r="D13" s="225" t="str">
        <f>"31.12."&amp;_labels!$B$1-1</f>
        <v>31.12.2015</v>
      </c>
      <c r="E13" s="225"/>
    </row>
    <row r="14" spans="1:10" ht="19" customHeight="1">
      <c r="A14" s="99" t="s">
        <v>184</v>
      </c>
      <c r="B14" s="96" t="s">
        <v>182</v>
      </c>
      <c r="C14" s="96" t="s">
        <v>90</v>
      </c>
      <c r="D14" s="97" t="s">
        <v>182</v>
      </c>
      <c r="E14" s="97" t="s">
        <v>90</v>
      </c>
    </row>
    <row r="15" spans="1:10" ht="19" customHeight="1">
      <c r="A15" s="99" t="s">
        <v>185</v>
      </c>
      <c r="B15" s="96"/>
      <c r="C15" s="96"/>
      <c r="D15" s="97"/>
      <c r="E15" s="97"/>
    </row>
    <row r="16" spans="1:10" ht="19" customHeight="1">
      <c r="A16" s="11" t="s">
        <v>183</v>
      </c>
      <c r="B16" s="25">
        <v>30404</v>
      </c>
      <c r="C16" s="100">
        <v>0.95009999999999994</v>
      </c>
      <c r="D16" s="25">
        <v>25086</v>
      </c>
      <c r="E16" s="100">
        <v>0.78390000000000004</v>
      </c>
    </row>
    <row r="17" spans="1:5" ht="19" customHeight="1">
      <c r="A17" s="112" t="s">
        <v>186</v>
      </c>
      <c r="B17" s="25"/>
      <c r="C17" s="26"/>
      <c r="D17" s="25"/>
      <c r="E17" s="26"/>
    </row>
    <row r="18" spans="1:5" ht="19" customHeight="1">
      <c r="A18" s="114" t="s">
        <v>87</v>
      </c>
      <c r="B18" s="105">
        <v>25719</v>
      </c>
      <c r="C18" s="113">
        <v>0.67879999999999996</v>
      </c>
      <c r="D18" s="105">
        <v>23767</v>
      </c>
      <c r="E18" s="113">
        <v>0.66020000000000001</v>
      </c>
    </row>
    <row r="19" spans="1:5" ht="19" customHeight="1">
      <c r="A19" s="114" t="s">
        <v>88</v>
      </c>
      <c r="B19" s="105">
        <v>4196</v>
      </c>
      <c r="C19" s="113">
        <v>0.1108</v>
      </c>
      <c r="D19" s="105">
        <v>4886</v>
      </c>
      <c r="E19" s="113">
        <v>0.13569999999999999</v>
      </c>
    </row>
    <row r="20" spans="1:5" ht="19" customHeight="1">
      <c r="B20" s="27"/>
      <c r="C20" s="28"/>
      <c r="D20" s="27"/>
      <c r="E20" s="28"/>
    </row>
  </sheetData>
  <mergeCells count="4">
    <mergeCell ref="B2:C2"/>
    <mergeCell ref="D2:E2"/>
    <mergeCell ref="B13:C13"/>
    <mergeCell ref="D13:E13"/>
  </mergeCells>
  <pageMargins left="0.46" right="0.24" top="0.74803149606299213" bottom="0.74803149606299213" header="0.31496062992125984" footer="0.31496062992125984"/>
  <pageSetup paperSize="9" scale="84" orientation="portrait"/>
  <ignoredErrors>
    <ignoredError sqref="B8:E8" formulaRange="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pageSetUpPr fitToPage="1"/>
  </sheetPr>
  <dimension ref="A1:N19"/>
  <sheetViews>
    <sheetView workbookViewId="0">
      <selection activeCell="A17" sqref="A17"/>
    </sheetView>
  </sheetViews>
  <sheetFormatPr baseColWidth="10" defaultColWidth="8.83203125" defaultRowHeight="15" x14ac:dyDescent="0"/>
  <cols>
    <col min="1" max="1" width="21.1640625" customWidth="1"/>
    <col min="2" max="2" width="15.5" customWidth="1"/>
    <col min="3" max="3" width="18.6640625" customWidth="1"/>
    <col min="4" max="4" width="19" customWidth="1"/>
    <col min="5" max="5" width="19.1640625" customWidth="1"/>
    <col min="6" max="6" width="17.6640625" customWidth="1"/>
    <col min="10" max="10" width="11.5" customWidth="1"/>
  </cols>
  <sheetData>
    <row r="1" spans="1:14" ht="23">
      <c r="A1" s="23" t="s">
        <v>199</v>
      </c>
      <c r="B1" s="23"/>
      <c r="C1" s="7"/>
      <c r="D1" s="7"/>
      <c r="E1" s="17"/>
      <c r="F1" s="17"/>
    </row>
    <row r="2" spans="1:14" ht="21" customHeight="1">
      <c r="A2" s="23"/>
      <c r="B2" s="23"/>
      <c r="C2" s="206"/>
      <c r="D2" s="206"/>
      <c r="E2" s="17"/>
      <c r="F2" s="17"/>
    </row>
    <row r="3" spans="1:14" ht="18.75" customHeight="1">
      <c r="A3" s="20"/>
      <c r="B3" s="20"/>
      <c r="C3" s="227" t="s">
        <v>200</v>
      </c>
      <c r="D3" s="227"/>
      <c r="E3" s="227"/>
      <c r="F3" s="227"/>
      <c r="J3" s="228" t="s">
        <v>116</v>
      </c>
    </row>
    <row r="4" spans="1:14" ht="18.75" customHeight="1">
      <c r="A4" s="20"/>
      <c r="B4" s="20"/>
      <c r="C4" s="206" t="str">
        <f>"31.12."&amp;_labels!$B$1</f>
        <v>31.12.2016</v>
      </c>
      <c r="D4" s="206"/>
      <c r="E4" s="226" t="str">
        <f>"31.12."&amp;_labels!$B$1-1</f>
        <v>31.12.2015</v>
      </c>
      <c r="F4" s="226"/>
      <c r="J4" s="228"/>
    </row>
    <row r="5" spans="1:14" ht="16">
      <c r="A5" s="103" t="s">
        <v>215</v>
      </c>
      <c r="B5" s="103" t="s">
        <v>209</v>
      </c>
      <c r="C5" s="17" t="s">
        <v>89</v>
      </c>
      <c r="D5" s="17" t="s">
        <v>90</v>
      </c>
      <c r="E5" s="32" t="s">
        <v>89</v>
      </c>
      <c r="F5" s="32" t="s">
        <v>90</v>
      </c>
      <c r="J5" s="228"/>
    </row>
    <row r="6" spans="1:14" ht="24" customHeight="1">
      <c r="A6" s="12" t="s">
        <v>201</v>
      </c>
      <c r="B6" s="12" t="s">
        <v>217</v>
      </c>
      <c r="C6" s="25">
        <v>951606</v>
      </c>
      <c r="D6" s="13">
        <f t="shared" ref="D6:D11" si="0">+C6*$D$14/$C$14</f>
        <v>73.616052468512621</v>
      </c>
      <c r="E6" s="26">
        <f>1387492-209439-3</f>
        <v>1178050</v>
      </c>
      <c r="F6" s="14">
        <f t="shared" ref="F6:F11" si="1">+E6*$F$14/$E$14</f>
        <v>66.655765309240195</v>
      </c>
      <c r="H6" s="25"/>
      <c r="J6" s="8"/>
      <c r="K6" s="8" t="s">
        <v>270</v>
      </c>
      <c r="L6" s="172" t="s">
        <v>271</v>
      </c>
      <c r="M6" s="8" t="s">
        <v>272</v>
      </c>
      <c r="N6" s="8" t="s">
        <v>273</v>
      </c>
    </row>
    <row r="7" spans="1:14" ht="16">
      <c r="A7" s="12" t="s">
        <v>202</v>
      </c>
      <c r="B7" s="12" t="s">
        <v>216</v>
      </c>
      <c r="C7" s="25">
        <v>31841</v>
      </c>
      <c r="D7" s="13">
        <f t="shared" si="0"/>
        <v>2.463213479790912</v>
      </c>
      <c r="E7" s="26">
        <v>90737</v>
      </c>
      <c r="F7" s="14">
        <f t="shared" si="1"/>
        <v>5.1340301149055882</v>
      </c>
      <c r="H7" s="25"/>
      <c r="J7" s="171">
        <f>-502440.85/1000</f>
        <v>-502.44084999999995</v>
      </c>
      <c r="K7" s="8">
        <f>-156.9655-233.56085-0.04945-0.0439-108.3737</f>
        <v>-498.99339999999995</v>
      </c>
      <c r="L7" s="172">
        <f>-3.2-0.24745</f>
        <v>-3.4474500000000003</v>
      </c>
      <c r="M7" s="8">
        <f>-156.9655-233.56085-0.04945</f>
        <v>-390.57579999999996</v>
      </c>
      <c r="N7" s="8">
        <f>-0.0439-108.3737</f>
        <v>-108.41759999999999</v>
      </c>
    </row>
    <row r="8" spans="1:14" ht="16">
      <c r="A8" s="12" t="s">
        <v>203</v>
      </c>
      <c r="B8" s="12" t="s">
        <v>211</v>
      </c>
      <c r="C8" s="25">
        <v>2841</v>
      </c>
      <c r="D8" s="13">
        <f t="shared" si="0"/>
        <v>0.21977919965095258</v>
      </c>
      <c r="E8" s="26">
        <v>2773</v>
      </c>
      <c r="F8" s="14">
        <f t="shared" si="1"/>
        <v>0.15690033292519254</v>
      </c>
      <c r="H8" s="25"/>
    </row>
    <row r="9" spans="1:14" ht="16">
      <c r="A9" s="12" t="s">
        <v>204</v>
      </c>
      <c r="B9" s="12" t="s">
        <v>210</v>
      </c>
      <c r="C9" s="25">
        <v>82330</v>
      </c>
      <c r="D9" s="13">
        <f t="shared" si="0"/>
        <v>6.3690325615145813</v>
      </c>
      <c r="E9" s="26">
        <v>371655</v>
      </c>
      <c r="F9" s="14">
        <f t="shared" si="1"/>
        <v>21.028775057090673</v>
      </c>
      <c r="H9" s="25"/>
    </row>
    <row r="10" spans="1:14" ht="16">
      <c r="A10" s="12" t="s">
        <v>205</v>
      </c>
      <c r="B10" s="12" t="s">
        <v>212</v>
      </c>
      <c r="C10" s="25">
        <v>174019</v>
      </c>
      <c r="D10" s="13">
        <f t="shared" si="0"/>
        <v>13.462075517092261</v>
      </c>
      <c r="E10" s="26">
        <v>21909</v>
      </c>
      <c r="F10" s="14">
        <f t="shared" si="1"/>
        <v>1.2396427674208594</v>
      </c>
      <c r="H10" s="25"/>
    </row>
    <row r="11" spans="1:14" ht="16">
      <c r="A11" s="12" t="s">
        <v>206</v>
      </c>
      <c r="B11" s="12" t="s">
        <v>213</v>
      </c>
      <c r="C11" s="25">
        <v>19263</v>
      </c>
      <c r="D11" s="13">
        <f t="shared" si="0"/>
        <v>1.4901818806322771</v>
      </c>
      <c r="E11" s="26">
        <v>30526</v>
      </c>
      <c r="F11" s="14">
        <f t="shared" si="1"/>
        <v>1.7272050352955022</v>
      </c>
      <c r="H11" s="25"/>
    </row>
    <row r="12" spans="1:14" ht="16">
      <c r="A12" s="12" t="s">
        <v>207</v>
      </c>
      <c r="B12" s="12" t="s">
        <v>214</v>
      </c>
      <c r="C12" s="25">
        <v>1097</v>
      </c>
      <c r="D12" s="13">
        <f t="shared" ref="D12:D13" si="2">+C12*$D$14/$C$14</f>
        <v>8.4863703631501225E-2</v>
      </c>
      <c r="E12" s="26">
        <v>7100</v>
      </c>
      <c r="F12" s="14">
        <f t="shared" ref="F12:F13" si="3">+E12*$F$14/$E$14</f>
        <v>0.40172822350121423</v>
      </c>
      <c r="H12" s="25"/>
    </row>
    <row r="13" spans="1:14" ht="16">
      <c r="A13" s="12" t="s">
        <v>208</v>
      </c>
      <c r="B13" s="12"/>
      <c r="C13" s="25">
        <v>29664</v>
      </c>
      <c r="D13" s="13">
        <f t="shared" si="2"/>
        <v>2.2948011891748883</v>
      </c>
      <c r="E13" s="26">
        <v>64614</v>
      </c>
      <c r="F13" s="14">
        <f t="shared" si="3"/>
        <v>3.6559531596207684</v>
      </c>
      <c r="H13" s="25"/>
    </row>
    <row r="14" spans="1:14" ht="16">
      <c r="A14" s="9" t="s">
        <v>21</v>
      </c>
      <c r="B14" s="9"/>
      <c r="C14" s="27">
        <f>SUM(C6:C13)</f>
        <v>1292661</v>
      </c>
      <c r="D14" s="15">
        <v>100</v>
      </c>
      <c r="E14" s="28">
        <f>SUM(E6:E13)</f>
        <v>1767364</v>
      </c>
      <c r="F14" s="16">
        <v>100</v>
      </c>
    </row>
    <row r="17" spans="1:5">
      <c r="A17" s="104" t="s">
        <v>367</v>
      </c>
    </row>
    <row r="19" spans="1:5">
      <c r="E19" s="170"/>
    </row>
  </sheetData>
  <mergeCells count="5">
    <mergeCell ref="C4:D4"/>
    <mergeCell ref="E4:F4"/>
    <mergeCell ref="C2:D2"/>
    <mergeCell ref="C3:F3"/>
    <mergeCell ref="J3:J5"/>
  </mergeCells>
  <pageMargins left="0.52" right="0.46" top="0.74803149606299213" bottom="0.74803149606299213" header="0.31496062992125984" footer="0.31496062992125984"/>
  <pageSetup paperSize="9" scale="76" orientation="portrait"/>
  <ignoredErrors>
    <ignoredError sqref="A7:A12" numberStoredAsText="1"/>
  </ignoredErrors>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1"/>
  <sheetViews>
    <sheetView workbookViewId="0">
      <selection activeCell="A17" sqref="A17"/>
    </sheetView>
  </sheetViews>
  <sheetFormatPr baseColWidth="10" defaultColWidth="10.83203125" defaultRowHeight="19" customHeight="1" x14ac:dyDescent="0"/>
  <cols>
    <col min="1" max="1" width="59.33203125" style="11" customWidth="1"/>
    <col min="2" max="3" width="20.83203125" style="7" customWidth="1"/>
    <col min="4" max="6" width="10.83203125" style="8"/>
    <col min="7" max="7" width="13.33203125" style="8" customWidth="1"/>
    <col min="8" max="8" width="15.5" style="8" customWidth="1"/>
    <col min="9" max="16384" width="10.83203125" style="8"/>
  </cols>
  <sheetData>
    <row r="1" spans="1:8" ht="43" customHeight="1">
      <c r="A1" s="23" t="s">
        <v>22</v>
      </c>
      <c r="B1" s="18"/>
      <c r="C1" s="19"/>
    </row>
    <row r="2" spans="1:8" ht="45" customHeight="1">
      <c r="A2" s="6"/>
      <c r="B2" s="18" t="str">
        <f>"31.12."&amp;_labels!$B$1</f>
        <v>31.12.2016</v>
      </c>
      <c r="C2" s="24" t="str">
        <f>"31.12."&amp;_labels!$B$1-1</f>
        <v>31.12.2015</v>
      </c>
      <c r="F2" s="63" t="s">
        <v>122</v>
      </c>
      <c r="G2" s="58" t="s">
        <v>116</v>
      </c>
      <c r="H2" s="63" t="s">
        <v>115</v>
      </c>
    </row>
    <row r="3" spans="1:8" ht="24" customHeight="1">
      <c r="A3" s="12" t="s">
        <v>9</v>
      </c>
      <c r="B3" s="25">
        <v>48236585</v>
      </c>
      <c r="C3" s="26">
        <v>27885598</v>
      </c>
    </row>
    <row r="4" spans="1:8" ht="24" customHeight="1">
      <c r="A4" s="12" t="s">
        <v>17</v>
      </c>
      <c r="B4" s="25">
        <v>2342000</v>
      </c>
      <c r="C4" s="26">
        <v>1898000</v>
      </c>
    </row>
    <row r="5" spans="1:8" ht="24" customHeight="1">
      <c r="A5" s="60" t="s">
        <v>161</v>
      </c>
      <c r="B5" s="61">
        <v>0</v>
      </c>
      <c r="C5" s="61">
        <v>0</v>
      </c>
      <c r="H5" s="8" t="s">
        <v>132</v>
      </c>
    </row>
    <row r="6" spans="1:8" ht="24" customHeight="1">
      <c r="A6" s="60" t="s">
        <v>162</v>
      </c>
      <c r="B6" s="61">
        <v>0</v>
      </c>
      <c r="C6" s="61">
        <v>0</v>
      </c>
      <c r="H6" s="8" t="s">
        <v>132</v>
      </c>
    </row>
    <row r="7" spans="1:8" ht="24" customHeight="1">
      <c r="A7" s="85" t="s">
        <v>18</v>
      </c>
      <c r="B7" s="107"/>
      <c r="C7" s="91"/>
      <c r="H7" s="8" t="s">
        <v>131</v>
      </c>
    </row>
    <row r="8" spans="1:8" ht="24" customHeight="1">
      <c r="A8" s="108" t="s">
        <v>10</v>
      </c>
      <c r="B8" s="86">
        <v>471898504.85000002</v>
      </c>
      <c r="C8" s="86">
        <v>319803889</v>
      </c>
      <c r="H8" s="8" t="s">
        <v>131</v>
      </c>
    </row>
    <row r="9" spans="1:8" ht="24" customHeight="1">
      <c r="A9" s="108" t="s">
        <v>11</v>
      </c>
      <c r="B9" s="86">
        <v>3438962.35</v>
      </c>
      <c r="C9" s="86">
        <v>2914486</v>
      </c>
      <c r="H9" s="8" t="s">
        <v>131</v>
      </c>
    </row>
    <row r="10" spans="1:8" ht="24" customHeight="1">
      <c r="A10" s="108" t="s">
        <v>19</v>
      </c>
      <c r="B10" s="86">
        <v>2823882.31</v>
      </c>
      <c r="C10" s="86">
        <v>4648306</v>
      </c>
      <c r="H10" s="8" t="s">
        <v>131</v>
      </c>
    </row>
    <row r="11" spans="1:8" ht="24" customHeight="1">
      <c r="A11" s="85" t="s">
        <v>20</v>
      </c>
      <c r="B11" s="86">
        <v>449895882.10000002</v>
      </c>
      <c r="C11" s="86">
        <v>655833015</v>
      </c>
      <c r="H11" s="8" t="s">
        <v>131</v>
      </c>
    </row>
  </sheetData>
  <pageMargins left="0.75000000000000011" right="0.75000000000000011" top="1" bottom="1" header="0.5" footer="0.5"/>
  <pageSetup paperSize="9" scale="78" orientation="portrait"/>
  <extLst>
    <ext xmlns:mx="http://schemas.microsoft.com/office/mac/excel/2008/main" uri="{64002731-A6B0-56B0-2670-7721B7C09600}">
      <mx:PLV Mode="0" OnePage="0" WScale="10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6"/>
  <sheetViews>
    <sheetView workbookViewId="0">
      <selection activeCell="A2" sqref="A2"/>
    </sheetView>
  </sheetViews>
  <sheetFormatPr baseColWidth="10" defaultColWidth="10.83203125" defaultRowHeight="19" customHeight="1" x14ac:dyDescent="0"/>
  <cols>
    <col min="1" max="1" width="42.33203125" style="11" customWidth="1"/>
    <col min="2" max="3" width="20.83203125" style="7" customWidth="1"/>
    <col min="4" max="16384" width="10.83203125" style="8"/>
  </cols>
  <sheetData>
    <row r="1" spans="1:3" ht="43" customHeight="1">
      <c r="A1" s="23" t="s">
        <v>91</v>
      </c>
      <c r="C1" s="17"/>
    </row>
    <row r="2" spans="1:3" ht="43" customHeight="1">
      <c r="A2" s="20" t="s">
        <v>20</v>
      </c>
      <c r="C2" s="17"/>
    </row>
    <row r="3" spans="1:3" ht="43" customHeight="1">
      <c r="B3" s="18" t="str">
        <f>"31.12."&amp;_labels!$B$1</f>
        <v>31.12.2016</v>
      </c>
      <c r="C3" s="24" t="str">
        <f>"31.12."&amp;_labels!$B$1-1</f>
        <v>31.12.2015</v>
      </c>
    </row>
    <row r="4" spans="1:3" ht="24" customHeight="1">
      <c r="A4" s="12" t="s">
        <v>218</v>
      </c>
      <c r="B4" s="25">
        <f>ROUND(449450506/1000,0)</f>
        <v>449451</v>
      </c>
      <c r="C4" s="26">
        <f>ROUND(649351161/1000,0)</f>
        <v>649351</v>
      </c>
    </row>
    <row r="5" spans="1:3" ht="24" customHeight="1">
      <c r="A5" s="12" t="s">
        <v>219</v>
      </c>
      <c r="B5" s="25">
        <f>ROUND(445376/1000,0)</f>
        <v>445</v>
      </c>
      <c r="C5" s="26">
        <f>ROUND(6481854/1000,0)</f>
        <v>6482</v>
      </c>
    </row>
    <row r="6" spans="1:3" s="10" customFormat="1" ht="24" customHeight="1">
      <c r="A6" s="9" t="s">
        <v>21</v>
      </c>
      <c r="B6" s="27">
        <f>SUM(B4:B5)</f>
        <v>449896</v>
      </c>
      <c r="C6" s="28">
        <f>SUM(C4:C5)</f>
        <v>655833</v>
      </c>
    </row>
  </sheetData>
  <pageMargins left="0.75000000000000011" right="0.75000000000000011" top="1" bottom="1" header="0.5" footer="0.5"/>
  <pageSetup paperSize="9" scale="95" orientation="portrait" horizontalDpi="1200" verticalDpi="1200"/>
  <extLst>
    <ext xmlns:mx="http://schemas.microsoft.com/office/mac/excel/2008/main" uri="{64002731-A6B0-56B0-2670-7721B7C09600}">
      <mx:PLV Mode="0" OnePage="0" WScale="10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3"/>
  <sheetViews>
    <sheetView zoomScale="106" zoomScaleNormal="106" zoomScalePageLayoutView="106" workbookViewId="0">
      <selection activeCell="B7" sqref="B7"/>
    </sheetView>
  </sheetViews>
  <sheetFormatPr baseColWidth="10" defaultColWidth="10.83203125" defaultRowHeight="19" customHeight="1" x14ac:dyDescent="0"/>
  <cols>
    <col min="1" max="1" width="62.83203125" style="11" customWidth="1"/>
    <col min="2" max="3" width="20.83203125" style="7" customWidth="1"/>
    <col min="4" max="16384" width="10.83203125" style="8"/>
  </cols>
  <sheetData>
    <row r="1" spans="1:3" ht="43" customHeight="1">
      <c r="A1" s="23" t="s">
        <v>91</v>
      </c>
      <c r="C1" s="17"/>
    </row>
    <row r="2" spans="1:3" ht="43" customHeight="1">
      <c r="A2" s="20" t="s">
        <v>283</v>
      </c>
      <c r="C2" s="17"/>
    </row>
    <row r="3" spans="1:3" ht="43" customHeight="1">
      <c r="A3" s="178" t="s">
        <v>284</v>
      </c>
      <c r="B3" s="18" t="str">
        <f>"31.12."&amp;_labels!$B$1</f>
        <v>31.12.2016</v>
      </c>
      <c r="C3" s="24" t="str">
        <f>"31.12."&amp;_labels!$B$1-1</f>
        <v>31.12.2015</v>
      </c>
    </row>
    <row r="4" spans="1:3" ht="24" customHeight="1">
      <c r="A4" s="55" t="s">
        <v>307</v>
      </c>
      <c r="B4" s="25">
        <v>218200</v>
      </c>
      <c r="C4" s="26">
        <v>225999</v>
      </c>
    </row>
    <row r="5" spans="1:3" ht="24" customHeight="1">
      <c r="A5" s="12" t="s">
        <v>100</v>
      </c>
      <c r="B5" s="25">
        <v>641303</v>
      </c>
      <c r="C5" s="26">
        <v>375017</v>
      </c>
    </row>
    <row r="6" spans="1:3" ht="24" customHeight="1">
      <c r="A6" s="55" t="s">
        <v>220</v>
      </c>
      <c r="B6" s="25">
        <f>5040971-641303</f>
        <v>4399668</v>
      </c>
      <c r="C6" s="26">
        <v>4624517</v>
      </c>
    </row>
    <row r="7" spans="1:3" s="10" customFormat="1" ht="24" customHeight="1">
      <c r="A7" s="9" t="s">
        <v>222</v>
      </c>
      <c r="B7" s="27">
        <f>SUM(B4:B6)</f>
        <v>5259171</v>
      </c>
      <c r="C7" s="28">
        <v>5225533</v>
      </c>
    </row>
    <row r="8" spans="1:3" ht="24" customHeight="1">
      <c r="A8" s="67" t="s">
        <v>221</v>
      </c>
      <c r="B8" s="25">
        <v>169404</v>
      </c>
      <c r="C8" s="26">
        <v>150039</v>
      </c>
    </row>
    <row r="9" spans="1:3" ht="24" customHeight="1">
      <c r="A9" s="67"/>
      <c r="B9" s="25"/>
      <c r="C9" s="26"/>
    </row>
    <row r="10" spans="1:3" ht="24" customHeight="1">
      <c r="A10" s="79"/>
      <c r="B10" s="18"/>
      <c r="C10" s="24"/>
    </row>
    <row r="11" spans="1:3" ht="88.5" customHeight="1">
      <c r="A11" s="229" t="s">
        <v>302</v>
      </c>
      <c r="B11" s="229"/>
      <c r="C11" s="229"/>
    </row>
    <row r="12" spans="1:3" ht="16.5" customHeight="1">
      <c r="B12" s="142"/>
      <c r="C12" s="142"/>
    </row>
    <row r="13" spans="1:3" ht="41.25" customHeight="1">
      <c r="A13" s="229" t="s">
        <v>303</v>
      </c>
      <c r="B13" s="229"/>
      <c r="C13" s="229"/>
    </row>
    <row r="14" spans="1:3" ht="24" customHeight="1">
      <c r="A14" s="129"/>
      <c r="B14" s="25"/>
      <c r="C14" s="26"/>
    </row>
    <row r="15" spans="1:3" ht="24" customHeight="1">
      <c r="A15" s="80"/>
      <c r="B15" s="27"/>
      <c r="C15" s="28"/>
    </row>
    <row r="17" spans="1:3" ht="33.75" customHeight="1">
      <c r="A17" s="229"/>
      <c r="B17" s="229"/>
      <c r="C17" s="229"/>
    </row>
    <row r="19" spans="1:3" ht="51" customHeight="1">
      <c r="A19" s="229"/>
      <c r="B19" s="229"/>
      <c r="C19" s="229"/>
    </row>
    <row r="20" spans="1:3" ht="19" customHeight="1">
      <c r="A20" s="173"/>
      <c r="B20" s="174"/>
      <c r="C20" s="174"/>
    </row>
    <row r="21" spans="1:3" ht="86.25" customHeight="1">
      <c r="A21" s="229"/>
      <c r="B21" s="229"/>
      <c r="C21" s="229"/>
    </row>
    <row r="22" spans="1:3" ht="19" customHeight="1">
      <c r="A22" s="173"/>
      <c r="B22" s="174"/>
      <c r="C22" s="174"/>
    </row>
    <row r="23" spans="1:3" ht="55.5" customHeight="1">
      <c r="A23" s="229"/>
      <c r="B23" s="229"/>
      <c r="C23" s="229"/>
    </row>
  </sheetData>
  <mergeCells count="6">
    <mergeCell ref="A17:C17"/>
    <mergeCell ref="A19:C19"/>
    <mergeCell ref="A21:C21"/>
    <mergeCell ref="A23:C23"/>
    <mergeCell ref="A11:C11"/>
    <mergeCell ref="A13:C13"/>
  </mergeCells>
  <pageMargins left="0.75000000000000011" right="0.75000000000000011" top="1" bottom="1" header="0.5" footer="0.5"/>
  <pageSetup paperSize="9" scale="76" orientation="portrait" horizontalDpi="1200" verticalDpi="1200"/>
  <extLst>
    <ext xmlns:mx="http://schemas.microsoft.com/office/mac/excel/2008/main" uri="{64002731-A6B0-56B0-2670-7721B7C09600}">
      <mx:PLV Mode="0" OnePage="0" WScale="10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C15"/>
  <sheetViews>
    <sheetView zoomScale="98" zoomScaleNormal="98" zoomScalePageLayoutView="98" workbookViewId="0">
      <selection activeCell="A6" sqref="A6"/>
    </sheetView>
  </sheetViews>
  <sheetFormatPr baseColWidth="10" defaultColWidth="10.83203125" defaultRowHeight="19" customHeight="1" x14ac:dyDescent="0"/>
  <cols>
    <col min="1" max="1" width="62.83203125" style="11" customWidth="1"/>
    <col min="2" max="3" width="20.83203125" style="7" customWidth="1"/>
    <col min="4" max="16384" width="10.83203125" style="8"/>
  </cols>
  <sheetData>
    <row r="1" spans="1:3" ht="43" customHeight="1">
      <c r="A1" s="23" t="s">
        <v>91</v>
      </c>
      <c r="C1" s="17"/>
    </row>
    <row r="2" spans="1:3" ht="24" customHeight="1">
      <c r="A2" s="79" t="s">
        <v>223</v>
      </c>
      <c r="B2" s="18" t="str">
        <f>"31.12."&amp;_labels!$B$1</f>
        <v>31.12.2016</v>
      </c>
      <c r="C2" s="24" t="str">
        <f>"31.12."&amp;_labels!$B$1-1</f>
        <v>31.12.2015</v>
      </c>
    </row>
    <row r="3" spans="1:3" ht="24" customHeight="1">
      <c r="A3" s="80" t="s">
        <v>224</v>
      </c>
      <c r="B3" s="27">
        <f>+I_iHorsBilan_AvoirsClient!C7</f>
        <v>5225533</v>
      </c>
      <c r="C3" s="28">
        <v>3622049</v>
      </c>
    </row>
    <row r="4" spans="1:3" ht="24" customHeight="1">
      <c r="A4" s="195" t="s">
        <v>328</v>
      </c>
      <c r="B4" s="25">
        <f>42441+295151</f>
        <v>337592</v>
      </c>
      <c r="C4" s="26">
        <f>445253+42705</f>
        <v>487958</v>
      </c>
    </row>
    <row r="5" spans="1:3" ht="24" customHeight="1">
      <c r="A5" s="195" t="s">
        <v>329</v>
      </c>
      <c r="B5" s="25">
        <f>+B7-B3-B4</f>
        <v>-303954</v>
      </c>
      <c r="C5" s="26">
        <f>+C7-C3-C4-C6</f>
        <v>192552</v>
      </c>
    </row>
    <row r="6" spans="1:3" ht="24" customHeight="1">
      <c r="A6" s="195" t="s">
        <v>330</v>
      </c>
      <c r="B6" s="25">
        <v>0</v>
      </c>
      <c r="C6" s="26">
        <v>922974</v>
      </c>
    </row>
    <row r="7" spans="1:3" ht="24" customHeight="1">
      <c r="A7" s="80" t="s">
        <v>225</v>
      </c>
      <c r="B7" s="27">
        <f>+I_iHorsBilan_AvoirsClient!B7</f>
        <v>5259171</v>
      </c>
      <c r="C7" s="28">
        <f>+I_iHorsBilan_AvoirsClient!C7</f>
        <v>5225533</v>
      </c>
    </row>
    <row r="9" spans="1:3" ht="33.75" customHeight="1">
      <c r="A9" s="229" t="s">
        <v>281</v>
      </c>
      <c r="B9" s="229"/>
      <c r="C9" s="229"/>
    </row>
    <row r="11" spans="1:3" ht="51" customHeight="1">
      <c r="A11" s="229" t="s">
        <v>282</v>
      </c>
      <c r="B11" s="229"/>
      <c r="C11" s="229"/>
    </row>
    <row r="12" spans="1:3" ht="19" customHeight="1">
      <c r="A12" s="173"/>
      <c r="B12" s="174"/>
      <c r="C12" s="174"/>
    </row>
    <row r="13" spans="1:3" ht="15">
      <c r="A13" s="229"/>
      <c r="B13" s="229"/>
      <c r="C13" s="229"/>
    </row>
    <row r="14" spans="1:3" ht="19" customHeight="1">
      <c r="A14" s="173"/>
      <c r="B14" s="174"/>
      <c r="C14" s="174"/>
    </row>
    <row r="15" spans="1:3" ht="15">
      <c r="A15" s="229"/>
      <c r="B15" s="229"/>
      <c r="C15" s="229"/>
    </row>
  </sheetData>
  <mergeCells count="4">
    <mergeCell ref="A9:C9"/>
    <mergeCell ref="A11:C11"/>
    <mergeCell ref="A13:C13"/>
    <mergeCell ref="A15:C15"/>
  </mergeCells>
  <pageMargins left="0.54" right="0.49" top="1" bottom="1" header="0.5" footer="0.5"/>
  <pageSetup paperSize="9" scale="81" orientation="portrait"/>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14"/>
  <sheetViews>
    <sheetView workbookViewId="0">
      <selection activeCell="B6" sqref="B6"/>
    </sheetView>
  </sheetViews>
  <sheetFormatPr baseColWidth="10" defaultColWidth="10.83203125" defaultRowHeight="19" customHeight="1" x14ac:dyDescent="0"/>
  <cols>
    <col min="1" max="1" width="59.1640625" style="11" bestFit="1" customWidth="1"/>
    <col min="2" max="3" width="20.83203125" style="7" customWidth="1"/>
    <col min="4" max="16384" width="10.83203125" style="8"/>
  </cols>
  <sheetData>
    <row r="1" spans="1:3" ht="43" customHeight="1">
      <c r="A1" s="23" t="s">
        <v>106</v>
      </c>
      <c r="C1" s="17"/>
    </row>
    <row r="2" spans="1:3" ht="43" customHeight="1">
      <c r="A2" s="20" t="s">
        <v>261</v>
      </c>
      <c r="B2" s="18"/>
      <c r="C2" s="24"/>
    </row>
    <row r="3" spans="1:3" ht="18">
      <c r="A3" s="20"/>
      <c r="B3" s="18"/>
      <c r="C3" s="24"/>
    </row>
    <row r="4" spans="1:3" ht="30" customHeight="1">
      <c r="A4" s="80" t="s">
        <v>226</v>
      </c>
      <c r="B4" s="18" t="str">
        <f>"31.12."&amp;_labels!$B$1</f>
        <v>31.12.2016</v>
      </c>
      <c r="C4" s="24" t="str">
        <f>"31.12."&amp;_labels!$B$1-1</f>
        <v>31.12.2015</v>
      </c>
    </row>
    <row r="5" spans="1:3" ht="30" customHeight="1">
      <c r="A5" s="60" t="s">
        <v>227</v>
      </c>
      <c r="B5" s="25">
        <f>ROUND(211090/1000,0)</f>
        <v>211</v>
      </c>
      <c r="C5" s="26">
        <v>0</v>
      </c>
    </row>
    <row r="6" spans="1:3" ht="19.5" customHeight="1">
      <c r="A6" s="60" t="s">
        <v>228</v>
      </c>
      <c r="B6" s="25">
        <f>ROUND((6581581-211090)/1000,0)+1</f>
        <v>6371</v>
      </c>
      <c r="C6" s="26">
        <f>ROUND(5012271/1000,0)</f>
        <v>5012</v>
      </c>
    </row>
    <row r="7" spans="1:3" ht="30" customHeight="1">
      <c r="A7" s="80" t="s">
        <v>21</v>
      </c>
      <c r="B7" s="27">
        <f>SUM(B3:B6)</f>
        <v>6582</v>
      </c>
      <c r="C7" s="28">
        <f>SUM(C3:C6)</f>
        <v>5012</v>
      </c>
    </row>
    <row r="8" spans="1:3" ht="22.5" customHeight="1">
      <c r="A8" s="9"/>
      <c r="B8" s="27"/>
      <c r="C8" s="28"/>
    </row>
    <row r="9" spans="1:3" ht="30" customHeight="1">
      <c r="A9" s="9" t="s">
        <v>36</v>
      </c>
      <c r="B9" s="18" t="str">
        <f>"31.12."&amp;_labels!$B$1</f>
        <v>31.12.2016</v>
      </c>
      <c r="C9" s="24" t="str">
        <f>"31.12."&amp;_labels!$B$1-1</f>
        <v>31.12.2015</v>
      </c>
    </row>
    <row r="10" spans="1:3" ht="24" customHeight="1">
      <c r="A10" s="12" t="s">
        <v>107</v>
      </c>
      <c r="B10" s="25">
        <f>ROUND(6654787/1000,0)</f>
        <v>6655</v>
      </c>
      <c r="C10" s="26">
        <f>ROUND(4853905/1000,0)</f>
        <v>4854</v>
      </c>
    </row>
    <row r="11" spans="1:3" ht="24" customHeight="1">
      <c r="A11" s="12" t="s">
        <v>101</v>
      </c>
      <c r="B11" s="25">
        <f>ROUND(-77733/1000,0)</f>
        <v>-78</v>
      </c>
      <c r="C11" s="26">
        <f>ROUND(121103/1000,0)</f>
        <v>121</v>
      </c>
    </row>
    <row r="12" spans="1:3" ht="24" customHeight="1">
      <c r="A12" s="12" t="s">
        <v>102</v>
      </c>
      <c r="B12" s="25">
        <f>ROUND(4527/1000,0)</f>
        <v>5</v>
      </c>
      <c r="C12" s="26">
        <f>ROUND(37263/1000,0)</f>
        <v>37</v>
      </c>
    </row>
    <row r="13" spans="1:3" s="10" customFormat="1" ht="24" customHeight="1">
      <c r="A13" s="9" t="s">
        <v>21</v>
      </c>
      <c r="B13" s="27">
        <f>SUM(B10:B12)</f>
        <v>6582</v>
      </c>
      <c r="C13" s="28">
        <f>SUM(C10:C12)</f>
        <v>5012</v>
      </c>
    </row>
    <row r="14" spans="1:3" ht="19" customHeight="1">
      <c r="A14" s="114" t="s">
        <v>262</v>
      </c>
      <c r="B14" s="105">
        <v>0</v>
      </c>
      <c r="C14" s="106">
        <v>0</v>
      </c>
    </row>
  </sheetData>
  <pageMargins left="0.75000000000000011" right="0.75000000000000011" top="1" bottom="1" header="0.5" footer="0.5"/>
  <pageSetup paperSize="9" scale="79" orientation="portrait" horizontalDpi="1200" verticalDpi="1200"/>
  <extLst>
    <ext xmlns:mx="http://schemas.microsoft.com/office/mac/excel/2008/main" uri="{64002731-A6B0-56B0-2670-7721B7C09600}">
      <mx:PLV Mode="0" OnePage="0" WScale="10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C11"/>
  <sheetViews>
    <sheetView workbookViewId="0">
      <selection activeCell="B11" sqref="B11"/>
    </sheetView>
  </sheetViews>
  <sheetFormatPr baseColWidth="10" defaultColWidth="10.83203125" defaultRowHeight="19" customHeight="1" x14ac:dyDescent="0"/>
  <cols>
    <col min="1" max="1" width="67.1640625" style="11" customWidth="1"/>
    <col min="2" max="3" width="20.83203125" style="7" customWidth="1"/>
    <col min="4" max="16384" width="10.83203125" style="8"/>
  </cols>
  <sheetData>
    <row r="1" spans="1:3" ht="43" customHeight="1">
      <c r="A1" s="23" t="s">
        <v>106</v>
      </c>
      <c r="C1" s="17"/>
    </row>
    <row r="2" spans="1:3" ht="43" customHeight="1">
      <c r="A2" s="230" t="s">
        <v>229</v>
      </c>
      <c r="B2" s="230"/>
      <c r="C2" s="230"/>
    </row>
    <row r="3" spans="1:3" ht="27.75" customHeight="1">
      <c r="A3" s="140"/>
      <c r="B3" s="140"/>
      <c r="C3" s="140"/>
    </row>
    <row r="4" spans="1:3" ht="43" customHeight="1">
      <c r="A4" s="146" t="s">
        <v>263</v>
      </c>
      <c r="B4" s="147"/>
      <c r="C4" s="147"/>
    </row>
    <row r="5" spans="1:3" ht="24" customHeight="1">
      <c r="A5" s="148" t="s">
        <v>264</v>
      </c>
      <c r="B5" s="147"/>
      <c r="C5" s="147"/>
    </row>
    <row r="6" spans="1:3" ht="24" customHeight="1">
      <c r="A6" s="147"/>
      <c r="B6" s="147"/>
      <c r="C6" s="147"/>
    </row>
    <row r="7" spans="1:3" ht="24" customHeight="1">
      <c r="A7" s="146" t="s">
        <v>230</v>
      </c>
      <c r="B7" s="149"/>
      <c r="C7" s="24"/>
    </row>
    <row r="8" spans="1:3" ht="40.5" customHeight="1">
      <c r="A8" s="231" t="s">
        <v>265</v>
      </c>
      <c r="B8" s="231"/>
      <c r="C8" s="231"/>
    </row>
    <row r="9" spans="1:3" s="10" customFormat="1" ht="24" customHeight="1">
      <c r="A9" s="12"/>
      <c r="B9" s="149" t="str">
        <f>"31.12."&amp;[2]_labels!$B$1</f>
        <v>31.12.2015</v>
      </c>
      <c r="C9" s="24" t="str">
        <f>"31.12."&amp;[2]_labels!$B$1-1</f>
        <v>31.12.2014</v>
      </c>
    </row>
    <row r="10" spans="1:3" ht="33" customHeight="1">
      <c r="A10" s="94" t="s">
        <v>266</v>
      </c>
      <c r="B10" s="25">
        <v>544</v>
      </c>
      <c r="C10" s="26">
        <v>0</v>
      </c>
    </row>
    <row r="11" spans="1:3" ht="32.25" customHeight="1">
      <c r="A11" s="94" t="s">
        <v>267</v>
      </c>
      <c r="B11" s="25">
        <v>0</v>
      </c>
      <c r="C11" s="26">
        <v>0</v>
      </c>
    </row>
  </sheetData>
  <mergeCells count="2">
    <mergeCell ref="A2:C2"/>
    <mergeCell ref="A8:C8"/>
  </mergeCells>
  <pageMargins left="0.75000000000000011" right="0.75000000000000011" top="1" bottom="1" header="0.5" footer="0.5"/>
  <pageSetup paperSize="9" scale="73" orientation="portrait" horizontalDpi="1200" verticalDpi="1200"/>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9"/>
  <sheetViews>
    <sheetView workbookViewId="0">
      <selection activeCell="A5" sqref="A5"/>
    </sheetView>
  </sheetViews>
  <sheetFormatPr baseColWidth="10" defaultColWidth="10.83203125" defaultRowHeight="19" customHeight="1" x14ac:dyDescent="0"/>
  <cols>
    <col min="1" max="1" width="60.83203125" style="11" customWidth="1"/>
    <col min="2" max="3" width="20.83203125" style="7" customWidth="1"/>
    <col min="4" max="16384" width="10.83203125" style="8"/>
  </cols>
  <sheetData>
    <row r="1" spans="1:3" ht="43" customHeight="1">
      <c r="A1" s="23" t="s">
        <v>106</v>
      </c>
      <c r="C1" s="17"/>
    </row>
    <row r="2" spans="1:3" ht="43" customHeight="1">
      <c r="A2" s="20" t="s">
        <v>42</v>
      </c>
      <c r="C2" s="17"/>
    </row>
    <row r="3" spans="1:3" ht="43" customHeight="1">
      <c r="B3" s="18" t="str">
        <f>"31.12."&amp;_labels!$B$1</f>
        <v>31.12.2016</v>
      </c>
      <c r="C3" s="24" t="str">
        <f>"31.12."&amp;_labels!$B$1-1</f>
        <v>31.12.2015</v>
      </c>
    </row>
    <row r="4" spans="1:3" ht="24" customHeight="1">
      <c r="A4" s="12" t="s">
        <v>231</v>
      </c>
      <c r="B4" s="25">
        <f>ROUND((20611074+210000)/1000,0)</f>
        <v>20821</v>
      </c>
      <c r="C4" s="26">
        <f>ROUND(16474256/1000,0)</f>
        <v>16474</v>
      </c>
    </row>
    <row r="5" spans="1:3" ht="36" customHeight="1">
      <c r="A5" s="64" t="s">
        <v>368</v>
      </c>
      <c r="B5" s="130">
        <v>0</v>
      </c>
      <c r="C5" s="131">
        <v>0</v>
      </c>
    </row>
    <row r="6" spans="1:3" ht="24" customHeight="1">
      <c r="A6" s="12" t="s">
        <v>103</v>
      </c>
      <c r="B6" s="25">
        <f>ROUND((1692426+1864217)/1000,0)</f>
        <v>3557</v>
      </c>
      <c r="C6" s="26">
        <f>ROUND((1470241+1439404)/1000,0)</f>
        <v>2910</v>
      </c>
    </row>
    <row r="7" spans="1:3" ht="37.5" customHeight="1">
      <c r="A7" s="64" t="s">
        <v>278</v>
      </c>
      <c r="B7" s="25">
        <v>0</v>
      </c>
      <c r="C7" s="26">
        <v>0</v>
      </c>
    </row>
    <row r="8" spans="1:3" ht="24" customHeight="1">
      <c r="A8" s="12" t="s">
        <v>104</v>
      </c>
      <c r="B8" s="25">
        <f>ROUND((63155+12451+110099+1)/1000,0)</f>
        <v>186</v>
      </c>
      <c r="C8" s="26">
        <f>ROUND(512403/1000,0)</f>
        <v>512</v>
      </c>
    </row>
    <row r="9" spans="1:3" s="10" customFormat="1" ht="24" customHeight="1">
      <c r="A9" s="9" t="s">
        <v>21</v>
      </c>
      <c r="B9" s="27">
        <f>SUM(B4:B8)</f>
        <v>24564</v>
      </c>
      <c r="C9" s="28">
        <f>SUM(C4:C8)</f>
        <v>19896</v>
      </c>
    </row>
  </sheetData>
  <pageMargins left="0.75000000000000011" right="0.75000000000000011" top="1" bottom="1" header="0.5" footer="0.5"/>
  <pageSetup paperSize="9" scale="78" orientation="portrait" horizontalDpi="1200" verticalDpi="1200"/>
  <extLst>
    <ext xmlns:mx="http://schemas.microsoft.com/office/mac/excel/2008/main" uri="{64002731-A6B0-56B0-2670-7721B7C09600}">
      <mx:PLV Mode="0" OnePage="0" WScale="10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10"/>
  <sheetViews>
    <sheetView topLeftCell="A4" workbookViewId="0">
      <selection activeCell="A2" sqref="A2"/>
    </sheetView>
  </sheetViews>
  <sheetFormatPr baseColWidth="10" defaultColWidth="10.83203125" defaultRowHeight="19" customHeight="1" x14ac:dyDescent="0"/>
  <cols>
    <col min="1" max="1" width="60.5" style="11" customWidth="1"/>
    <col min="2" max="3" width="20.83203125" style="7" customWidth="1"/>
    <col min="4" max="16384" width="10.83203125" style="8"/>
  </cols>
  <sheetData>
    <row r="1" spans="1:3" ht="43" customHeight="1">
      <c r="A1" s="23" t="s">
        <v>106</v>
      </c>
      <c r="C1" s="17"/>
    </row>
    <row r="2" spans="1:3" ht="43" customHeight="1">
      <c r="A2" s="20" t="s">
        <v>43</v>
      </c>
      <c r="C2" s="17"/>
    </row>
    <row r="3" spans="1:3" ht="43" customHeight="1">
      <c r="B3" s="18" t="str">
        <f>"31.12."&amp;_labels!$B$1</f>
        <v>31.12.2016</v>
      </c>
      <c r="C3" s="24" t="str">
        <f>"31.12."&amp;_labels!$B$1-1</f>
        <v>31.12.2015</v>
      </c>
    </row>
    <row r="4" spans="1:3" ht="24" customHeight="1">
      <c r="A4" s="12" t="s">
        <v>105</v>
      </c>
      <c r="B4" s="25">
        <f>ROUND(2462455/1000,0)</f>
        <v>2462</v>
      </c>
      <c r="C4" s="26">
        <f>ROUND(2426675/1000,0)</f>
        <v>2427</v>
      </c>
    </row>
    <row r="5" spans="1:3" ht="24" customHeight="1">
      <c r="A5" s="55" t="s">
        <v>232</v>
      </c>
      <c r="B5" s="25">
        <f>ROUND(1725616/1000,0)</f>
        <v>1726</v>
      </c>
      <c r="C5" s="26">
        <f>ROUND(1374980/1000,0)</f>
        <v>1375</v>
      </c>
    </row>
    <row r="6" spans="1:3" ht="24" customHeight="1">
      <c r="A6" s="60" t="s">
        <v>233</v>
      </c>
      <c r="B6" s="25">
        <f>SUM(B7:B8)</f>
        <v>395</v>
      </c>
      <c r="C6" s="26">
        <f>SUM(C7:C8)</f>
        <v>420</v>
      </c>
    </row>
    <row r="7" spans="1:3" ht="24" customHeight="1">
      <c r="A7" s="132" t="s">
        <v>234</v>
      </c>
      <c r="B7" s="105">
        <f>ROUND((265000+38000+26000+20000+46000)/1000,0)</f>
        <v>395</v>
      </c>
      <c r="C7" s="106">
        <f>ROUND((257500+38000+79000+30000+22500-7000)/1000,0)</f>
        <v>420</v>
      </c>
    </row>
    <row r="8" spans="1:3" ht="24" customHeight="1">
      <c r="A8" s="132" t="s">
        <v>235</v>
      </c>
      <c r="B8" s="105">
        <v>0</v>
      </c>
      <c r="C8" s="106">
        <v>0</v>
      </c>
    </row>
    <row r="9" spans="1:3" ht="24" customHeight="1">
      <c r="A9" s="12" t="s">
        <v>43</v>
      </c>
      <c r="B9" s="25">
        <f>ROUND(13414361/1000,0)-B4-B5-B6</f>
        <v>8831</v>
      </c>
      <c r="C9" s="26">
        <f>ROUND((10681153+720271-420000-1374980)/1000,0)</f>
        <v>9606</v>
      </c>
    </row>
    <row r="10" spans="1:3" s="10" customFormat="1" ht="24" customHeight="1">
      <c r="A10" s="9" t="s">
        <v>21</v>
      </c>
      <c r="B10" s="27">
        <f>+B4+B5+B6+B9</f>
        <v>13414</v>
      </c>
      <c r="C10" s="28">
        <f>+C4+C5+C6+C9</f>
        <v>13828</v>
      </c>
    </row>
  </sheetData>
  <pageMargins left="0.75000000000000011" right="0.75000000000000011" top="1" bottom="1" header="0.5" footer="0.5"/>
  <pageSetup paperSize="9" scale="78" orientation="portrait" horizontalDpi="1200" verticalDpi="1200"/>
  <extLst>
    <ext xmlns:mx="http://schemas.microsoft.com/office/mac/excel/2008/main" uri="{64002731-A6B0-56B0-2670-7721B7C09600}">
      <mx:PLV Mode="0" OnePage="0" WScale="10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7"/>
  <sheetViews>
    <sheetView workbookViewId="0">
      <selection activeCell="D9" sqref="D9"/>
    </sheetView>
  </sheetViews>
  <sheetFormatPr baseColWidth="10" defaultColWidth="10.83203125" defaultRowHeight="19" customHeight="1" x14ac:dyDescent="0"/>
  <cols>
    <col min="1" max="1" width="59.1640625" style="11" bestFit="1" customWidth="1"/>
    <col min="2" max="2" width="23.1640625" style="7" customWidth="1"/>
    <col min="3" max="3" width="35.5" style="7" customWidth="1"/>
    <col min="4" max="16384" width="10.83203125" style="8"/>
  </cols>
  <sheetData>
    <row r="1" spans="1:3" ht="43" customHeight="1">
      <c r="A1" s="23" t="s">
        <v>106</v>
      </c>
      <c r="C1" s="115"/>
    </row>
    <row r="2" spans="1:3" ht="28.5" customHeight="1">
      <c r="A2" s="116"/>
      <c r="B2" s="117"/>
      <c r="C2" s="110"/>
    </row>
    <row r="3" spans="1:3" ht="64.5" customHeight="1">
      <c r="A3" s="232" t="s">
        <v>236</v>
      </c>
      <c r="B3" s="233"/>
      <c r="C3" s="233"/>
    </row>
    <row r="5" spans="1:3" ht="39.75" customHeight="1">
      <c r="A5" s="229" t="s">
        <v>276</v>
      </c>
      <c r="B5" s="229"/>
      <c r="C5" s="229"/>
    </row>
    <row r="7" spans="1:3" ht="55.5" customHeight="1">
      <c r="A7" s="229" t="s">
        <v>277</v>
      </c>
      <c r="B7" s="229"/>
      <c r="C7" s="229"/>
    </row>
  </sheetData>
  <mergeCells count="3">
    <mergeCell ref="A3:C3"/>
    <mergeCell ref="A5:C5"/>
    <mergeCell ref="A7:C7"/>
  </mergeCells>
  <pageMargins left="0.5" right="0.48" top="1" bottom="1" header="0.5" footer="0.5"/>
  <pageSetup paperSize="9" scale="79" orientation="portrait" horizontalDpi="1200" verticalDpi="1200"/>
  <extLst>
    <ext xmlns:mx="http://schemas.microsoft.com/office/mac/excel/2008/main" uri="{64002731-A6B0-56B0-2670-7721B7C09600}">
      <mx:PLV Mode="0" OnePage="0" WScale="10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N10"/>
  <sheetViews>
    <sheetView workbookViewId="0">
      <selection activeCell="A8" sqref="A8"/>
    </sheetView>
  </sheetViews>
  <sheetFormatPr baseColWidth="10" defaultColWidth="10.83203125" defaultRowHeight="19" customHeight="1" x14ac:dyDescent="0"/>
  <cols>
    <col min="1" max="1" width="60.6640625" style="11" customWidth="1"/>
    <col min="2" max="2" width="20.83203125" style="7" customWidth="1"/>
    <col min="3" max="3" width="28.33203125" style="7" customWidth="1"/>
    <col min="4" max="4" width="10.83203125" style="8"/>
    <col min="5" max="5" width="13.6640625" style="8" customWidth="1"/>
    <col min="6" max="6" width="15.33203125" style="8" customWidth="1"/>
    <col min="7" max="9" width="10.83203125" style="8"/>
    <col min="10" max="10" width="12.6640625" style="8" customWidth="1"/>
    <col min="11" max="16384" width="10.83203125" style="8"/>
  </cols>
  <sheetData>
    <row r="1" spans="1:14" ht="43" customHeight="1">
      <c r="A1" s="23" t="s">
        <v>106</v>
      </c>
      <c r="C1" s="115"/>
    </row>
    <row r="2" spans="1:14" ht="28.5" customHeight="1">
      <c r="A2" s="116"/>
      <c r="B2" s="117"/>
      <c r="C2" s="110"/>
    </row>
    <row r="3" spans="1:14" ht="35.25" customHeight="1">
      <c r="A3" s="232" t="s">
        <v>246</v>
      </c>
      <c r="B3" s="233"/>
      <c r="C3" s="233"/>
      <c r="E3" s="138" t="s">
        <v>248</v>
      </c>
      <c r="F3" s="138" t="s">
        <v>247</v>
      </c>
      <c r="H3" s="234" t="s">
        <v>130</v>
      </c>
      <c r="I3" s="234"/>
    </row>
    <row r="4" spans="1:14" ht="23.25" customHeight="1">
      <c r="A4" s="20"/>
      <c r="B4" s="18" t="str">
        <f>"31.12."&amp;_labels!$B$1</f>
        <v>31.12.2016</v>
      </c>
      <c r="C4" s="24" t="str">
        <f>"31.12."&amp;_labels!$B$1-1</f>
        <v>31.12.2015</v>
      </c>
      <c r="H4" s="8">
        <v>2015</v>
      </c>
      <c r="I4" s="8">
        <v>2014</v>
      </c>
      <c r="J4" s="235"/>
    </row>
    <row r="5" spans="1:14" ht="16">
      <c r="A5" s="12" t="s">
        <v>242</v>
      </c>
      <c r="B5" s="26">
        <f>1498616/1000</f>
        <v>1498.616</v>
      </c>
      <c r="C5" s="26">
        <f>2097493/1000</f>
        <v>2097.4929999999999</v>
      </c>
      <c r="J5" s="235"/>
    </row>
    <row r="6" spans="1:14" ht="30.75" customHeight="1">
      <c r="A6" s="9" t="s">
        <v>21</v>
      </c>
      <c r="B6" s="27">
        <f>SUM(B5)</f>
        <v>1498.616</v>
      </c>
      <c r="C6" s="28">
        <f>SUM(C5)</f>
        <v>2097.4929999999999</v>
      </c>
      <c r="E6" s="33">
        <f>+I_Resultat_ProduitsCharges!B34+I_iImpôts!B6</f>
        <v>-1497117.3840000001</v>
      </c>
      <c r="F6" s="33">
        <f>+I_Resultat_ProduitsCharges!C34+I_iImpôts!C6</f>
        <v>-2095395.507</v>
      </c>
      <c r="H6" s="33">
        <f>(+I_Resultat_ProduitsCharges!B31+I_Resultat_ProduitsCharges!B32+I_Resultat_ProduitsCharges!B33)/1000</f>
        <v>8310.3709999999992</v>
      </c>
      <c r="I6" s="33">
        <f>(+I_Resultat_ProduitsCharges!C31+I_Resultat_ProduitsCharges!C32+I_Resultat_ProduitsCharges!C33)/1000</f>
        <v>6841.2860000000001</v>
      </c>
      <c r="J6" s="33">
        <f>1869-350</f>
        <v>1519</v>
      </c>
    </row>
    <row r="7" spans="1:14" ht="12.75" customHeight="1"/>
    <row r="8" spans="1:14" ht="15">
      <c r="A8" s="12" t="s">
        <v>304</v>
      </c>
      <c r="B8" s="135">
        <f>+H8</f>
        <v>0.18033081796227871</v>
      </c>
      <c r="C8" s="135">
        <f>+I8</f>
        <v>0.30659338025043831</v>
      </c>
      <c r="H8" s="139">
        <f>+B6/H6</f>
        <v>0.18033081796227871</v>
      </c>
      <c r="I8" s="139">
        <f>+$C$6/I6</f>
        <v>0.30659338025043831</v>
      </c>
      <c r="J8" s="139">
        <f>+J6/(I6/1000)</f>
        <v>222.0342783505908</v>
      </c>
    </row>
    <row r="9" spans="1:14" ht="19" customHeight="1">
      <c r="H9" s="139"/>
      <c r="I9" s="139"/>
    </row>
    <row r="10" spans="1:14" ht="31.5" customHeight="1">
      <c r="A10" s="229"/>
      <c r="B10" s="229"/>
      <c r="C10" s="229"/>
      <c r="H10" s="229"/>
      <c r="I10" s="229"/>
      <c r="J10" s="229"/>
      <c r="K10" s="229"/>
      <c r="L10" s="229"/>
      <c r="M10" s="229"/>
      <c r="N10" s="229"/>
    </row>
  </sheetData>
  <mergeCells count="5">
    <mergeCell ref="A3:C3"/>
    <mergeCell ref="H3:I3"/>
    <mergeCell ref="A10:C10"/>
    <mergeCell ref="J4:J5"/>
    <mergeCell ref="H10:N10"/>
  </mergeCells>
  <pageMargins left="0.75000000000000011" right="0.75000000000000011" top="1" bottom="1" header="0.5" footer="0.5"/>
  <pageSetup paperSize="9" scale="73" orientation="portrait" horizontalDpi="1200" verticalDpi="1200"/>
  <extLst>
    <ext xmlns:mx="http://schemas.microsoft.com/office/mac/excel/2008/main" uri="{64002731-A6B0-56B0-2670-7721B7C09600}">
      <mx:PLV Mode="0" OnePage="0" WScale="10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C19"/>
  <sheetViews>
    <sheetView workbookViewId="0">
      <selection activeCell="C11" sqref="C11"/>
    </sheetView>
  </sheetViews>
  <sheetFormatPr baseColWidth="10" defaultColWidth="10.83203125" defaultRowHeight="19" customHeight="1" x14ac:dyDescent="0"/>
  <cols>
    <col min="1" max="1" width="73.5" style="11" bestFit="1" customWidth="1"/>
    <col min="2" max="2" width="22.33203125" style="142" customWidth="1"/>
    <col min="3" max="3" width="22" style="8" customWidth="1"/>
    <col min="4" max="16384" width="10.83203125" style="8"/>
  </cols>
  <sheetData>
    <row r="1" spans="1:3" ht="43" customHeight="1">
      <c r="A1" s="23" t="s">
        <v>354</v>
      </c>
    </row>
    <row r="2" spans="1:3" ht="43" customHeight="1">
      <c r="A2" s="20" t="s">
        <v>308</v>
      </c>
    </row>
    <row r="3" spans="1:3" ht="43" customHeight="1">
      <c r="B3" s="8"/>
      <c r="C3" s="149" t="str">
        <f>"31.12."&amp;[1]_labels!$B$1</f>
        <v>31.12.2015</v>
      </c>
    </row>
    <row r="4" spans="1:3" ht="24" customHeight="1">
      <c r="A4" s="9" t="s">
        <v>309</v>
      </c>
      <c r="B4" s="8"/>
      <c r="C4" s="180"/>
    </row>
    <row r="5" spans="1:3" ht="24" customHeight="1">
      <c r="A5" s="12" t="s">
        <v>310</v>
      </c>
      <c r="B5" s="8"/>
      <c r="C5" s="25">
        <v>83757</v>
      </c>
    </row>
    <row r="6" spans="1:3" ht="24" customHeight="1">
      <c r="A6" s="12" t="s">
        <v>311</v>
      </c>
      <c r="B6" s="8"/>
      <c r="C6" s="25">
        <v>0</v>
      </c>
    </row>
    <row r="7" spans="1:3" ht="24" customHeight="1">
      <c r="A7" s="12" t="s">
        <v>312</v>
      </c>
      <c r="B7" s="8"/>
      <c r="C7" s="25">
        <v>26537</v>
      </c>
    </row>
    <row r="8" spans="1:3" s="10" customFormat="1" ht="24" customHeight="1">
      <c r="A8" s="9" t="s">
        <v>313</v>
      </c>
      <c r="C8" s="27">
        <f>SUM(C5:C7)</f>
        <v>110294</v>
      </c>
    </row>
    <row r="10" spans="1:3" ht="19" customHeight="1">
      <c r="A10" s="20" t="s">
        <v>314</v>
      </c>
    </row>
    <row r="11" spans="1:3" ht="27.75" customHeight="1">
      <c r="B11" s="191" t="s">
        <v>315</v>
      </c>
      <c r="C11" s="191" t="s">
        <v>316</v>
      </c>
    </row>
    <row r="12" spans="1:3" ht="26.25" customHeight="1">
      <c r="A12" s="12" t="s">
        <v>317</v>
      </c>
      <c r="B12" s="192" t="s">
        <v>318</v>
      </c>
      <c r="C12" s="25">
        <v>34590</v>
      </c>
    </row>
    <row r="13" spans="1:3" ht="26.25" customHeight="1">
      <c r="A13" s="12" t="s">
        <v>319</v>
      </c>
      <c r="B13" s="192" t="s">
        <v>320</v>
      </c>
      <c r="C13" s="25">
        <v>639</v>
      </c>
    </row>
    <row r="14" spans="1:3" ht="26.25" customHeight="1">
      <c r="A14" s="12" t="s">
        <v>321</v>
      </c>
      <c r="B14" s="192" t="s">
        <v>320</v>
      </c>
      <c r="C14" s="25">
        <v>424</v>
      </c>
    </row>
    <row r="15" spans="1:3" ht="26.25" customHeight="1">
      <c r="A15" s="21" t="s">
        <v>322</v>
      </c>
      <c r="B15" s="192"/>
      <c r="C15" s="25">
        <v>71</v>
      </c>
    </row>
    <row r="16" spans="1:3" ht="26.25" customHeight="1">
      <c r="A16" s="21" t="s">
        <v>323</v>
      </c>
      <c r="B16" s="192"/>
      <c r="C16" s="25">
        <v>353</v>
      </c>
    </row>
    <row r="17" spans="1:3" ht="26.25" customHeight="1">
      <c r="A17" s="12" t="s">
        <v>324</v>
      </c>
      <c r="B17" s="192" t="s">
        <v>325</v>
      </c>
      <c r="C17" s="25">
        <v>8176</v>
      </c>
    </row>
    <row r="18" spans="1:3" ht="26.25" customHeight="1">
      <c r="A18" s="12" t="s">
        <v>326</v>
      </c>
      <c r="B18" s="192" t="s">
        <v>327</v>
      </c>
      <c r="C18" s="25">
        <v>246</v>
      </c>
    </row>
    <row r="19" spans="1:3" ht="26.25" customHeight="1">
      <c r="A19" s="9" t="s">
        <v>21</v>
      </c>
      <c r="B19" s="193"/>
      <c r="C19" s="27">
        <f>+C12+C13+C14+C17+C18</f>
        <v>44075</v>
      </c>
    </row>
  </sheetData>
  <pageMargins left="0.63" right="0.6" top="1" bottom="1" header="0.5" footer="0.5"/>
  <pageSetup paperSize="9" scale="88" orientation="portrait" horizontalDpi="1200" verticalDpi="12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20"/>
  <sheetViews>
    <sheetView workbookViewId="0">
      <pane xSplit="1" ySplit="2" topLeftCell="B3" activePane="bottomRight" state="frozen"/>
      <selection activeCell="A17" sqref="A17"/>
      <selection pane="topRight" activeCell="A17" sqref="A17"/>
      <selection pane="bottomLeft" activeCell="A17" sqref="A17"/>
      <selection pane="bottomRight" activeCell="C31" sqref="C31"/>
    </sheetView>
  </sheetViews>
  <sheetFormatPr baseColWidth="10" defaultColWidth="10.83203125" defaultRowHeight="19" customHeight="1" outlineLevelCol="1" x14ac:dyDescent="0"/>
  <cols>
    <col min="1" max="1" width="69.5" style="11" bestFit="1" customWidth="1"/>
    <col min="2" max="2" width="22.5" style="7" customWidth="1"/>
    <col min="3" max="3" width="20.83203125" style="7" customWidth="1"/>
    <col min="4" max="4" width="6" style="8" customWidth="1" outlineLevel="1"/>
    <col min="5" max="5" width="10" style="8" customWidth="1"/>
    <col min="6" max="6" width="9.1640625" style="8" customWidth="1"/>
    <col min="7" max="7" width="15.33203125" style="8" customWidth="1"/>
    <col min="8" max="8" width="15.5" style="8" hidden="1" customWidth="1" outlineLevel="1"/>
    <col min="9" max="9" width="11.1640625" style="8" bestFit="1" customWidth="1" collapsed="1"/>
    <col min="10" max="16384" width="10.83203125" style="8"/>
  </cols>
  <sheetData>
    <row r="1" spans="1:9" ht="43" customHeight="1">
      <c r="A1" s="23" t="str">
        <f>"Compte de résultat de l’exercice "&amp;_labels!$B$1</f>
        <v>Compte de résultat de l’exercice 2016</v>
      </c>
      <c r="C1" s="17"/>
    </row>
    <row r="2" spans="1:9" ht="48" customHeight="1">
      <c r="A2" s="49"/>
      <c r="B2" s="18">
        <f>_labels!$B$1</f>
        <v>2016</v>
      </c>
      <c r="C2" s="176">
        <f>_labels!$B$1-1</f>
        <v>2015</v>
      </c>
      <c r="E2" s="70" t="s">
        <v>134</v>
      </c>
      <c r="F2" s="63" t="s">
        <v>122</v>
      </c>
      <c r="G2" s="58" t="s">
        <v>116</v>
      </c>
      <c r="H2" s="8" t="s">
        <v>115</v>
      </c>
      <c r="I2" s="58" t="s">
        <v>254</v>
      </c>
    </row>
    <row r="3" spans="1:9" ht="36" customHeight="1">
      <c r="A3" s="9" t="s">
        <v>27</v>
      </c>
      <c r="B3" s="13"/>
      <c r="C3" s="14"/>
      <c r="G3" s="57"/>
    </row>
    <row r="4" spans="1:9" ht="24" customHeight="1">
      <c r="A4" s="21" t="s">
        <v>28</v>
      </c>
      <c r="B4" s="25">
        <f>15573043-7190712</f>
        <v>8382331</v>
      </c>
      <c r="C4" s="26">
        <f>10722843+17422</f>
        <v>10740265</v>
      </c>
      <c r="G4" s="57">
        <v>17422.169999999998</v>
      </c>
    </row>
    <row r="5" spans="1:9" ht="24" customHeight="1">
      <c r="A5" s="21" t="s">
        <v>29</v>
      </c>
      <c r="B5" s="25">
        <v>7190712</v>
      </c>
      <c r="C5" s="26">
        <v>7201820</v>
      </c>
      <c r="G5" s="57"/>
    </row>
    <row r="6" spans="1:9" ht="24" customHeight="1">
      <c r="A6" s="21" t="s">
        <v>30</v>
      </c>
      <c r="B6" s="25">
        <v>-1767851</v>
      </c>
      <c r="C6" s="26">
        <v>-2588714</v>
      </c>
      <c r="G6" s="57"/>
    </row>
    <row r="7" spans="1:9" ht="24" customHeight="1">
      <c r="A7" s="55" t="s">
        <v>123</v>
      </c>
      <c r="B7" s="25">
        <f>SUM(B4:B6)</f>
        <v>13805192</v>
      </c>
      <c r="C7" s="26">
        <f>SUM(C4:C6)</f>
        <v>15353371</v>
      </c>
      <c r="G7" s="57"/>
      <c r="H7" s="8" t="s">
        <v>133</v>
      </c>
    </row>
    <row r="8" spans="1:9" ht="32.25" customHeight="1">
      <c r="A8" s="64" t="s">
        <v>124</v>
      </c>
      <c r="B8" s="25">
        <f>-13884-955733</f>
        <v>-969617</v>
      </c>
      <c r="C8" s="26">
        <f>-17422-3998807</f>
        <v>-4016229</v>
      </c>
      <c r="G8" s="57">
        <f>-17422.17-3998807.45</f>
        <v>-4016229.62</v>
      </c>
      <c r="H8" s="8" t="s">
        <v>132</v>
      </c>
      <c r="I8" s="57">
        <f>3200-958932.7</f>
        <v>-955732.7</v>
      </c>
    </row>
    <row r="9" spans="1:9" ht="26.25" customHeight="1">
      <c r="A9" s="65" t="s">
        <v>125</v>
      </c>
      <c r="B9" s="25">
        <f>+B7+B8</f>
        <v>12835575</v>
      </c>
      <c r="C9" s="25">
        <f>+C7+C8</f>
        <v>11337142</v>
      </c>
      <c r="G9" s="57"/>
      <c r="H9" s="8" t="s">
        <v>132</v>
      </c>
    </row>
    <row r="10" spans="1:9" ht="36" customHeight="1">
      <c r="A10" s="9" t="s">
        <v>31</v>
      </c>
      <c r="B10" s="25"/>
      <c r="C10" s="26"/>
      <c r="G10" s="57"/>
    </row>
    <row r="11" spans="1:9" ht="24" customHeight="1">
      <c r="A11" s="67" t="s">
        <v>126</v>
      </c>
      <c r="B11" s="25">
        <v>31658454</v>
      </c>
      <c r="C11" s="26">
        <v>25293865</v>
      </c>
      <c r="G11" s="57"/>
      <c r="H11" s="8" t="s">
        <v>133</v>
      </c>
    </row>
    <row r="12" spans="1:9" ht="24" customHeight="1">
      <c r="A12" s="21" t="s">
        <v>32</v>
      </c>
      <c r="B12" s="25">
        <v>918219</v>
      </c>
      <c r="C12" s="26">
        <v>104352</v>
      </c>
      <c r="G12" s="57"/>
    </row>
    <row r="13" spans="1:9" ht="24" customHeight="1">
      <c r="A13" s="21" t="s">
        <v>33</v>
      </c>
      <c r="B13" s="25">
        <v>14468876</v>
      </c>
      <c r="C13" s="26">
        <v>11098624</v>
      </c>
      <c r="G13" s="57"/>
    </row>
    <row r="14" spans="1:9" ht="24" customHeight="1">
      <c r="A14" s="21" t="s">
        <v>34</v>
      </c>
      <c r="B14" s="25">
        <v>-11991867</v>
      </c>
      <c r="C14" s="26">
        <v>-11456760</v>
      </c>
      <c r="G14" s="57"/>
    </row>
    <row r="15" spans="1:9" ht="24" customHeight="1">
      <c r="A15" s="31" t="s">
        <v>35</v>
      </c>
      <c r="B15" s="25">
        <f>SUM(B11:B14)</f>
        <v>35053682</v>
      </c>
      <c r="C15" s="26">
        <f>SUM(C11:C14)</f>
        <v>25040081</v>
      </c>
      <c r="G15" s="57"/>
    </row>
    <row r="16" spans="1:9" ht="36" customHeight="1">
      <c r="A16" s="68" t="s">
        <v>127</v>
      </c>
      <c r="B16" s="27">
        <v>6581581</v>
      </c>
      <c r="C16" s="28">
        <v>5012271</v>
      </c>
      <c r="G16" s="57"/>
      <c r="H16" s="8" t="s">
        <v>133</v>
      </c>
    </row>
    <row r="17" spans="1:9" ht="36" customHeight="1">
      <c r="A17" s="9" t="s">
        <v>37</v>
      </c>
      <c r="C17" s="26"/>
      <c r="G17" s="57"/>
    </row>
    <row r="18" spans="1:9" ht="24" customHeight="1">
      <c r="A18" s="21" t="s">
        <v>49</v>
      </c>
      <c r="B18" s="25">
        <v>342125</v>
      </c>
      <c r="C18" s="26">
        <v>223062</v>
      </c>
      <c r="G18" s="57"/>
    </row>
    <row r="19" spans="1:9" ht="24" customHeight="1">
      <c r="A19" s="21" t="s">
        <v>108</v>
      </c>
      <c r="B19" s="25">
        <v>5000000</v>
      </c>
      <c r="C19" s="26">
        <v>0</v>
      </c>
      <c r="G19" s="57"/>
    </row>
    <row r="20" spans="1:9" ht="24" customHeight="1">
      <c r="A20" s="21" t="s">
        <v>38</v>
      </c>
      <c r="B20" s="25">
        <v>764861</v>
      </c>
      <c r="C20" s="26">
        <v>616370</v>
      </c>
      <c r="G20" s="57"/>
    </row>
    <row r="21" spans="1:9" ht="24" customHeight="1">
      <c r="A21" s="12" t="s">
        <v>39</v>
      </c>
      <c r="B21" s="25">
        <f>SUM(B18:B20)</f>
        <v>6106986</v>
      </c>
      <c r="C21" s="26">
        <f>SUM(C18:C20)</f>
        <v>839432</v>
      </c>
      <c r="G21" s="57"/>
    </row>
    <row r="22" spans="1:9" ht="36" customHeight="1">
      <c r="A22" s="88" t="s">
        <v>40</v>
      </c>
      <c r="B22" s="89">
        <v>0</v>
      </c>
      <c r="C22" s="89">
        <v>0</v>
      </c>
      <c r="G22" s="57"/>
      <c r="H22" s="8" t="s">
        <v>243</v>
      </c>
    </row>
    <row r="23" spans="1:9" s="51" customFormat="1" ht="48" customHeight="1">
      <c r="A23" s="23" t="str">
        <f>"Compte de résultat de l’exercice "&amp;_labels!$B$1</f>
        <v>Compte de résultat de l’exercice 2016</v>
      </c>
      <c r="B23" s="50">
        <f>_labels!$B$1</f>
        <v>2016</v>
      </c>
      <c r="C23" s="177">
        <f>_labels!$B$1-1</f>
        <v>2015</v>
      </c>
      <c r="G23" s="66"/>
    </row>
    <row r="24" spans="1:9" ht="36" customHeight="1">
      <c r="A24" s="9" t="s">
        <v>41</v>
      </c>
      <c r="B24" s="27"/>
      <c r="C24" s="28"/>
      <c r="G24" s="57"/>
    </row>
    <row r="25" spans="1:9" ht="24" customHeight="1">
      <c r="A25" s="12" t="s">
        <v>42</v>
      </c>
      <c r="B25" s="25">
        <v>-24563423</v>
      </c>
      <c r="C25" s="26">
        <v>-19896304</v>
      </c>
      <c r="G25" s="57"/>
    </row>
    <row r="26" spans="1:9" ht="24" customHeight="1">
      <c r="A26" s="12" t="s">
        <v>43</v>
      </c>
      <c r="B26" s="25">
        <v>-13414361</v>
      </c>
      <c r="C26" s="26">
        <v>-13828099</v>
      </c>
      <c r="G26" s="57"/>
    </row>
    <row r="27" spans="1:9" ht="24" customHeight="1">
      <c r="A27" s="12" t="s">
        <v>44</v>
      </c>
      <c r="B27" s="25">
        <f>SUM(B25:B26)</f>
        <v>-37977784</v>
      </c>
      <c r="C27" s="26">
        <f>SUM(C25:C26)</f>
        <v>-33724403</v>
      </c>
      <c r="G27" s="57"/>
    </row>
    <row r="28" spans="1:9" ht="36" customHeight="1">
      <c r="A28" s="88" t="s">
        <v>45</v>
      </c>
      <c r="B28" s="89">
        <f>+B9+B15+B16+B21+B27</f>
        <v>22600040</v>
      </c>
      <c r="C28" s="89">
        <f>+C9+C15+C16+C21+C27</f>
        <v>8504523</v>
      </c>
      <c r="G28" s="57"/>
    </row>
    <row r="29" spans="1:9" ht="36" customHeight="1">
      <c r="A29" s="69" t="s">
        <v>128</v>
      </c>
      <c r="B29" s="25">
        <v>-2752103</v>
      </c>
      <c r="C29" s="26">
        <v>-1978683</v>
      </c>
      <c r="G29" s="57"/>
      <c r="H29" s="8" t="s">
        <v>133</v>
      </c>
    </row>
    <row r="30" spans="1:9" ht="24" customHeight="1">
      <c r="A30" s="55" t="s">
        <v>129</v>
      </c>
      <c r="B30" s="25">
        <f>-12423931+955733</f>
        <v>-11468198</v>
      </c>
      <c r="C30" s="26">
        <f>-5537156+3998807</f>
        <v>-1538349</v>
      </c>
      <c r="G30" s="57">
        <v>3998807.45</v>
      </c>
      <c r="H30" s="8" t="s">
        <v>133</v>
      </c>
      <c r="I30" s="57">
        <f>-I8</f>
        <v>955732.7</v>
      </c>
    </row>
    <row r="31" spans="1:9" ht="36" customHeight="1">
      <c r="A31" s="68" t="s">
        <v>130</v>
      </c>
      <c r="B31" s="27">
        <f>+B9+B15+B16+B21+B27+SUM(B29:B30)</f>
        <v>8379739</v>
      </c>
      <c r="C31" s="28">
        <f>+C9+C15+C16+C21+C27+SUM(C29:C30)</f>
        <v>4987491</v>
      </c>
      <c r="G31" s="57"/>
    </row>
    <row r="32" spans="1:9" ht="36" customHeight="1">
      <c r="A32" s="12" t="s">
        <v>46</v>
      </c>
      <c r="B32" s="25">
        <v>0</v>
      </c>
      <c r="C32" s="26">
        <v>2353795</v>
      </c>
      <c r="G32" s="57"/>
    </row>
    <row r="33" spans="1:7" ht="24" customHeight="1">
      <c r="A33" s="12" t="s">
        <v>47</v>
      </c>
      <c r="B33" s="25">
        <v>-69368</v>
      </c>
      <c r="C33" s="26">
        <v>-500000</v>
      </c>
      <c r="G33" s="57"/>
    </row>
    <row r="34" spans="1:7" ht="24" customHeight="1">
      <c r="A34" s="12" t="s">
        <v>48</v>
      </c>
      <c r="B34" s="25">
        <f>-1498616</f>
        <v>-1498616</v>
      </c>
      <c r="C34" s="26">
        <v>-2097493</v>
      </c>
      <c r="G34" s="57"/>
    </row>
    <row r="35" spans="1:7" ht="36" customHeight="1">
      <c r="A35" s="9" t="s">
        <v>26</v>
      </c>
      <c r="B35" s="27">
        <f>SUM(B31:B34)</f>
        <v>6811755</v>
      </c>
      <c r="C35" s="28">
        <f>SUM(C31:C34)</f>
        <v>4743793</v>
      </c>
      <c r="E35" s="72">
        <f>+I_Bilan!B27-I_Resultat_ProduitsCharges!B35</f>
        <v>0</v>
      </c>
      <c r="F35" s="72">
        <f>+I_Bilan!C27-I_Resultat_ProduitsCharges!C35</f>
        <v>0</v>
      </c>
      <c r="G35" s="57"/>
    </row>
    <row r="36" spans="1:7" ht="19" customHeight="1">
      <c r="G36" s="57"/>
    </row>
    <row r="37" spans="1:7" ht="19" customHeight="1">
      <c r="G37" s="57"/>
    </row>
    <row r="38" spans="1:7" ht="19" customHeight="1">
      <c r="G38" s="57"/>
    </row>
    <row r="39" spans="1:7" ht="19" customHeight="1">
      <c r="G39" s="57"/>
    </row>
    <row r="40" spans="1:7" ht="19" customHeight="1">
      <c r="G40" s="57"/>
    </row>
    <row r="41" spans="1:7" ht="19" customHeight="1">
      <c r="G41" s="57"/>
    </row>
    <row r="42" spans="1:7" ht="19" customHeight="1">
      <c r="G42" s="57"/>
    </row>
    <row r="43" spans="1:7" ht="19" customHeight="1">
      <c r="G43" s="57"/>
    </row>
    <row r="44" spans="1:7" ht="19" customHeight="1">
      <c r="G44" s="57"/>
    </row>
    <row r="45" spans="1:7" ht="19" customHeight="1">
      <c r="G45" s="57"/>
    </row>
    <row r="46" spans="1:7" ht="19" customHeight="1">
      <c r="G46" s="57"/>
    </row>
    <row r="47" spans="1:7" ht="19" customHeight="1">
      <c r="G47" s="57"/>
    </row>
    <row r="48" spans="1:7" ht="19" customHeight="1">
      <c r="G48" s="57"/>
    </row>
    <row r="49" spans="7:7" ht="19" customHeight="1">
      <c r="G49" s="57"/>
    </row>
    <row r="50" spans="7:7" ht="19" customHeight="1">
      <c r="G50" s="57"/>
    </row>
    <row r="51" spans="7:7" ht="19" customHeight="1">
      <c r="G51" s="57"/>
    </row>
    <row r="52" spans="7:7" ht="19" customHeight="1">
      <c r="G52" s="57"/>
    </row>
    <row r="53" spans="7:7" ht="19" customHeight="1">
      <c r="G53" s="57"/>
    </row>
    <row r="54" spans="7:7" ht="19" customHeight="1">
      <c r="G54" s="57"/>
    </row>
    <row r="55" spans="7:7" ht="19" customHeight="1">
      <c r="G55" s="57"/>
    </row>
    <row r="56" spans="7:7" ht="19" customHeight="1">
      <c r="G56" s="57"/>
    </row>
    <row r="57" spans="7:7" ht="19" customHeight="1">
      <c r="G57" s="57"/>
    </row>
    <row r="58" spans="7:7" ht="19" customHeight="1">
      <c r="G58" s="57"/>
    </row>
    <row r="59" spans="7:7" ht="19" customHeight="1">
      <c r="G59" s="57"/>
    </row>
    <row r="60" spans="7:7" ht="19" customHeight="1">
      <c r="G60" s="57"/>
    </row>
    <row r="61" spans="7:7" ht="19" customHeight="1">
      <c r="G61" s="57"/>
    </row>
    <row r="62" spans="7:7" ht="19" customHeight="1">
      <c r="G62" s="57"/>
    </row>
    <row r="63" spans="7:7" ht="19" customHeight="1">
      <c r="G63" s="57"/>
    </row>
    <row r="64" spans="7:7" ht="19" customHeight="1">
      <c r="G64" s="57"/>
    </row>
    <row r="65" spans="7:7" ht="19" customHeight="1">
      <c r="G65" s="57"/>
    </row>
    <row r="66" spans="7:7" ht="19" customHeight="1">
      <c r="G66" s="57"/>
    </row>
    <row r="67" spans="7:7" ht="19" customHeight="1">
      <c r="G67" s="57"/>
    </row>
    <row r="68" spans="7:7" ht="19" customHeight="1">
      <c r="G68" s="57"/>
    </row>
    <row r="69" spans="7:7" ht="19" customHeight="1">
      <c r="G69" s="57"/>
    </row>
    <row r="70" spans="7:7" ht="19" customHeight="1">
      <c r="G70" s="57"/>
    </row>
    <row r="71" spans="7:7" ht="19" customHeight="1">
      <c r="G71" s="57"/>
    </row>
    <row r="72" spans="7:7" ht="19" customHeight="1">
      <c r="G72" s="57"/>
    </row>
    <row r="73" spans="7:7" ht="19" customHeight="1">
      <c r="G73" s="57"/>
    </row>
    <row r="74" spans="7:7" ht="19" customHeight="1">
      <c r="G74" s="57"/>
    </row>
    <row r="75" spans="7:7" ht="19" customHeight="1">
      <c r="G75" s="57"/>
    </row>
    <row r="76" spans="7:7" ht="19" customHeight="1">
      <c r="G76" s="57"/>
    </row>
    <row r="77" spans="7:7" ht="19" customHeight="1">
      <c r="G77" s="57"/>
    </row>
    <row r="78" spans="7:7" ht="19" customHeight="1">
      <c r="G78" s="57"/>
    </row>
    <row r="79" spans="7:7" ht="19" customHeight="1">
      <c r="G79" s="57"/>
    </row>
    <row r="80" spans="7:7" ht="19" customHeight="1">
      <c r="G80" s="57"/>
    </row>
    <row r="81" spans="7:7" ht="19" customHeight="1">
      <c r="G81" s="57"/>
    </row>
    <row r="82" spans="7:7" ht="19" customHeight="1">
      <c r="G82" s="57"/>
    </row>
    <row r="83" spans="7:7" ht="19" customHeight="1">
      <c r="G83" s="57"/>
    </row>
    <row r="84" spans="7:7" ht="19" customHeight="1">
      <c r="G84" s="57"/>
    </row>
    <row r="85" spans="7:7" ht="19" customHeight="1">
      <c r="G85" s="57"/>
    </row>
    <row r="86" spans="7:7" ht="19" customHeight="1">
      <c r="G86" s="57"/>
    </row>
    <row r="87" spans="7:7" ht="19" customHeight="1">
      <c r="G87" s="57"/>
    </row>
    <row r="88" spans="7:7" ht="19" customHeight="1">
      <c r="G88" s="57"/>
    </row>
    <row r="89" spans="7:7" ht="19" customHeight="1">
      <c r="G89" s="57"/>
    </row>
    <row r="90" spans="7:7" ht="19" customHeight="1">
      <c r="G90" s="57"/>
    </row>
    <row r="91" spans="7:7" ht="19" customHeight="1">
      <c r="G91" s="57"/>
    </row>
    <row r="92" spans="7:7" ht="19" customHeight="1">
      <c r="G92" s="57"/>
    </row>
    <row r="93" spans="7:7" ht="19" customHeight="1">
      <c r="G93" s="57"/>
    </row>
    <row r="94" spans="7:7" ht="19" customHeight="1">
      <c r="G94" s="57"/>
    </row>
    <row r="95" spans="7:7" ht="19" customHeight="1">
      <c r="G95" s="57"/>
    </row>
    <row r="96" spans="7:7" ht="19" customHeight="1">
      <c r="G96" s="57"/>
    </row>
    <row r="97" spans="7:7" ht="19" customHeight="1">
      <c r="G97" s="57"/>
    </row>
    <row r="98" spans="7:7" ht="19" customHeight="1">
      <c r="G98" s="57"/>
    </row>
    <row r="99" spans="7:7" ht="19" customHeight="1">
      <c r="G99" s="57"/>
    </row>
    <row r="100" spans="7:7" ht="19" customHeight="1">
      <c r="G100" s="57"/>
    </row>
    <row r="101" spans="7:7" ht="19" customHeight="1">
      <c r="G101" s="57"/>
    </row>
    <row r="102" spans="7:7" ht="19" customHeight="1">
      <c r="G102" s="57"/>
    </row>
    <row r="103" spans="7:7" ht="19" customHeight="1">
      <c r="G103" s="57"/>
    </row>
    <row r="104" spans="7:7" ht="19" customHeight="1">
      <c r="G104" s="57"/>
    </row>
    <row r="105" spans="7:7" ht="19" customHeight="1">
      <c r="G105" s="57"/>
    </row>
    <row r="106" spans="7:7" ht="19" customHeight="1">
      <c r="G106" s="57"/>
    </row>
    <row r="107" spans="7:7" ht="19" customHeight="1">
      <c r="G107" s="57"/>
    </row>
    <row r="108" spans="7:7" ht="19" customHeight="1">
      <c r="G108" s="57"/>
    </row>
    <row r="109" spans="7:7" ht="19" customHeight="1">
      <c r="G109" s="57"/>
    </row>
    <row r="110" spans="7:7" ht="19" customHeight="1">
      <c r="G110" s="57"/>
    </row>
    <row r="111" spans="7:7" ht="19" customHeight="1">
      <c r="G111" s="57"/>
    </row>
    <row r="112" spans="7:7" ht="19" customHeight="1">
      <c r="G112" s="57"/>
    </row>
    <row r="113" spans="7:7" ht="19" customHeight="1">
      <c r="G113" s="57"/>
    </row>
    <row r="114" spans="7:7" ht="19" customHeight="1">
      <c r="G114" s="57"/>
    </row>
    <row r="115" spans="7:7" ht="19" customHeight="1">
      <c r="G115" s="57"/>
    </row>
    <row r="116" spans="7:7" ht="19" customHeight="1">
      <c r="G116" s="57"/>
    </row>
    <row r="117" spans="7:7" ht="19" customHeight="1">
      <c r="G117" s="57"/>
    </row>
    <row r="118" spans="7:7" ht="19" customHeight="1">
      <c r="G118" s="57"/>
    </row>
    <row r="119" spans="7:7" ht="19" customHeight="1">
      <c r="G119" s="57"/>
    </row>
    <row r="120" spans="7:7" ht="19" customHeight="1">
      <c r="G120" s="57"/>
    </row>
  </sheetData>
  <conditionalFormatting sqref="E35">
    <cfRule type="cellIs" dxfId="3" priority="2" operator="notEqual">
      <formula>0</formula>
    </cfRule>
  </conditionalFormatting>
  <conditionalFormatting sqref="F35">
    <cfRule type="cellIs" dxfId="2" priority="1" operator="notEqual">
      <formula>0</formula>
    </cfRule>
  </conditionalFormatting>
  <pageMargins left="0.48" right="0.4" top="0.88" bottom="1" header="0.5" footer="0.5"/>
  <pageSetup paperSize="9" scale="67" orientation="portrait"/>
  <extLst>
    <ext xmlns:mx="http://schemas.microsoft.com/office/mac/excel/2008/main" uri="{64002731-A6B0-56B0-2670-7721B7C09600}">
      <mx:PLV Mode="0" OnePage="0" WScale="10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C14"/>
  <sheetViews>
    <sheetView workbookViewId="0">
      <selection activeCell="A2" sqref="A2"/>
    </sheetView>
  </sheetViews>
  <sheetFormatPr baseColWidth="10" defaultColWidth="10.83203125" defaultRowHeight="19" customHeight="1" x14ac:dyDescent="0"/>
  <cols>
    <col min="1" max="1" width="74" style="11" bestFit="1" customWidth="1"/>
    <col min="2" max="2" width="17.33203125" style="142" bestFit="1" customWidth="1"/>
    <col min="3" max="3" width="20.83203125" style="142" customWidth="1"/>
    <col min="4" max="16384" width="10.83203125" style="8"/>
  </cols>
  <sheetData>
    <row r="1" spans="1:3" ht="43" customHeight="1">
      <c r="A1" s="23" t="s">
        <v>355</v>
      </c>
    </row>
    <row r="2" spans="1:3" ht="43" customHeight="1">
      <c r="A2" s="20" t="s">
        <v>360</v>
      </c>
      <c r="B2" s="191"/>
      <c r="C2" s="203" t="s">
        <v>298</v>
      </c>
    </row>
    <row r="3" spans="1:3" s="10" customFormat="1" ht="29.25" customHeight="1">
      <c r="A3" s="12" t="s">
        <v>336</v>
      </c>
      <c r="B3" s="193"/>
      <c r="C3" s="194">
        <v>0.152</v>
      </c>
    </row>
    <row r="4" spans="1:3" s="10" customFormat="1" ht="29.25" customHeight="1">
      <c r="A4" s="12" t="s">
        <v>337</v>
      </c>
      <c r="B4" s="193"/>
      <c r="C4" s="194">
        <v>0.152</v>
      </c>
    </row>
    <row r="5" spans="1:3" s="10" customFormat="1" ht="29.25" customHeight="1">
      <c r="A5" s="12" t="s">
        <v>338</v>
      </c>
      <c r="B5" s="193"/>
      <c r="C5" s="194">
        <v>0.20019999999999999</v>
      </c>
    </row>
    <row r="6" spans="1:3" s="10" customFormat="1" ht="29.25" customHeight="1">
      <c r="A6" s="12" t="s">
        <v>340</v>
      </c>
      <c r="B6" s="199"/>
      <c r="C6" s="194">
        <v>4.4999999999999998E-2</v>
      </c>
    </row>
    <row r="7" spans="1:3" ht="37.5" customHeight="1">
      <c r="A7" s="175" t="s">
        <v>344</v>
      </c>
      <c r="B7" s="199"/>
      <c r="C7" s="194">
        <v>7.8E-2</v>
      </c>
    </row>
    <row r="8" spans="1:3" ht="29.25" customHeight="1">
      <c r="A8" s="175" t="s">
        <v>345</v>
      </c>
      <c r="B8" s="199"/>
      <c r="C8" s="194">
        <v>7.3999999999999996E-2</v>
      </c>
    </row>
    <row r="9" spans="1:3" ht="29.25" customHeight="1">
      <c r="A9" s="175" t="s">
        <v>346</v>
      </c>
      <c r="B9" s="199"/>
      <c r="C9" s="194">
        <v>7.8E-2</v>
      </c>
    </row>
    <row r="10" spans="1:3" ht="29.25" customHeight="1">
      <c r="A10" s="175" t="s">
        <v>347</v>
      </c>
      <c r="B10" s="199"/>
      <c r="C10" s="194">
        <v>0.09</v>
      </c>
    </row>
    <row r="11" spans="1:3" ht="29.25" customHeight="1">
      <c r="A11" s="12" t="s">
        <v>348</v>
      </c>
      <c r="B11" s="199"/>
      <c r="C11" s="194">
        <v>6.2E-2</v>
      </c>
    </row>
    <row r="12" spans="1:3" ht="36" customHeight="1">
      <c r="A12" s="175" t="s">
        <v>349</v>
      </c>
      <c r="C12" s="194">
        <v>0.112</v>
      </c>
    </row>
    <row r="13" spans="1:3" ht="29.25" customHeight="1">
      <c r="A13" s="175" t="s">
        <v>350</v>
      </c>
      <c r="C13" s="194">
        <v>8.8200000000000001E-2</v>
      </c>
    </row>
    <row r="14" spans="1:3" ht="29.25" customHeight="1"/>
  </sheetData>
  <pageMargins left="0.75000000000000011" right="0.46" top="1" bottom="1" header="0.5" footer="0.5"/>
  <pageSetup paperSize="9" scale="74" orientation="portrait" horizontalDpi="1200" verticalDpi="1200"/>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E7"/>
  <sheetViews>
    <sheetView workbookViewId="0">
      <selection activeCell="A3" sqref="A3"/>
    </sheetView>
  </sheetViews>
  <sheetFormatPr baseColWidth="10" defaultColWidth="10.83203125" defaultRowHeight="19" customHeight="1" x14ac:dyDescent="0"/>
  <cols>
    <col min="1" max="1" width="74" style="11" bestFit="1" customWidth="1"/>
    <col min="2" max="2" width="17.33203125" style="142" bestFit="1" customWidth="1"/>
    <col min="3" max="3" width="12.6640625" style="142" customWidth="1"/>
    <col min="4" max="16384" width="10.83203125" style="8"/>
  </cols>
  <sheetData>
    <row r="1" spans="1:5" ht="43" customHeight="1">
      <c r="A1" s="23" t="s">
        <v>355</v>
      </c>
    </row>
    <row r="2" spans="1:5" ht="43" customHeight="1">
      <c r="A2" s="23"/>
    </row>
    <row r="3" spans="1:5" ht="19" customHeight="1">
      <c r="A3" s="20" t="s">
        <v>339</v>
      </c>
    </row>
    <row r="4" spans="1:5" ht="30">
      <c r="A4" s="9" t="s">
        <v>361</v>
      </c>
      <c r="B4" s="200" t="s">
        <v>356</v>
      </c>
      <c r="C4" s="200" t="s">
        <v>357</v>
      </c>
      <c r="D4" s="200" t="s">
        <v>358</v>
      </c>
      <c r="E4" s="200" t="s">
        <v>359</v>
      </c>
    </row>
    <row r="5" spans="1:5" ht="35.25" customHeight="1">
      <c r="A5" s="198" t="s">
        <v>341</v>
      </c>
      <c r="B5" s="25">
        <v>373018</v>
      </c>
      <c r="C5" s="25">
        <v>345297</v>
      </c>
      <c r="D5" s="25">
        <v>276318</v>
      </c>
      <c r="E5" s="25">
        <v>254211</v>
      </c>
    </row>
    <row r="6" spans="1:5" ht="35.25" customHeight="1">
      <c r="A6" s="198" t="s">
        <v>342</v>
      </c>
      <c r="B6" s="25">
        <v>224182</v>
      </c>
      <c r="C6" s="25">
        <v>205621</v>
      </c>
      <c r="D6" s="25">
        <v>189332</v>
      </c>
      <c r="E6" s="25">
        <v>181335</v>
      </c>
    </row>
    <row r="7" spans="1:5" ht="35.25" customHeight="1">
      <c r="A7" s="202" t="s">
        <v>343</v>
      </c>
      <c r="B7" s="194">
        <f>+B5/B6</f>
        <v>1.6639070041305726</v>
      </c>
      <c r="C7" s="194">
        <f t="shared" ref="C7:E7" si="0">+C5/C6</f>
        <v>1.6792885940638358</v>
      </c>
      <c r="D7" s="194">
        <f t="shared" si="0"/>
        <v>1.4594363340586904</v>
      </c>
      <c r="E7" s="194">
        <f t="shared" si="0"/>
        <v>1.4018860120770948</v>
      </c>
    </row>
  </sheetData>
  <pageMargins left="0.75000000000000011" right="0.46" top="1" bottom="1" header="0.5" footer="0.5"/>
  <pageSetup paperSize="9" scale="74" orientation="portrait" horizontalDpi="1200" verticalDpi="1200"/>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B7"/>
  <sheetViews>
    <sheetView workbookViewId="0"/>
  </sheetViews>
  <sheetFormatPr baseColWidth="10" defaultColWidth="10.83203125" defaultRowHeight="19" customHeight="1" x14ac:dyDescent="0"/>
  <cols>
    <col min="1" max="1" width="74" style="11" bestFit="1" customWidth="1"/>
    <col min="2" max="2" width="20.83203125" style="142" customWidth="1"/>
    <col min="3" max="16384" width="10.83203125" style="8"/>
  </cols>
  <sheetData>
    <row r="1" spans="1:2" ht="43" customHeight="1">
      <c r="A1" s="23" t="s">
        <v>355</v>
      </c>
    </row>
    <row r="2" spans="1:2" ht="43" customHeight="1">
      <c r="A2" s="23"/>
    </row>
    <row r="3" spans="1:2" ht="19" customHeight="1">
      <c r="A3" s="20" t="s">
        <v>351</v>
      </c>
    </row>
    <row r="4" spans="1:2" ht="19" customHeight="1">
      <c r="B4" s="201" t="s">
        <v>298</v>
      </c>
    </row>
    <row r="5" spans="1:2" ht="28.5" customHeight="1">
      <c r="A5" s="12" t="s">
        <v>310</v>
      </c>
      <c r="B5" s="25">
        <v>83757</v>
      </c>
    </row>
    <row r="6" spans="1:2" ht="28.5" customHeight="1">
      <c r="A6" s="198" t="s">
        <v>352</v>
      </c>
      <c r="B6" s="25">
        <v>2180306</v>
      </c>
    </row>
    <row r="7" spans="1:2" ht="28.5" customHeight="1">
      <c r="A7" s="202" t="s">
        <v>351</v>
      </c>
      <c r="B7" s="194">
        <f t="shared" ref="B7" si="0">+B5/B6</f>
        <v>3.8415249969499694E-2</v>
      </c>
    </row>
  </sheetData>
  <pageMargins left="0.75000000000000011" right="0.46" top="1" bottom="1" header="0.5" footer="0.5"/>
  <pageSetup paperSize="9" scale="74" orientation="portrait" horizontalDpi="1200" verticalDpi="1200"/>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pageSetUpPr fitToPage="1"/>
  </sheetPr>
  <dimension ref="A1:B1"/>
  <sheetViews>
    <sheetView showGridLines="0" workbookViewId="0">
      <selection activeCell="B2" sqref="B2"/>
    </sheetView>
  </sheetViews>
  <sheetFormatPr baseColWidth="10" defaultColWidth="14.1640625" defaultRowHeight="20" customHeight="1" x14ac:dyDescent="0"/>
  <cols>
    <col min="1" max="1" width="14.1640625" style="4"/>
    <col min="2" max="2" width="14.1640625" style="5"/>
    <col min="3" max="16384" width="14.1640625" style="3"/>
  </cols>
  <sheetData>
    <row r="1" spans="1:2" ht="20" customHeight="1">
      <c r="A1" s="1" t="s">
        <v>1</v>
      </c>
      <c r="B1" s="2">
        <v>2016</v>
      </c>
    </row>
  </sheetData>
  <pageMargins left="0.75000000000000011" right="0.75000000000000011" top="1" bottom="1" header="0.5" footer="0.5"/>
  <headerFooter alignWithMargins="0"/>
  <rowBreaks count="1" manualBreakCount="1">
    <brk id="1" max="16383" man="1"/>
  </rowBreaks>
  <colBreaks count="1" manualBreakCount="1">
    <brk id="2" max="1048575" man="1"/>
  </col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7"/>
  <sheetViews>
    <sheetView workbookViewId="0">
      <selection activeCell="C2" sqref="C2"/>
    </sheetView>
  </sheetViews>
  <sheetFormatPr baseColWidth="10" defaultColWidth="10.83203125" defaultRowHeight="19" customHeight="1" x14ac:dyDescent="0"/>
  <cols>
    <col min="1" max="1" width="62.6640625" style="11" bestFit="1" customWidth="1"/>
    <col min="2" max="2" width="13.1640625" style="30" customWidth="1"/>
    <col min="3" max="4" width="13.6640625" style="8" customWidth="1"/>
    <col min="5" max="5" width="11.83203125" style="8" customWidth="1"/>
    <col min="6" max="6" width="13.6640625" style="8" customWidth="1"/>
    <col min="7" max="7" width="11.33203125" style="8" customWidth="1"/>
    <col min="8" max="16384" width="10.83203125" style="8"/>
  </cols>
  <sheetData>
    <row r="1" spans="1:11" ht="43" customHeight="1">
      <c r="A1" s="23" t="s">
        <v>191</v>
      </c>
    </row>
    <row r="2" spans="1:11" ht="60" customHeight="1">
      <c r="A2" s="39"/>
      <c r="B2" s="101" t="s">
        <v>192</v>
      </c>
      <c r="C2" s="101" t="s">
        <v>253</v>
      </c>
      <c r="D2" s="101" t="s">
        <v>121</v>
      </c>
      <c r="E2" s="101" t="s">
        <v>25</v>
      </c>
      <c r="F2" s="101" t="s">
        <v>193</v>
      </c>
      <c r="G2" s="101" t="s">
        <v>21</v>
      </c>
      <c r="K2" s="8" t="s">
        <v>194</v>
      </c>
    </row>
    <row r="3" spans="1:11" ht="24" customHeight="1">
      <c r="A3" s="39" t="str">
        <f>"Capitaux propres au 01.01."&amp;_labels!$B$1</f>
        <v>Capitaux propres au 01.01.2016</v>
      </c>
      <c r="B3" s="27">
        <v>32000</v>
      </c>
      <c r="C3" s="10"/>
      <c r="D3" s="27">
        <f>5566</f>
        <v>5566</v>
      </c>
      <c r="E3" s="27">
        <f>52663</f>
        <v>52663</v>
      </c>
      <c r="F3" s="10"/>
      <c r="G3" s="27">
        <f>SUM(B3:F3)</f>
        <v>90229</v>
      </c>
    </row>
    <row r="4" spans="1:11" ht="24" customHeight="1">
      <c r="A4" s="12" t="s">
        <v>244</v>
      </c>
      <c r="B4" s="25"/>
      <c r="D4" s="25"/>
      <c r="E4" s="25">
        <v>-981</v>
      </c>
      <c r="G4" s="25">
        <f>SUM(B4:F4)</f>
        <v>-981</v>
      </c>
    </row>
    <row r="5" spans="1:11" ht="24" customHeight="1">
      <c r="A5" s="12" t="s">
        <v>245</v>
      </c>
      <c r="B5" s="25"/>
      <c r="D5" s="25">
        <v>237</v>
      </c>
      <c r="E5" s="25">
        <v>-237</v>
      </c>
      <c r="G5" s="25">
        <f>SUM(B5:F5)</f>
        <v>0</v>
      </c>
    </row>
    <row r="6" spans="1:11" ht="24" customHeight="1">
      <c r="A6" s="12" t="s">
        <v>190</v>
      </c>
      <c r="B6" s="25"/>
      <c r="F6" s="25">
        <v>6812</v>
      </c>
      <c r="G6" s="25">
        <f>SUM(B6:F6)</f>
        <v>6812</v>
      </c>
    </row>
    <row r="7" spans="1:11" s="10" customFormat="1" ht="24" customHeight="1">
      <c r="A7" s="39" t="str">
        <f>"Total des capitaux propres au 31.12."&amp;_labels!$B$1&amp;" (avant répartition du bénéfice)"</f>
        <v>Total des capitaux propres au 31.12.2016 (avant répartition du bénéfice)</v>
      </c>
      <c r="B7" s="27">
        <f>SUM(B3:B6)</f>
        <v>32000</v>
      </c>
      <c r="C7" s="27">
        <f>SUM(C3:C6)</f>
        <v>0</v>
      </c>
      <c r="D7" s="27">
        <f>SUM(D3:D6)</f>
        <v>5803</v>
      </c>
      <c r="E7" s="27">
        <f>SUM(E3:E6)</f>
        <v>51445</v>
      </c>
      <c r="F7" s="27">
        <f t="shared" ref="F7:G7" si="0">SUM(F3:F6)</f>
        <v>6812</v>
      </c>
      <c r="G7" s="27">
        <f t="shared" si="0"/>
        <v>96060</v>
      </c>
      <c r="K7" s="102" t="s">
        <v>195</v>
      </c>
    </row>
  </sheetData>
  <pageMargins left="0.39" right="0.32" top="1" bottom="1" header="0.5" footer="0.5"/>
  <pageSetup paperSize="9" scale="63" orientation="portrait"/>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0"/>
  <sheetViews>
    <sheetView workbookViewId="0">
      <selection activeCell="A8" sqref="A8"/>
    </sheetView>
  </sheetViews>
  <sheetFormatPr baseColWidth="10" defaultColWidth="10.83203125" defaultRowHeight="19" customHeight="1" x14ac:dyDescent="0"/>
  <cols>
    <col min="1" max="1" width="45.1640625" style="11" customWidth="1"/>
    <col min="2" max="2" width="23.5" style="7" customWidth="1"/>
    <col min="3" max="3" width="24.6640625" style="7" customWidth="1"/>
    <col min="4" max="6" width="10.83203125" style="8"/>
    <col min="7" max="7" width="13.6640625" style="8" customWidth="1"/>
    <col min="8" max="8" width="15.5" style="8" customWidth="1"/>
    <col min="9" max="16384" width="10.83203125" style="8"/>
  </cols>
  <sheetData>
    <row r="1" spans="1:8" ht="43" customHeight="1">
      <c r="A1" s="23" t="s">
        <v>50</v>
      </c>
      <c r="C1" s="17"/>
    </row>
    <row r="2" spans="1:8" ht="43" customHeight="1">
      <c r="A2" s="20" t="s">
        <v>51</v>
      </c>
      <c r="B2" s="18" t="str">
        <f>"31.12."&amp;_labels!$B$1</f>
        <v>31.12.2016</v>
      </c>
      <c r="C2" s="19" t="str">
        <f>"31.12."&amp;_labels!$B$1-1</f>
        <v>31.12.2015</v>
      </c>
      <c r="E2" s="70" t="s">
        <v>134</v>
      </c>
      <c r="F2" s="63" t="s">
        <v>122</v>
      </c>
      <c r="G2" s="58" t="s">
        <v>116</v>
      </c>
      <c r="H2" s="8" t="s">
        <v>115</v>
      </c>
    </row>
    <row r="3" spans="1:8" ht="24" customHeight="1">
      <c r="A3" s="12" t="s">
        <v>25</v>
      </c>
      <c r="B3" s="13">
        <v>51444226</v>
      </c>
      <c r="C3" s="14">
        <v>47918903</v>
      </c>
      <c r="E3" s="71">
        <f>+I_Bilan!B26-B3</f>
        <v>0</v>
      </c>
    </row>
    <row r="4" spans="1:8" ht="24" customHeight="1">
      <c r="A4" s="12" t="s">
        <v>26</v>
      </c>
      <c r="B4" s="13">
        <v>6811755</v>
      </c>
      <c r="C4" s="14">
        <v>4743793</v>
      </c>
      <c r="E4" s="71">
        <f>+B4-I_Bilan!B27</f>
        <v>0</v>
      </c>
    </row>
    <row r="5" spans="1:8" s="10" customFormat="1" ht="24" customHeight="1">
      <c r="A5" s="9" t="s">
        <v>51</v>
      </c>
      <c r="B5" s="15">
        <f>SUM(B3:B4)</f>
        <v>58255981</v>
      </c>
      <c r="C5" s="16">
        <v>52662696</v>
      </c>
    </row>
    <row r="6" spans="1:8" s="10" customFormat="1" ht="24" customHeight="1">
      <c r="A6" s="9"/>
      <c r="B6" s="15"/>
      <c r="C6" s="16"/>
    </row>
    <row r="7" spans="1:8" ht="43" customHeight="1">
      <c r="A7" s="20" t="s">
        <v>52</v>
      </c>
      <c r="B7" s="18" t="str">
        <f>"31.12."&amp;_labels!$B$1</f>
        <v>31.12.2016</v>
      </c>
      <c r="C7" s="19" t="str">
        <f>"31.12."&amp;_labels!$B$1-1</f>
        <v>31.12.2015</v>
      </c>
    </row>
    <row r="8" spans="1:8" ht="24" customHeight="1">
      <c r="A8" s="12" t="s">
        <v>53</v>
      </c>
      <c r="B8" s="13">
        <v>-340588</v>
      </c>
      <c r="C8" s="14">
        <v>-237190</v>
      </c>
      <c r="H8" s="73">
        <f>6811755.34*5%</f>
        <v>340587.76699999999</v>
      </c>
    </row>
    <row r="9" spans="1:8" ht="24" customHeight="1">
      <c r="A9" s="12" t="s">
        <v>54</v>
      </c>
      <c r="B9" s="13">
        <v>-981280</v>
      </c>
      <c r="C9" s="14">
        <v>-981280</v>
      </c>
    </row>
    <row r="10" spans="1:8" s="10" customFormat="1" ht="24" customHeight="1">
      <c r="A10" s="9" t="s">
        <v>55</v>
      </c>
      <c r="B10" s="15">
        <f>+B5+SUM(B8:B9)</f>
        <v>56934113</v>
      </c>
      <c r="C10" s="16">
        <v>51444226</v>
      </c>
    </row>
  </sheetData>
  <conditionalFormatting sqref="E3">
    <cfRule type="cellIs" dxfId="1" priority="2" operator="notEqual">
      <formula>0</formula>
    </cfRule>
  </conditionalFormatting>
  <conditionalFormatting sqref="E4">
    <cfRule type="cellIs" dxfId="0" priority="1" operator="notEqual">
      <formula>0</formula>
    </cfRule>
  </conditionalFormatting>
  <pageMargins left="0.62" right="0.31" top="1" bottom="1" header="0.5" footer="0.5"/>
  <pageSetup paperSize="9" scale="93" orientation="portrait" horizontalDpi="1200" verticalDpi="1200"/>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
  <sheetViews>
    <sheetView workbookViewId="0"/>
  </sheetViews>
  <sheetFormatPr baseColWidth="10" defaultColWidth="8.83203125" defaultRowHeight="15" x14ac:dyDescent="0"/>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J23"/>
  <sheetViews>
    <sheetView workbookViewId="0">
      <pane xSplit="1" ySplit="4" topLeftCell="B14" activePane="bottomRight" state="frozen"/>
      <selection pane="topRight" activeCell="B1" sqref="B1"/>
      <selection pane="bottomLeft" activeCell="A5" sqref="A5"/>
      <selection pane="bottomRight" activeCell="A19" sqref="A19"/>
    </sheetView>
  </sheetViews>
  <sheetFormatPr baseColWidth="10" defaultColWidth="10.83203125" defaultRowHeight="19" customHeight="1" x14ac:dyDescent="0"/>
  <cols>
    <col min="1" max="1" width="50.33203125" style="11" customWidth="1"/>
    <col min="2" max="5" width="15.83203125" style="7" customWidth="1"/>
    <col min="6" max="6" width="7.83203125" style="8" customWidth="1"/>
    <col min="7" max="7" width="7.33203125" style="8" customWidth="1"/>
    <col min="8" max="8" width="12" style="8" customWidth="1"/>
    <col min="9" max="9" width="15.6640625" style="8" customWidth="1"/>
    <col min="10" max="10" width="19.33203125" style="8" customWidth="1"/>
    <col min="11" max="16384" width="10.83203125" style="8"/>
  </cols>
  <sheetData>
    <row r="1" spans="1:10" ht="43" customHeight="1">
      <c r="A1" s="23" t="s">
        <v>61</v>
      </c>
      <c r="B1" s="18"/>
      <c r="C1" s="18"/>
      <c r="D1" s="18"/>
      <c r="E1" s="18"/>
    </row>
    <row r="2" spans="1:10" ht="43" customHeight="1">
      <c r="A2" s="49" t="s">
        <v>196</v>
      </c>
      <c r="B2" s="74"/>
      <c r="C2" s="74"/>
      <c r="D2" s="74"/>
      <c r="E2" s="74"/>
      <c r="J2" s="8" t="s">
        <v>139</v>
      </c>
    </row>
    <row r="3" spans="1:10" ht="43" customHeight="1">
      <c r="A3" s="49"/>
      <c r="B3" s="207" t="s">
        <v>56</v>
      </c>
      <c r="C3" s="207"/>
      <c r="D3" s="207"/>
      <c r="E3" s="207"/>
    </row>
    <row r="4" spans="1:10" ht="36" customHeight="1">
      <c r="A4" s="20"/>
      <c r="B4" s="52" t="s">
        <v>135</v>
      </c>
      <c r="C4" s="52" t="s">
        <v>136</v>
      </c>
      <c r="D4" s="52" t="s">
        <v>137</v>
      </c>
      <c r="E4" s="17" t="s">
        <v>21</v>
      </c>
      <c r="H4" s="63" t="s">
        <v>122</v>
      </c>
      <c r="I4" s="58" t="s">
        <v>116</v>
      </c>
      <c r="J4" s="77" t="s">
        <v>115</v>
      </c>
    </row>
    <row r="5" spans="1:10" s="10" customFormat="1" ht="36" customHeight="1">
      <c r="A5" s="68" t="s">
        <v>138</v>
      </c>
      <c r="B5" s="15"/>
      <c r="C5" s="15"/>
      <c r="D5" s="15"/>
      <c r="E5" s="15"/>
      <c r="J5" s="8" t="s">
        <v>139</v>
      </c>
    </row>
    <row r="6" spans="1:10" ht="24" customHeight="1">
      <c r="A6" s="21" t="s">
        <v>15</v>
      </c>
      <c r="B6" s="25">
        <v>0</v>
      </c>
      <c r="C6" s="25">
        <f>782464+487</f>
        <v>782951</v>
      </c>
      <c r="D6" s="25">
        <v>33826</v>
      </c>
      <c r="E6" s="25">
        <f>SUM(B6:D6)</f>
        <v>816777</v>
      </c>
    </row>
    <row r="7" spans="1:10" s="10" customFormat="1" ht="33" customHeight="1">
      <c r="A7" s="75" t="s">
        <v>299</v>
      </c>
      <c r="B7" s="27"/>
      <c r="C7" s="27"/>
      <c r="D7" s="27"/>
      <c r="E7" s="27"/>
      <c r="J7" s="8" t="s">
        <v>139</v>
      </c>
    </row>
    <row r="8" spans="1:10" s="37" customFormat="1" ht="16">
      <c r="A8" s="185" t="s">
        <v>298</v>
      </c>
      <c r="B8" s="27">
        <f>+B6</f>
        <v>0</v>
      </c>
      <c r="C8" s="27">
        <f>+C6</f>
        <v>782951</v>
      </c>
      <c r="D8" s="27">
        <f t="shared" ref="D8:E8" si="0">+D6</f>
        <v>33826</v>
      </c>
      <c r="E8" s="27">
        <f t="shared" si="0"/>
        <v>816777</v>
      </c>
      <c r="J8" s="8" t="s">
        <v>139</v>
      </c>
    </row>
    <row r="9" spans="1:10" s="37" customFormat="1" ht="16">
      <c r="A9" s="184" t="s">
        <v>297</v>
      </c>
      <c r="B9" s="36"/>
      <c r="C9" s="36">
        <v>504896</v>
      </c>
      <c r="D9" s="36">
        <v>25409</v>
      </c>
      <c r="E9" s="36">
        <v>530305</v>
      </c>
      <c r="J9" s="8"/>
    </row>
    <row r="10" spans="1:10" s="37" customFormat="1" ht="30.75" customHeight="1">
      <c r="A10" s="109" t="s">
        <v>300</v>
      </c>
      <c r="B10" s="76"/>
      <c r="C10" s="76"/>
      <c r="D10" s="76"/>
      <c r="E10" s="27"/>
      <c r="H10" s="57">
        <v>-486.7688</v>
      </c>
      <c r="J10" s="8" t="s">
        <v>132</v>
      </c>
    </row>
    <row r="11" spans="1:10" s="37" customFormat="1" ht="16">
      <c r="A11" s="186" t="s">
        <v>298</v>
      </c>
      <c r="B11" s="76">
        <v>0</v>
      </c>
      <c r="C11" s="76">
        <v>782464</v>
      </c>
      <c r="D11" s="76">
        <f>+D6</f>
        <v>33826</v>
      </c>
      <c r="E11" s="27">
        <f>SUM(B11:D11)</f>
        <v>816290</v>
      </c>
      <c r="H11" s="57"/>
      <c r="J11" s="8"/>
    </row>
    <row r="12" spans="1:10" s="37" customFormat="1" ht="16">
      <c r="A12" s="187" t="s">
        <v>297</v>
      </c>
      <c r="B12" s="36">
        <v>0</v>
      </c>
      <c r="C12" s="36">
        <f>+C9-502</f>
        <v>504394</v>
      </c>
      <c r="D12" s="36">
        <f>+D9</f>
        <v>25409</v>
      </c>
      <c r="E12" s="36">
        <f>SUM(B12:D12)</f>
        <v>529803</v>
      </c>
      <c r="I12" s="57">
        <f>-502440.85/1000</f>
        <v>-502.44084999999995</v>
      </c>
      <c r="J12" s="8" t="s">
        <v>132</v>
      </c>
    </row>
    <row r="13" spans="1:10" ht="24" customHeight="1">
      <c r="A13" s="9" t="s">
        <v>57</v>
      </c>
      <c r="B13" s="25"/>
      <c r="C13" s="25"/>
      <c r="D13" s="25"/>
      <c r="E13" s="25"/>
    </row>
    <row r="14" spans="1:10" ht="24" customHeight="1">
      <c r="A14" s="21" t="s">
        <v>9</v>
      </c>
      <c r="B14" s="25">
        <v>0</v>
      </c>
      <c r="C14" s="25">
        <v>48222</v>
      </c>
      <c r="D14" s="25">
        <v>15</v>
      </c>
      <c r="E14" s="25">
        <f>SUM(B14:D14)</f>
        <v>48237</v>
      </c>
    </row>
    <row r="15" spans="1:10" ht="24" customHeight="1">
      <c r="A15" s="21" t="s">
        <v>17</v>
      </c>
      <c r="B15" s="25">
        <v>0</v>
      </c>
      <c r="C15" s="25">
        <v>0</v>
      </c>
      <c r="D15" s="25">
        <v>2342</v>
      </c>
      <c r="E15" s="25">
        <f>SUM(B15:D15)</f>
        <v>2342</v>
      </c>
    </row>
    <row r="16" spans="1:10" s="10" customFormat="1" ht="24" customHeight="1">
      <c r="A16" s="34" t="s">
        <v>331</v>
      </c>
      <c r="B16" s="27"/>
      <c r="C16" s="27"/>
      <c r="D16" s="27"/>
      <c r="E16" s="27"/>
    </row>
    <row r="17" spans="1:10" s="10" customFormat="1" ht="24" customHeight="1">
      <c r="A17" s="196" t="s">
        <v>298</v>
      </c>
      <c r="B17" s="27">
        <v>0</v>
      </c>
      <c r="C17" s="27">
        <f>SUM(C14:C15)</f>
        <v>48222</v>
      </c>
      <c r="D17" s="27">
        <f t="shared" ref="D17:E17" si="1">SUM(D14:D15)</f>
        <v>2357</v>
      </c>
      <c r="E17" s="27">
        <f t="shared" si="1"/>
        <v>50579</v>
      </c>
    </row>
    <row r="18" spans="1:10" s="37" customFormat="1" ht="24" customHeight="1">
      <c r="A18" s="187" t="s">
        <v>297</v>
      </c>
      <c r="B18" s="36">
        <v>0</v>
      </c>
      <c r="C18" s="36">
        <v>27316</v>
      </c>
      <c r="D18" s="36">
        <v>2468</v>
      </c>
      <c r="E18" s="36">
        <v>29784</v>
      </c>
    </row>
    <row r="19" spans="1:10" s="37" customFormat="1" ht="24" customHeight="1">
      <c r="A19" s="38"/>
      <c r="B19" s="36"/>
      <c r="C19" s="36"/>
      <c r="D19" s="36"/>
      <c r="E19" s="36"/>
    </row>
    <row r="20" spans="1:10" ht="43" customHeight="1">
      <c r="A20" s="49" t="s">
        <v>141</v>
      </c>
      <c r="B20" s="206"/>
      <c r="C20" s="206"/>
      <c r="D20" s="206"/>
      <c r="E20" s="206"/>
      <c r="J20" s="8" t="s">
        <v>139</v>
      </c>
    </row>
    <row r="21" spans="1:10" ht="43" customHeight="1">
      <c r="A21" s="20"/>
      <c r="B21" s="17" t="s">
        <v>58</v>
      </c>
      <c r="C21" s="17" t="s">
        <v>59</v>
      </c>
      <c r="D21" s="17" t="s">
        <v>60</v>
      </c>
      <c r="E21" s="52" t="s">
        <v>140</v>
      </c>
      <c r="J21" s="8" t="s">
        <v>139</v>
      </c>
    </row>
    <row r="22" spans="1:10" s="10" customFormat="1" ht="24" customHeight="1">
      <c r="A22" s="196" t="s">
        <v>298</v>
      </c>
      <c r="B22" s="27">
        <v>487</v>
      </c>
      <c r="C22" s="27">
        <v>0</v>
      </c>
      <c r="D22" s="27">
        <v>487</v>
      </c>
      <c r="E22" s="27">
        <v>487</v>
      </c>
    </row>
    <row r="23" spans="1:10" s="37" customFormat="1" ht="24" customHeight="1">
      <c r="A23" s="204" t="s">
        <v>297</v>
      </c>
      <c r="B23" s="36">
        <v>502</v>
      </c>
      <c r="C23" s="36">
        <v>0</v>
      </c>
      <c r="D23" s="36">
        <v>502</v>
      </c>
      <c r="E23" s="36">
        <v>502</v>
      </c>
    </row>
  </sheetData>
  <mergeCells count="2">
    <mergeCell ref="B20:E20"/>
    <mergeCell ref="B3:E3"/>
  </mergeCells>
  <pageMargins left="0.23" right="0.4" top="0.72" bottom="1" header="0.5" footer="0.5"/>
  <pageSetup paperSize="9" scale="79" orientation="portrait" horizontalDpi="1200" verticalDpi="1200"/>
  <legacyDrawing r:id="rId1"/>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L16"/>
  <sheetViews>
    <sheetView workbookViewId="0">
      <selection activeCell="A2" sqref="A2"/>
    </sheetView>
  </sheetViews>
  <sheetFormatPr baseColWidth="10" defaultColWidth="10.83203125" defaultRowHeight="19" customHeight="1" x14ac:dyDescent="0"/>
  <cols>
    <col min="1" max="1" width="45.33203125" style="11" customWidth="1"/>
    <col min="2" max="4" width="15.83203125" style="7" customWidth="1"/>
    <col min="5" max="5" width="14.6640625" style="7" customWidth="1"/>
    <col min="6" max="7" width="15.83203125" style="7" customWidth="1"/>
    <col min="8" max="9" width="10.83203125" style="8"/>
    <col min="10" max="10" width="11.33203125" style="8" customWidth="1"/>
    <col min="11" max="11" width="14.83203125" style="8" customWidth="1"/>
    <col min="12" max="12" width="20.1640625" style="8" customWidth="1"/>
    <col min="13" max="16384" width="10.83203125" style="8"/>
  </cols>
  <sheetData>
    <row r="1" spans="1:12" ht="43" customHeight="1">
      <c r="A1" s="23" t="s">
        <v>142</v>
      </c>
    </row>
    <row r="2" spans="1:12" ht="43" customHeight="1">
      <c r="A2" s="78" t="s">
        <v>143</v>
      </c>
    </row>
    <row r="3" spans="1:12" ht="43" customHeight="1">
      <c r="B3" s="208" t="s">
        <v>92</v>
      </c>
      <c r="C3" s="208"/>
      <c r="D3" s="208"/>
      <c r="E3" s="208" t="s">
        <v>93</v>
      </c>
      <c r="F3" s="208"/>
      <c r="G3" s="208"/>
      <c r="L3" s="8" t="s">
        <v>139</v>
      </c>
    </row>
    <row r="4" spans="1:12" ht="43" customHeight="1">
      <c r="A4" s="20"/>
      <c r="B4" s="17" t="s">
        <v>94</v>
      </c>
      <c r="C4" s="17" t="s">
        <v>95</v>
      </c>
      <c r="D4" s="52" t="s">
        <v>144</v>
      </c>
      <c r="E4" s="17" t="s">
        <v>94</v>
      </c>
      <c r="F4" s="17" t="s">
        <v>95</v>
      </c>
      <c r="G4" s="52" t="s">
        <v>144</v>
      </c>
      <c r="J4" s="63" t="s">
        <v>122</v>
      </c>
      <c r="K4" s="58" t="s">
        <v>116</v>
      </c>
      <c r="L4" s="77" t="s">
        <v>115</v>
      </c>
    </row>
    <row r="5" spans="1:12" s="10" customFormat="1" ht="24" customHeight="1">
      <c r="A5" s="9" t="s">
        <v>96</v>
      </c>
      <c r="B5" s="27"/>
      <c r="C5" s="27"/>
      <c r="D5" s="27"/>
      <c r="E5" s="27"/>
      <c r="F5" s="27"/>
      <c r="G5" s="27"/>
    </row>
    <row r="6" spans="1:12" ht="24" customHeight="1">
      <c r="A6" s="21" t="s">
        <v>279</v>
      </c>
      <c r="B6" s="25">
        <v>0</v>
      </c>
      <c r="C6" s="25">
        <v>0</v>
      </c>
      <c r="D6" s="25">
        <v>0</v>
      </c>
      <c r="E6" s="25">
        <v>0</v>
      </c>
      <c r="F6" s="25">
        <v>1040</v>
      </c>
      <c r="G6" s="25">
        <v>25000</v>
      </c>
    </row>
    <row r="7" spans="1:12" s="10" customFormat="1" ht="24" customHeight="1">
      <c r="A7" s="9" t="s">
        <v>97</v>
      </c>
      <c r="B7" s="27"/>
      <c r="C7" s="27"/>
      <c r="D7" s="27"/>
      <c r="E7" s="27"/>
      <c r="F7" s="27"/>
      <c r="G7" s="27"/>
    </row>
    <row r="8" spans="1:12" ht="24" customHeight="1">
      <c r="A8" s="21" t="s">
        <v>98</v>
      </c>
      <c r="B8" s="25">
        <v>1850</v>
      </c>
      <c r="C8" s="25">
        <v>1822</v>
      </c>
      <c r="D8" s="25">
        <v>265565</v>
      </c>
      <c r="E8" s="25">
        <v>0</v>
      </c>
      <c r="F8" s="25">
        <v>0</v>
      </c>
      <c r="G8" s="25">
        <v>0</v>
      </c>
    </row>
    <row r="9" spans="1:12" ht="24" customHeight="1">
      <c r="A9" s="21" t="s">
        <v>279</v>
      </c>
      <c r="B9" s="25">
        <f>1291+298</f>
        <v>1589</v>
      </c>
      <c r="C9" s="25">
        <f>810+192</f>
        <v>1002</v>
      </c>
      <c r="D9" s="25">
        <f>123493+56813</f>
        <v>180306</v>
      </c>
      <c r="E9" s="25">
        <v>0</v>
      </c>
      <c r="F9" s="25">
        <v>0</v>
      </c>
      <c r="G9" s="25">
        <v>0</v>
      </c>
    </row>
    <row r="10" spans="1:12" ht="24" customHeight="1">
      <c r="A10" s="21" t="s">
        <v>99</v>
      </c>
      <c r="B10" s="25">
        <v>0</v>
      </c>
      <c r="C10" s="25">
        <v>0</v>
      </c>
      <c r="D10" s="25">
        <v>1028</v>
      </c>
      <c r="E10" s="25">
        <v>0</v>
      </c>
      <c r="F10" s="25">
        <v>0</v>
      </c>
      <c r="G10" s="25">
        <v>0</v>
      </c>
    </row>
    <row r="11" spans="1:12" s="10" customFormat="1" ht="24" customHeight="1">
      <c r="A11" s="9" t="s">
        <v>332</v>
      </c>
      <c r="B11" s="27"/>
      <c r="C11" s="27"/>
      <c r="D11" s="27"/>
      <c r="E11" s="27"/>
      <c r="F11" s="27"/>
      <c r="G11" s="27"/>
    </row>
    <row r="12" spans="1:12" s="10" customFormat="1" ht="24" customHeight="1">
      <c r="A12" s="34" t="str">
        <f>"31.12."&amp;_labels!$B$1</f>
        <v>31.12.2016</v>
      </c>
      <c r="B12" s="27">
        <f>SUM(B6:B10)</f>
        <v>3439</v>
      </c>
      <c r="C12" s="27">
        <f>SUM(C6:C10)</f>
        <v>2824</v>
      </c>
      <c r="D12" s="27">
        <f t="shared" ref="D12:G12" si="0">SUM(D6:D10)</f>
        <v>446899</v>
      </c>
      <c r="E12" s="27">
        <f t="shared" si="0"/>
        <v>0</v>
      </c>
      <c r="F12" s="27">
        <f t="shared" si="0"/>
        <v>1040</v>
      </c>
      <c r="G12" s="27">
        <f t="shared" si="0"/>
        <v>25000</v>
      </c>
    </row>
    <row r="13" spans="1:12" ht="24" customHeight="1">
      <c r="A13" s="35" t="str">
        <f>"31.12."&amp;_labels!$B$1-1</f>
        <v>31.12.2015</v>
      </c>
      <c r="B13" s="26">
        <v>2914</v>
      </c>
      <c r="C13" s="26">
        <v>4648</v>
      </c>
      <c r="D13" s="26">
        <v>294804</v>
      </c>
      <c r="E13" s="26">
        <v>804</v>
      </c>
      <c r="F13" s="26">
        <v>0</v>
      </c>
      <c r="G13" s="26">
        <v>25000</v>
      </c>
    </row>
    <row r="14" spans="1:12" ht="19" customHeight="1">
      <c r="A14" s="114" t="s">
        <v>275</v>
      </c>
      <c r="B14" s="27"/>
      <c r="C14" s="27"/>
      <c r="D14" s="142"/>
      <c r="E14" s="142"/>
      <c r="F14" s="142"/>
    </row>
    <row r="15" spans="1:12" ht="19" customHeight="1">
      <c r="A15" s="34" t="str">
        <f>"31.12."&amp;_labels!$B$1</f>
        <v>31.12.2016</v>
      </c>
      <c r="B15" s="27">
        <v>0</v>
      </c>
      <c r="C15" s="27">
        <v>0</v>
      </c>
      <c r="D15" s="27"/>
      <c r="E15" s="27">
        <v>0</v>
      </c>
      <c r="F15" s="27">
        <v>0</v>
      </c>
    </row>
    <row r="16" spans="1:12" ht="19" customHeight="1">
      <c r="A16" s="35" t="str">
        <f>"31.12."&amp;_labels!$B$1-1</f>
        <v>31.12.2015</v>
      </c>
      <c r="B16" s="26">
        <v>0</v>
      </c>
      <c r="C16" s="26">
        <v>0</v>
      </c>
      <c r="D16" s="26"/>
      <c r="E16" s="26">
        <v>0</v>
      </c>
      <c r="F16" s="26">
        <v>0</v>
      </c>
    </row>
  </sheetData>
  <mergeCells count="2">
    <mergeCell ref="B3:D3"/>
    <mergeCell ref="E3:G3"/>
  </mergeCells>
  <pageMargins left="0.31496062992125984" right="0.24" top="0.55118110236220474" bottom="0.59055118110236227" header="0.31496062992125984" footer="0.31496062992125984"/>
  <pageSetup paperSize="9" scale="64"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F4"/>
  <sheetViews>
    <sheetView workbookViewId="0">
      <selection activeCell="A5" sqref="A5"/>
    </sheetView>
  </sheetViews>
  <sheetFormatPr baseColWidth="10" defaultColWidth="10.83203125" defaultRowHeight="19" customHeight="1" x14ac:dyDescent="0"/>
  <cols>
    <col min="1" max="1" width="73.5" style="11" bestFit="1" customWidth="1"/>
    <col min="2" max="4" width="15.83203125" style="7" customWidth="1"/>
    <col min="5" max="16384" width="10.83203125" style="8"/>
  </cols>
  <sheetData>
    <row r="1" spans="1:6" ht="43" customHeight="1">
      <c r="A1" s="23" t="s">
        <v>142</v>
      </c>
    </row>
    <row r="2" spans="1:6" ht="43" customHeight="1">
      <c r="A2" s="20" t="s">
        <v>145</v>
      </c>
    </row>
    <row r="3" spans="1:6" ht="42">
      <c r="B3" s="17" t="s">
        <v>146</v>
      </c>
      <c r="C3" s="52" t="s">
        <v>147</v>
      </c>
      <c r="D3" s="17" t="s">
        <v>148</v>
      </c>
      <c r="F3" s="8" t="s">
        <v>132</v>
      </c>
    </row>
    <row r="4" spans="1:6" ht="31.5" customHeight="1">
      <c r="A4" s="31" t="s">
        <v>362</v>
      </c>
      <c r="B4" s="25">
        <v>0</v>
      </c>
      <c r="C4" s="25">
        <v>1396</v>
      </c>
      <c r="D4" s="25">
        <v>2043</v>
      </c>
      <c r="F4" s="8" t="s">
        <v>132</v>
      </c>
    </row>
  </sheetData>
  <pageMargins left="0.31496062992125984" right="0.39370078740157483" top="0.55118110236220474" bottom="0.59055118110236227" header="0.31496062992125984" footer="0.31496062992125984"/>
  <pageSetup paperSize="9"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I_Bilan</vt:lpstr>
      <vt:lpstr>I_HorsBilan</vt:lpstr>
      <vt:lpstr>I_Resultat_ProduitsCharges</vt:lpstr>
      <vt:lpstr>I_JustificationCapitauxPropres</vt:lpstr>
      <vt:lpstr>I_RepartitionBenefice</vt:lpstr>
      <vt:lpstr>I_Bilan_CommHedgAcc</vt:lpstr>
      <vt:lpstr>I_iBilan_ApercuCouv-PretsCompr</vt:lpstr>
      <vt:lpstr>I_Instr_Derives</vt:lpstr>
      <vt:lpstr>I_Instr_Derives-repart</vt:lpstr>
      <vt:lpstr>I_iBilan_ImmoblstnFinanciers</vt:lpstr>
      <vt:lpstr>I_iBilan_ImmoblstnFinancier-rep</vt:lpstr>
      <vt:lpstr>I_iBilan_AutrActifPass-ActifsGa</vt:lpstr>
      <vt:lpstr>I_iBilan_EngInstPrevProf</vt:lpstr>
      <vt:lpstr>I_iBilan_InstPrevProf</vt:lpstr>
      <vt:lpstr>I_CorrectifsValeursProvisions</vt:lpstr>
      <vt:lpstr>I_CapitalSocial</vt:lpstr>
      <vt:lpstr>I_CapitalSocial-interne</vt:lpstr>
      <vt:lpstr>I_CréancEngPartliées</vt:lpstr>
      <vt:lpstr>I_ActifsSolvab</vt:lpstr>
      <vt:lpstr>I_iHorsBilan_OperationsFidu</vt:lpstr>
      <vt:lpstr>I_iHorsBilan_AvoirsClient</vt:lpstr>
      <vt:lpstr>I_iHorsBilan_AvoirsClientEvol</vt:lpstr>
      <vt:lpstr>I_iResultat_Negoce</vt:lpstr>
      <vt:lpstr>I_iResultat_Intérêts</vt:lpstr>
      <vt:lpstr>I_iResultat_Personnel</vt:lpstr>
      <vt:lpstr>I_iResultat_Exploitation</vt:lpstr>
      <vt:lpstr>I_iResultat_Extraordinaires</vt:lpstr>
      <vt:lpstr>I_iImpôts</vt:lpstr>
      <vt:lpstr>I_iResultat_FondsPropres</vt:lpstr>
      <vt:lpstr>I_iResultat_FondsPropresReqis</vt:lpstr>
      <vt:lpstr>I_iResultat_FondsProprsRatioLiq</vt:lpstr>
      <vt:lpstr>I_iResultat_FondsProprsRatioLev</vt:lpstr>
      <vt:lpstr>_labels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 Cater</dc:creator>
  <cp:lastModifiedBy>A C</cp:lastModifiedBy>
  <cp:lastPrinted>2016-04-13T07:53:17Z</cp:lastPrinted>
  <dcterms:created xsi:type="dcterms:W3CDTF">2013-02-28T10:12:43Z</dcterms:created>
  <dcterms:modified xsi:type="dcterms:W3CDTF">2017-01-16T16:30:18Z</dcterms:modified>
</cp:coreProperties>
</file>