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06"/>
  <workbookPr showInkAnnotation="0" autoCompressPictures="0"/>
  <bookViews>
    <workbookView xWindow="0" yWindow="0" windowWidth="35940" windowHeight="21760" tabRatio="895"/>
  </bookViews>
  <sheets>
    <sheet name="C_Bilan" sheetId="1" r:id="rId1"/>
    <sheet name="C_HorsBilan" sheetId="18" r:id="rId2"/>
    <sheet name="C_Resultat_ProduitsCharges" sheetId="19" r:id="rId3"/>
    <sheet name="C_JustificationCapitauxPropres" sheetId="29" r:id="rId4"/>
    <sheet name="C_Resultat_Financement" sheetId="20" r:id="rId5"/>
    <sheet name="C_iBilan_ApercuCouv-PretsCompr" sheetId="23" r:id="rId6"/>
    <sheet name="C_Instr_Derives" sheetId="49" r:id="rId7"/>
    <sheet name="C_Instr_Derives-repart" sheetId="55" r:id="rId8"/>
    <sheet name="C_iBilan_ImmoblstnFinancieres" sheetId="25" r:id="rId9"/>
    <sheet name="C_iBilan_ImmoblstnFinancier-rep" sheetId="56" r:id="rId10"/>
    <sheet name="C_iBilan_ParticipnsNonConsolid" sheetId="22" r:id="rId11"/>
    <sheet name="C_iBilan_Particpermasign" sheetId="50" r:id="rId12"/>
    <sheet name="C_iBilan_PresentnImmoblisCorpl" sheetId="21" r:id="rId13"/>
    <sheet name="C_iBilan_PresentnValeursImmtrls" sheetId="59" r:id="rId14"/>
    <sheet name="C_iBilan_AutrActifPass-ActifsGa" sheetId="26" r:id="rId15"/>
    <sheet name="C_iBilan_EngPrevoyanceProf" sheetId="61" r:id="rId16"/>
    <sheet name="C_iBilan_InstPrevProf" sheetId="47" r:id="rId17"/>
    <sheet name="C_CorrectifsValeursProvisions" sheetId="28" r:id="rId18"/>
    <sheet name="C_CapitalSoc-interne" sheetId="58" r:id="rId19"/>
    <sheet name="C_TransactionsPartiesLiees" sheetId="48" r:id="rId20"/>
    <sheet name="C_StructureEcheancesActif" sheetId="30" r:id="rId21"/>
    <sheet name="C_ActifsPassifsSuisseEtranger" sheetId="32" r:id="rId22"/>
    <sheet name="C_ActifsRepartisPays" sheetId="33" r:id="rId23"/>
    <sheet name="C_ActifsSolvab" sheetId="52" r:id="rId24"/>
    <sheet name="C_BilanMonnaiesActifs" sheetId="34" r:id="rId25"/>
    <sheet name="C_BilanMonnaiesPassifs" sheetId="35" r:id="rId26"/>
    <sheet name="C_iHorsBilan_Engagements" sheetId="36" r:id="rId27"/>
    <sheet name="C_iHorsBilan_OperationsFidu" sheetId="38" r:id="rId28"/>
    <sheet name="C_iHorsBilan_AvoirsClientRepart" sheetId="39" r:id="rId29"/>
    <sheet name="C_iHorsBilan_AvoirsClientEvol" sheetId="60" r:id="rId30"/>
    <sheet name="C_iResultat_Negoce" sheetId="40" r:id="rId31"/>
    <sheet name="C_iResultat_Intérêts" sheetId="53" r:id="rId32"/>
    <sheet name="C_iResultat_Personnel" sheetId="41" r:id="rId33"/>
    <sheet name="C_iResultat_Exploitation" sheetId="42" r:id="rId34"/>
    <sheet name="C_iResultat_Extraordinaires" sheetId="43" r:id="rId35"/>
    <sheet name="C_iResultat_SuisseEtranger" sheetId="44" r:id="rId36"/>
    <sheet name="C_iImpôts" sheetId="54" r:id="rId37"/>
    <sheet name="C_iResultat_FondsPropres" sheetId="45" r:id="rId38"/>
    <sheet name="C_iResultat_FondsPropresReqis" sheetId="46" r:id="rId39"/>
    <sheet name="C_iResultat_FondsProprsRatioLiq" sheetId="62" r:id="rId40"/>
    <sheet name="C_iResultat_FondsProprsRatioLev" sheetId="63" r:id="rId41"/>
    <sheet name="_labels" sheetId="2" r:id="rId42"/>
  </sheets>
  <externalReferences>
    <externalReference r:id="rId43"/>
    <externalReference r:id="rId44"/>
    <externalReference r:id="rId45"/>
    <externalReference r:id="rId46"/>
  </externalReferences>
  <definedNames>
    <definedName name="_xlnm.Print_Area" localSheetId="21">C_ActifsPassifsSuisseEtranger!$A$1:$E$30</definedName>
    <definedName name="_xlnm.Print_Area" localSheetId="22">C_ActifsRepartisPays!$A$1:$E$10</definedName>
    <definedName name="_xlnm.Print_Area" localSheetId="23">C_ActifsSolvab!$A$1:$F$17</definedName>
    <definedName name="_xlnm.Print_Area" localSheetId="0">C_Bilan!$A$1:$H$36</definedName>
    <definedName name="_xlnm.Print_Area" localSheetId="24">C_BilanMonnaiesActifs!$A$1:$G$16</definedName>
    <definedName name="_xlnm.Print_Area" localSheetId="25">C_BilanMonnaiesPassifs!$A$1:$G$19</definedName>
    <definedName name="_xlnm.Print_Area" localSheetId="17">C_CorrectifsValeursProvisions!$A$1:$I$11</definedName>
    <definedName name="_xlnm.Print_Area" localSheetId="1">C_HorsBilan!$A$1:$C$6</definedName>
    <definedName name="_xlnm.Print_Area" localSheetId="5">'C_iBilan_ApercuCouv-PretsCompr'!$A$1:$E$23</definedName>
    <definedName name="_xlnm.Print_Area" localSheetId="14">'C_iBilan_AutrActifPass-ActifsGa'!$A$1:$E$17</definedName>
    <definedName name="_xlnm.Print_Area" localSheetId="15">C_iBilan_EngPrevoyanceProf!$A$1:$C$13</definedName>
    <definedName name="_xlnm.Print_Area" localSheetId="9">'C_iBilan_ImmoblstnFinancier-rep'!$A$1:$G$6</definedName>
    <definedName name="_xlnm.Print_Area" localSheetId="8">C_iBilan_ImmoblstnFinancieres!$A$1:$G$10</definedName>
    <definedName name="_xlnm.Print_Area" localSheetId="16">C_iBilan_InstPrevProf!$A$1:$H$25</definedName>
    <definedName name="_xlnm.Print_Area" localSheetId="10">C_iBilan_ParticipnsNonConsolid!$A$1:$I$9</definedName>
    <definedName name="_xlnm.Print_Area" localSheetId="11">C_iBilan_Particpermasign!$A$1:$G$32</definedName>
    <definedName name="_xlnm.Print_Area" localSheetId="12">C_iBilan_PresentnImmoblisCorpl!$A$1:$J$16</definedName>
    <definedName name="_xlnm.Print_Area" localSheetId="13">C_iBilan_PresentnValeursImmtrls!$A$1:$J$6</definedName>
    <definedName name="_xlnm.Print_Area" localSheetId="29">C_iHorsBilan_AvoirsClientEvol!$A$1:$C$16</definedName>
    <definedName name="_xlnm.Print_Area" localSheetId="28">C_iHorsBilan_AvoirsClientRepart!$A$1:$C$13</definedName>
    <definedName name="_xlnm.Print_Area" localSheetId="36">C_iImpôts!$A$1:$C$9</definedName>
    <definedName name="_xlnm.Print_Area" localSheetId="6">C_Instr_Derives!$A$3:$G$13</definedName>
    <definedName name="_xlnm.Print_Area" localSheetId="7">'C_Instr_Derives-repart'!$A$3:$D$4</definedName>
    <definedName name="_xlnm.Print_Area" localSheetId="33">C_iResultat_Exploitation!$A$1:$C$10</definedName>
    <definedName name="_xlnm.Print_Area" localSheetId="30">C_iResultat_Negoce!$A$1:$C$15</definedName>
    <definedName name="_xlnm.Print_Area" localSheetId="32">C_iResultat_Personnel!$A$1:$C$9</definedName>
    <definedName name="_xlnm.Print_Area" localSheetId="35">C_iResultat_SuisseEtranger!$A$1:$E$15</definedName>
    <definedName name="_xlnm.Print_Area" localSheetId="3">C_JustificationCapitauxPropres!$A$1:$H$9</definedName>
    <definedName name="_xlnm.Print_Area" localSheetId="4">C_Resultat_Financement!$A$1:$C$61</definedName>
    <definedName name="_xlnm.Print_Area" localSheetId="2">C_Resultat_ProduitsCharges!$A$1:$C$37</definedName>
    <definedName name="_xlnm.Print_Area" localSheetId="20">C_StructureEcheancesActif!$A$1:$H$20</definedName>
    <definedName name="_xlnm.Print_Area" localSheetId="19">C_TransactionsPartiesLiees!$A$1:$E$10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30" l="1"/>
  <c r="A19" i="30"/>
  <c r="A13" i="30"/>
  <c r="A12" i="30"/>
  <c r="D26" i="20"/>
  <c r="B26" i="20"/>
  <c r="B2" i="2"/>
  <c r="A23" i="23"/>
  <c r="A22" i="23"/>
  <c r="C12" i="45"/>
  <c r="C19" i="45"/>
  <c r="B5" i="33"/>
  <c r="C5" i="33"/>
  <c r="B6" i="33"/>
  <c r="C20" i="52"/>
  <c r="C21" i="52"/>
  <c r="B8" i="33"/>
  <c r="B9" i="33"/>
  <c r="B4" i="33"/>
  <c r="C7" i="58"/>
  <c r="C6" i="58"/>
  <c r="E6" i="58"/>
  <c r="C5" i="58"/>
  <c r="B7" i="58"/>
  <c r="B6" i="58"/>
  <c r="B5" i="58"/>
  <c r="D5" i="58"/>
  <c r="D8" i="58"/>
  <c r="B6" i="63"/>
  <c r="E7" i="62"/>
  <c r="D7" i="62"/>
  <c r="C7" i="62"/>
  <c r="B7" i="62"/>
  <c r="B8" i="28"/>
  <c r="I8" i="28"/>
  <c r="C4" i="38"/>
  <c r="C3" i="38"/>
  <c r="C5" i="38"/>
  <c r="B4" i="38"/>
  <c r="B3" i="38"/>
  <c r="A15" i="49"/>
  <c r="A13" i="49"/>
  <c r="A12" i="49"/>
  <c r="A17" i="23"/>
  <c r="A16" i="23"/>
  <c r="C6" i="46"/>
  <c r="C3" i="36"/>
  <c r="B3" i="36"/>
  <c r="C6" i="54"/>
  <c r="C7" i="54"/>
  <c r="F7" i="54"/>
  <c r="C5" i="54"/>
  <c r="B6" i="54"/>
  <c r="B5" i="54"/>
  <c r="B7" i="54"/>
  <c r="B9" i="42"/>
  <c r="F10" i="42"/>
  <c r="C9" i="42"/>
  <c r="C10" i="42"/>
  <c r="C7" i="42"/>
  <c r="C6" i="42"/>
  <c r="C5" i="42"/>
  <c r="C4" i="42"/>
  <c r="B7" i="42"/>
  <c r="B6" i="42"/>
  <c r="B10" i="42"/>
  <c r="B5" i="42"/>
  <c r="B4" i="42"/>
  <c r="C8" i="41"/>
  <c r="C9" i="41"/>
  <c r="F9" i="41"/>
  <c r="C6" i="41"/>
  <c r="C4" i="41"/>
  <c r="B8" i="41"/>
  <c r="B6" i="41"/>
  <c r="B9" i="41"/>
  <c r="B4" i="41"/>
  <c r="C13" i="40"/>
  <c r="B11" i="40"/>
  <c r="B12" i="40"/>
  <c r="B13" i="40"/>
  <c r="C12" i="40"/>
  <c r="C14" i="40"/>
  <c r="F14" i="40"/>
  <c r="C11" i="40"/>
  <c r="B6" i="40"/>
  <c r="C6" i="40"/>
  <c r="B5" i="40"/>
  <c r="C7" i="61"/>
  <c r="C6" i="61"/>
  <c r="C9" i="61"/>
  <c r="B6" i="61"/>
  <c r="H12" i="47"/>
  <c r="G12" i="47"/>
  <c r="F12" i="47"/>
  <c r="B12" i="47"/>
  <c r="E10" i="47"/>
  <c r="F10" i="47"/>
  <c r="B10" i="47"/>
  <c r="A8" i="23"/>
  <c r="A11" i="23"/>
  <c r="A12" i="23"/>
  <c r="D2" i="20"/>
  <c r="B2" i="20"/>
  <c r="B9" i="61"/>
  <c r="C4" i="61"/>
  <c r="B4" i="61"/>
  <c r="C4" i="60"/>
  <c r="B4" i="60"/>
  <c r="C23" i="19"/>
  <c r="B23" i="19"/>
  <c r="C14" i="23"/>
  <c r="E14" i="23"/>
  <c r="E17" i="23"/>
  <c r="D5" i="44"/>
  <c r="D14" i="44"/>
  <c r="B14" i="44"/>
  <c r="B5" i="44"/>
  <c r="B9" i="44"/>
  <c r="C8" i="19"/>
  <c r="C31" i="19"/>
  <c r="I14" i="44"/>
  <c r="G31" i="19"/>
  <c r="G8" i="19"/>
  <c r="D9" i="25"/>
  <c r="B9" i="25"/>
  <c r="J5" i="25"/>
  <c r="E5" i="25"/>
  <c r="E9" i="25"/>
  <c r="C2" i="19"/>
  <c r="B2" i="19"/>
  <c r="E6" i="52"/>
  <c r="E14" i="52"/>
  <c r="E12" i="52"/>
  <c r="N7" i="52"/>
  <c r="M7" i="52"/>
  <c r="L7" i="52"/>
  <c r="K7" i="52"/>
  <c r="J7" i="52"/>
  <c r="C9" i="53"/>
  <c r="B9" i="53"/>
  <c r="B12" i="35"/>
  <c r="G12" i="35"/>
  <c r="J12" i="35"/>
  <c r="G13" i="35"/>
  <c r="B26" i="32"/>
  <c r="G27" i="32"/>
  <c r="F27" i="32"/>
  <c r="J13" i="49"/>
  <c r="J12" i="49"/>
  <c r="I13" i="49"/>
  <c r="I12" i="49"/>
  <c r="F9" i="29"/>
  <c r="F7" i="29"/>
  <c r="H7" i="29"/>
  <c r="F3" i="29"/>
  <c r="F11" i="29"/>
  <c r="D7" i="22"/>
  <c r="I7" i="22"/>
  <c r="B7" i="22"/>
  <c r="C4" i="48"/>
  <c r="C8" i="48"/>
  <c r="C6" i="48"/>
  <c r="E5" i="48"/>
  <c r="E4" i="48"/>
  <c r="E8" i="48"/>
  <c r="B4" i="48"/>
  <c r="B8" i="48"/>
  <c r="B6" i="48"/>
  <c r="D6" i="48"/>
  <c r="D4" i="48"/>
  <c r="B28" i="1"/>
  <c r="B8" i="19"/>
  <c r="B31" i="19"/>
  <c r="H14" i="44"/>
  <c r="J8" i="19"/>
  <c r="J31" i="19"/>
  <c r="A10" i="23"/>
  <c r="A7" i="23"/>
  <c r="C5" i="39"/>
  <c r="C6" i="39"/>
  <c r="C7" i="39"/>
  <c r="C7" i="60"/>
  <c r="G5" i="59"/>
  <c r="G6" i="59"/>
  <c r="B9" i="21"/>
  <c r="D9" i="21"/>
  <c r="D5" i="48"/>
  <c r="C1" i="60"/>
  <c r="B1" i="60"/>
  <c r="B6" i="59"/>
  <c r="E5" i="59"/>
  <c r="E6" i="59"/>
  <c r="I6" i="59"/>
  <c r="H6" i="59"/>
  <c r="F6" i="59"/>
  <c r="D6" i="59"/>
  <c r="C6" i="59"/>
  <c r="J4" i="59"/>
  <c r="E4" i="59"/>
  <c r="E7" i="58"/>
  <c r="D6" i="58"/>
  <c r="D7" i="58"/>
  <c r="B8" i="58"/>
  <c r="E4" i="58"/>
  <c r="D4" i="58"/>
  <c r="C4" i="58"/>
  <c r="B4" i="58"/>
  <c r="B4" i="56"/>
  <c r="C4" i="56"/>
  <c r="D4" i="56"/>
  <c r="G4" i="56"/>
  <c r="D4" i="55"/>
  <c r="C4" i="55"/>
  <c r="C53" i="20"/>
  <c r="C42" i="20"/>
  <c r="C60" i="20"/>
  <c r="C61" i="20"/>
  <c r="C62" i="20"/>
  <c r="C23" i="20"/>
  <c r="B25" i="20"/>
  <c r="H9" i="21"/>
  <c r="H10" i="21"/>
  <c r="C9" i="21"/>
  <c r="B8" i="21"/>
  <c r="E8" i="21"/>
  <c r="J8" i="21"/>
  <c r="D8" i="21"/>
  <c r="F10" i="21"/>
  <c r="B57" i="20"/>
  <c r="B17" i="20"/>
  <c r="C24" i="20"/>
  <c r="G23" i="20"/>
  <c r="H24" i="20"/>
  <c r="G24" i="20"/>
  <c r="B9" i="20"/>
  <c r="B14" i="20"/>
  <c r="B61" i="20"/>
  <c r="C12" i="20"/>
  <c r="B19" i="20"/>
  <c r="D7" i="20"/>
  <c r="D14" i="20"/>
  <c r="D61" i="20"/>
  <c r="D7" i="26"/>
  <c r="E8" i="26"/>
  <c r="E9" i="26"/>
  <c r="C7" i="26"/>
  <c r="C8" i="26"/>
  <c r="B7" i="26"/>
  <c r="B6" i="26"/>
  <c r="F10" i="26"/>
  <c r="F9" i="26"/>
  <c r="C8" i="45"/>
  <c r="C4" i="54"/>
  <c r="B4" i="54"/>
  <c r="D13" i="44"/>
  <c r="E11" i="44"/>
  <c r="D11" i="44"/>
  <c r="I11" i="44"/>
  <c r="E10" i="44"/>
  <c r="D10" i="44"/>
  <c r="D12" i="44"/>
  <c r="E8" i="44"/>
  <c r="E7" i="44"/>
  <c r="D7" i="44"/>
  <c r="E6" i="44"/>
  <c r="D9" i="44"/>
  <c r="D15" i="44"/>
  <c r="E5" i="44"/>
  <c r="B11" i="44"/>
  <c r="B10" i="44"/>
  <c r="H10" i="44"/>
  <c r="L14" i="44"/>
  <c r="L13" i="44"/>
  <c r="K14" i="44"/>
  <c r="K13" i="44"/>
  <c r="L11" i="44"/>
  <c r="L10" i="44"/>
  <c r="L8" i="44"/>
  <c r="L7" i="44"/>
  <c r="L6" i="44"/>
  <c r="L5" i="44"/>
  <c r="K5" i="44"/>
  <c r="H13" i="44"/>
  <c r="H7" i="44"/>
  <c r="C11" i="44"/>
  <c r="C12" i="44"/>
  <c r="C15" i="44"/>
  <c r="C9" i="44"/>
  <c r="B8" i="44"/>
  <c r="I9" i="42"/>
  <c r="I10" i="42"/>
  <c r="I9" i="41"/>
  <c r="I8" i="41"/>
  <c r="I4" i="41"/>
  <c r="C7" i="40"/>
  <c r="I11" i="40"/>
  <c r="I14" i="40"/>
  <c r="B7" i="40"/>
  <c r="I7" i="40"/>
  <c r="C3" i="40"/>
  <c r="B3" i="40"/>
  <c r="C8" i="39"/>
  <c r="B5" i="38"/>
  <c r="C4" i="36"/>
  <c r="B4" i="36"/>
  <c r="D4" i="35"/>
  <c r="D3" i="35"/>
  <c r="D16" i="35"/>
  <c r="D18" i="35"/>
  <c r="C4" i="35"/>
  <c r="F17" i="35"/>
  <c r="G17" i="35"/>
  <c r="F7" i="35"/>
  <c r="G7" i="35"/>
  <c r="J7" i="35"/>
  <c r="C16" i="35"/>
  <c r="C18" i="35"/>
  <c r="B16" i="30"/>
  <c r="B14" i="35"/>
  <c r="G14" i="35"/>
  <c r="J14" i="35"/>
  <c r="F4" i="35"/>
  <c r="F3" i="35"/>
  <c r="F16" i="35"/>
  <c r="F18" i="35"/>
  <c r="G11" i="35"/>
  <c r="J11" i="35"/>
  <c r="G5" i="35"/>
  <c r="J5" i="35"/>
  <c r="E16" i="35"/>
  <c r="E18" i="35"/>
  <c r="G15" i="35"/>
  <c r="J15" i="35"/>
  <c r="G10" i="35"/>
  <c r="J10" i="35"/>
  <c r="G9" i="35"/>
  <c r="J9" i="35"/>
  <c r="G8" i="35"/>
  <c r="J8" i="35"/>
  <c r="G6" i="35"/>
  <c r="F15" i="34"/>
  <c r="G15" i="34"/>
  <c r="F9" i="34"/>
  <c r="G9" i="34"/>
  <c r="J9" i="34"/>
  <c r="F13" i="34"/>
  <c r="G13" i="34"/>
  <c r="J13" i="34"/>
  <c r="F11" i="34"/>
  <c r="G11" i="34"/>
  <c r="J11" i="34"/>
  <c r="F6" i="34"/>
  <c r="G6" i="34"/>
  <c r="J6" i="34"/>
  <c r="C4" i="34"/>
  <c r="C14" i="34"/>
  <c r="C16" i="34"/>
  <c r="C19" i="35"/>
  <c r="G8" i="34"/>
  <c r="J8" i="34"/>
  <c r="D4" i="34"/>
  <c r="D14" i="34"/>
  <c r="D16" i="34"/>
  <c r="D19" i="35"/>
  <c r="L13" i="34"/>
  <c r="L9" i="34"/>
  <c r="L7" i="34"/>
  <c r="L6" i="34"/>
  <c r="L4" i="34"/>
  <c r="F5" i="34"/>
  <c r="G5" i="34"/>
  <c r="J5" i="34"/>
  <c r="E14" i="34"/>
  <c r="E16" i="34"/>
  <c r="E19" i="35"/>
  <c r="B14" i="34"/>
  <c r="B16" i="34"/>
  <c r="G12" i="34"/>
  <c r="J12" i="34"/>
  <c r="G10" i="34"/>
  <c r="J10" i="34"/>
  <c r="G7" i="34"/>
  <c r="J7" i="34"/>
  <c r="G3" i="34"/>
  <c r="J3" i="34"/>
  <c r="C14" i="52"/>
  <c r="D7" i="52"/>
  <c r="E4" i="52"/>
  <c r="C4" i="52"/>
  <c r="G4" i="34"/>
  <c r="G14" i="34"/>
  <c r="D5" i="33"/>
  <c r="J7" i="33"/>
  <c r="D4" i="33"/>
  <c r="K7" i="33"/>
  <c r="I7" i="33"/>
  <c r="D9" i="33"/>
  <c r="D8" i="33"/>
  <c r="M4" i="33"/>
  <c r="L4" i="33"/>
  <c r="K4" i="33"/>
  <c r="J4" i="33"/>
  <c r="I4" i="33"/>
  <c r="D10" i="33"/>
  <c r="E20" i="32"/>
  <c r="C20" i="32"/>
  <c r="D26" i="32"/>
  <c r="E26" i="32"/>
  <c r="D29" i="32"/>
  <c r="E29" i="32"/>
  <c r="D22" i="32"/>
  <c r="E21" i="32"/>
  <c r="G21" i="32"/>
  <c r="D21" i="32"/>
  <c r="E19" i="32"/>
  <c r="D19" i="32"/>
  <c r="G19" i="32"/>
  <c r="D28" i="32"/>
  <c r="J29" i="32"/>
  <c r="J26" i="32"/>
  <c r="E5" i="33"/>
  <c r="D24" i="32"/>
  <c r="D20" i="32"/>
  <c r="E18" i="32"/>
  <c r="E30" i="32"/>
  <c r="C17" i="32"/>
  <c r="C29" i="32"/>
  <c r="C30" i="32"/>
  <c r="G23" i="32"/>
  <c r="F28" i="32"/>
  <c r="F25" i="32"/>
  <c r="F24" i="32"/>
  <c r="F23" i="32"/>
  <c r="F22" i="32"/>
  <c r="F21" i="32"/>
  <c r="F19" i="32"/>
  <c r="F18" i="32"/>
  <c r="H27" i="1"/>
  <c r="C28" i="1"/>
  <c r="G26" i="32"/>
  <c r="G28" i="1"/>
  <c r="J24" i="32"/>
  <c r="J21" i="32"/>
  <c r="J20" i="32"/>
  <c r="I19" i="32"/>
  <c r="I21" i="32"/>
  <c r="J17" i="32"/>
  <c r="J30" i="32"/>
  <c r="B29" i="32"/>
  <c r="F29" i="32"/>
  <c r="C10" i="32"/>
  <c r="F10" i="32"/>
  <c r="C7" i="32"/>
  <c r="F7" i="32"/>
  <c r="F14" i="32"/>
  <c r="F13" i="32"/>
  <c r="F12" i="32"/>
  <c r="F11" i="32"/>
  <c r="F9" i="32"/>
  <c r="F8" i="32"/>
  <c r="F6" i="32"/>
  <c r="F5" i="32"/>
  <c r="F4" i="32"/>
  <c r="E14" i="32"/>
  <c r="D14" i="32"/>
  <c r="D13" i="32"/>
  <c r="D7" i="32"/>
  <c r="D8" i="32"/>
  <c r="E12" i="32"/>
  <c r="E11" i="32"/>
  <c r="E10" i="32"/>
  <c r="E7" i="32"/>
  <c r="E5" i="32"/>
  <c r="E6" i="32"/>
  <c r="E8" i="32"/>
  <c r="G8" i="32"/>
  <c r="E9" i="32"/>
  <c r="G4" i="32"/>
  <c r="B15" i="32"/>
  <c r="G5" i="32"/>
  <c r="I5" i="32"/>
  <c r="I9" i="32"/>
  <c r="I8" i="32"/>
  <c r="I15" i="32"/>
  <c r="I14" i="32"/>
  <c r="J6" i="32"/>
  <c r="J7" i="32"/>
  <c r="J11" i="32"/>
  <c r="J14" i="32"/>
  <c r="J15" i="32"/>
  <c r="B20" i="30"/>
  <c r="H20" i="30"/>
  <c r="G19" i="30"/>
  <c r="F19" i="30"/>
  <c r="E19" i="30"/>
  <c r="D19" i="30"/>
  <c r="C19" i="30"/>
  <c r="B19" i="30"/>
  <c r="L17" i="30"/>
  <c r="M15" i="30"/>
  <c r="H16" i="30"/>
  <c r="J16" i="30"/>
  <c r="H17" i="30"/>
  <c r="J17" i="30"/>
  <c r="H15" i="30"/>
  <c r="J15" i="30"/>
  <c r="C13" i="30"/>
  <c r="B13" i="30"/>
  <c r="H13" i="30"/>
  <c r="E6" i="30"/>
  <c r="E12" i="30"/>
  <c r="D6" i="30"/>
  <c r="H6" i="30"/>
  <c r="H12" i="30"/>
  <c r="J12" i="30"/>
  <c r="G12" i="30"/>
  <c r="F12" i="30"/>
  <c r="D12" i="30"/>
  <c r="B12" i="30"/>
  <c r="C8" i="30"/>
  <c r="C12" i="30"/>
  <c r="H8" i="30"/>
  <c r="J8" i="30"/>
  <c r="H10" i="30"/>
  <c r="J10" i="30"/>
  <c r="H9" i="30"/>
  <c r="J9" i="30"/>
  <c r="H7" i="30"/>
  <c r="J7" i="30"/>
  <c r="H5" i="30"/>
  <c r="J5" i="30"/>
  <c r="L9" i="30"/>
  <c r="L13" i="30"/>
  <c r="M8" i="30"/>
  <c r="M7" i="30"/>
  <c r="L6" i="30"/>
  <c r="L10" i="30"/>
  <c r="H19" i="30"/>
  <c r="J19" i="30"/>
  <c r="B4" i="28"/>
  <c r="I4" i="28"/>
  <c r="B9" i="28"/>
  <c r="I9" i="28"/>
  <c r="M4" i="28"/>
  <c r="M9" i="28"/>
  <c r="D6" i="28"/>
  <c r="D10" i="28"/>
  <c r="D11" i="21"/>
  <c r="D12" i="21"/>
  <c r="D6" i="21"/>
  <c r="C15" i="26"/>
  <c r="C17" i="26"/>
  <c r="B15" i="26"/>
  <c r="B17" i="26"/>
  <c r="E16" i="26"/>
  <c r="E17" i="26"/>
  <c r="D16" i="26"/>
  <c r="D17" i="26"/>
  <c r="B6" i="22"/>
  <c r="D6" i="22"/>
  <c r="I6" i="22"/>
  <c r="J6" i="25"/>
  <c r="E6" i="25"/>
  <c r="I10" i="25"/>
  <c r="C16" i="19"/>
  <c r="C36" i="19"/>
  <c r="H16" i="19"/>
  <c r="H36" i="19"/>
  <c r="D9" i="49"/>
  <c r="C9" i="49"/>
  <c r="C12" i="49"/>
  <c r="B9" i="49"/>
  <c r="B12" i="49"/>
  <c r="G12" i="49"/>
  <c r="F12" i="49"/>
  <c r="E12" i="49"/>
  <c r="D12" i="49"/>
  <c r="D17" i="23"/>
  <c r="C17" i="23"/>
  <c r="E15" i="23"/>
  <c r="C6" i="23"/>
  <c r="E11" i="23"/>
  <c r="D8" i="23"/>
  <c r="C9" i="23"/>
  <c r="E9" i="23"/>
  <c r="C12" i="23"/>
  <c r="E12" i="23"/>
  <c r="G12" i="23"/>
  <c r="I12" i="23"/>
  <c r="B7" i="39"/>
  <c r="B7" i="60"/>
  <c r="B5" i="60"/>
  <c r="C3" i="39"/>
  <c r="B3" i="39"/>
  <c r="D6" i="29"/>
  <c r="H6" i="29"/>
  <c r="E5" i="29"/>
  <c r="H5" i="29"/>
  <c r="H4" i="29"/>
  <c r="G9" i="29"/>
  <c r="G11" i="29"/>
  <c r="C9" i="29"/>
  <c r="B9" i="29"/>
  <c r="H9" i="29"/>
  <c r="E9" i="29"/>
  <c r="G8" i="29"/>
  <c r="E3" i="29"/>
  <c r="A3" i="29"/>
  <c r="C29" i="19"/>
  <c r="I13" i="44"/>
  <c r="C14" i="19"/>
  <c r="C13" i="19"/>
  <c r="C4" i="19"/>
  <c r="C38" i="19"/>
  <c r="C30" i="19"/>
  <c r="G30" i="19"/>
  <c r="H29" i="19"/>
  <c r="C26" i="19"/>
  <c r="G10" i="42"/>
  <c r="H26" i="19"/>
  <c r="C25" i="19"/>
  <c r="C27" i="19"/>
  <c r="H25" i="19"/>
  <c r="C19" i="19"/>
  <c r="H19" i="19"/>
  <c r="H18" i="19"/>
  <c r="C11" i="19"/>
  <c r="H11" i="19"/>
  <c r="C6" i="19"/>
  <c r="H6" i="19"/>
  <c r="H4" i="19"/>
  <c r="C27" i="1"/>
  <c r="G25" i="32"/>
  <c r="C3" i="29"/>
  <c r="C11" i="29"/>
  <c r="H28" i="1"/>
  <c r="B13" i="19"/>
  <c r="B11" i="19"/>
  <c r="B12" i="19"/>
  <c r="B4" i="19"/>
  <c r="B7" i="19"/>
  <c r="B9" i="19"/>
  <c r="B21" i="1"/>
  <c r="C32" i="1"/>
  <c r="C30" i="1"/>
  <c r="G28" i="32"/>
  <c r="C21" i="1"/>
  <c r="G20" i="32"/>
  <c r="C31" i="1"/>
  <c r="G29" i="32"/>
  <c r="H31" i="1"/>
  <c r="C26" i="1"/>
  <c r="G24" i="32"/>
  <c r="H26" i="1"/>
  <c r="C23" i="1"/>
  <c r="G22" i="32"/>
  <c r="C22" i="1"/>
  <c r="G10" i="26"/>
  <c r="H22" i="1"/>
  <c r="H21" i="1"/>
  <c r="H18" i="1"/>
  <c r="H34" i="1"/>
  <c r="C6" i="1"/>
  <c r="H13" i="1"/>
  <c r="H10" i="1"/>
  <c r="H14" i="1"/>
  <c r="H6" i="1"/>
  <c r="J12" i="23"/>
  <c r="J9" i="23"/>
  <c r="C5" i="1"/>
  <c r="G6" i="32"/>
  <c r="H5" i="1"/>
  <c r="G20" i="1"/>
  <c r="G22" i="1"/>
  <c r="G34" i="1"/>
  <c r="C19" i="1"/>
  <c r="J20" i="30"/>
  <c r="C18" i="1"/>
  <c r="G17" i="32"/>
  <c r="C13" i="1"/>
  <c r="G14" i="32"/>
  <c r="G13" i="1"/>
  <c r="C12" i="1"/>
  <c r="G13" i="32"/>
  <c r="C11" i="1"/>
  <c r="G12" i="32"/>
  <c r="C10" i="1"/>
  <c r="G11" i="32"/>
  <c r="C9" i="1"/>
  <c r="G10" i="32"/>
  <c r="G7" i="1"/>
  <c r="C8" i="1"/>
  <c r="G9" i="32"/>
  <c r="G4" i="1"/>
  <c r="G8" i="1"/>
  <c r="I6" i="25"/>
  <c r="C6" i="25"/>
  <c r="H8" i="29"/>
  <c r="I7" i="28"/>
  <c r="J7" i="28"/>
  <c r="I5" i="28"/>
  <c r="I3" i="28"/>
  <c r="H6" i="28"/>
  <c r="H10" i="28"/>
  <c r="G6" i="28"/>
  <c r="G10" i="28"/>
  <c r="F6" i="28"/>
  <c r="F10" i="28"/>
  <c r="E6" i="28"/>
  <c r="E10" i="28"/>
  <c r="C6" i="28"/>
  <c r="C10" i="28"/>
  <c r="I12" i="21"/>
  <c r="H12" i="21"/>
  <c r="G12" i="21"/>
  <c r="C12" i="21"/>
  <c r="B11" i="21"/>
  <c r="B12" i="21"/>
  <c r="I10" i="21"/>
  <c r="G10" i="21"/>
  <c r="C10" i="21"/>
  <c r="B10" i="21"/>
  <c r="I6" i="21"/>
  <c r="H6" i="21"/>
  <c r="G6" i="21"/>
  <c r="C6" i="21"/>
  <c r="B5" i="21"/>
  <c r="B6" i="21"/>
  <c r="E60" i="20"/>
  <c r="E25" i="20"/>
  <c r="E61" i="20"/>
  <c r="D19" i="20"/>
  <c r="B27" i="19"/>
  <c r="C21" i="19"/>
  <c r="I8" i="44"/>
  <c r="B21" i="19"/>
  <c r="H8" i="44"/>
  <c r="C14" i="1"/>
  <c r="B14" i="1"/>
  <c r="B17" i="1"/>
  <c r="C17" i="1"/>
  <c r="A1" i="1"/>
  <c r="C6" i="36"/>
  <c r="B6" i="36"/>
  <c r="D2" i="33"/>
  <c r="B2" i="33"/>
  <c r="I2" i="28"/>
  <c r="B2" i="28"/>
  <c r="J4" i="21"/>
  <c r="E4" i="21"/>
  <c r="D12" i="26"/>
  <c r="B12" i="26"/>
  <c r="D3" i="26"/>
  <c r="B3" i="26"/>
  <c r="E4" i="25"/>
  <c r="D4" i="25"/>
  <c r="C4" i="25"/>
  <c r="B4" i="25"/>
  <c r="A1" i="19"/>
  <c r="C3" i="45"/>
  <c r="D3" i="44"/>
  <c r="B3" i="44"/>
  <c r="C3" i="42"/>
  <c r="B3" i="42"/>
  <c r="C3" i="41"/>
  <c r="B3" i="41"/>
  <c r="C9" i="40"/>
  <c r="B9" i="40"/>
  <c r="C2" i="38"/>
  <c r="B2" i="38"/>
  <c r="C2" i="36"/>
  <c r="B2" i="36"/>
  <c r="D2" i="32"/>
  <c r="B2" i="32"/>
  <c r="C2" i="18"/>
  <c r="B2" i="18"/>
  <c r="C2" i="1"/>
  <c r="B2" i="1"/>
  <c r="D9" i="52"/>
  <c r="D12" i="52"/>
  <c r="D13" i="52"/>
  <c r="D8" i="52"/>
  <c r="D11" i="52"/>
  <c r="D10" i="52"/>
  <c r="D6" i="52"/>
  <c r="E5" i="21"/>
  <c r="J5" i="21"/>
  <c r="J6" i="21"/>
  <c r="E11" i="21"/>
  <c r="J11" i="21"/>
  <c r="J12" i="21"/>
  <c r="F17" i="32"/>
  <c r="G3" i="35"/>
  <c r="J3" i="35"/>
  <c r="E12" i="44"/>
  <c r="E9" i="21"/>
  <c r="C34" i="1"/>
  <c r="F20" i="32"/>
  <c r="E11" i="29"/>
  <c r="J13" i="30"/>
  <c r="E7" i="33"/>
  <c r="E6" i="33"/>
  <c r="E4" i="33"/>
  <c r="B10" i="33"/>
  <c r="C9" i="26"/>
  <c r="I7" i="44"/>
  <c r="G9" i="26"/>
  <c r="J9" i="21"/>
  <c r="E6" i="21"/>
  <c r="G10" i="33"/>
  <c r="H5" i="44"/>
  <c r="F7" i="52"/>
  <c r="F10" i="52"/>
  <c r="B3" i="60"/>
  <c r="C9" i="33"/>
  <c r="G18" i="32"/>
  <c r="B33" i="1"/>
  <c r="B30" i="32"/>
  <c r="G4" i="35"/>
  <c r="J4" i="35"/>
  <c r="A9" i="23"/>
  <c r="C4" i="33"/>
  <c r="F26" i="32"/>
  <c r="B3" i="29"/>
  <c r="I30" i="32"/>
  <c r="D9" i="29"/>
  <c r="A18" i="23"/>
  <c r="A16" i="49"/>
  <c r="B6" i="28"/>
  <c r="I6" i="28"/>
  <c r="J6" i="28"/>
  <c r="C15" i="32"/>
  <c r="F15" i="32"/>
  <c r="G16" i="35"/>
  <c r="G18" i="35"/>
  <c r="B10" i="28"/>
  <c r="G16" i="34"/>
  <c r="J14" i="34"/>
  <c r="B19" i="35"/>
  <c r="G30" i="32"/>
  <c r="H36" i="1"/>
  <c r="J9" i="29"/>
  <c r="I10" i="28"/>
  <c r="E7" i="54"/>
  <c r="J5" i="59"/>
  <c r="J6" i="59"/>
  <c r="K6" i="59"/>
  <c r="C8" i="58"/>
  <c r="E5" i="58"/>
  <c r="E8" i="58"/>
  <c r="I5" i="25"/>
  <c r="C5" i="25"/>
  <c r="C9" i="25"/>
  <c r="E12" i="21"/>
  <c r="E15" i="32"/>
  <c r="G15" i="32"/>
  <c r="L8" i="34"/>
  <c r="L14" i="34"/>
  <c r="H11" i="44"/>
  <c r="B12" i="44"/>
  <c r="B15" i="44"/>
  <c r="B9" i="26"/>
  <c r="B8" i="26"/>
  <c r="D8" i="48"/>
  <c r="F13" i="52"/>
  <c r="F12" i="52"/>
  <c r="B11" i="29"/>
  <c r="F8" i="52"/>
  <c r="F9" i="52"/>
  <c r="C6" i="33"/>
  <c r="J4" i="34"/>
  <c r="J6" i="35"/>
  <c r="B34" i="1"/>
  <c r="C15" i="19"/>
  <c r="I6" i="44"/>
  <c r="C8" i="23"/>
  <c r="E6" i="23"/>
  <c r="E8" i="23"/>
  <c r="C5" i="60"/>
  <c r="C8" i="33"/>
  <c r="C7" i="33"/>
  <c r="C39" i="1"/>
  <c r="I12" i="44"/>
  <c r="C7" i="19"/>
  <c r="C9" i="19"/>
  <c r="D15" i="32"/>
  <c r="G7" i="32"/>
  <c r="J10" i="21"/>
  <c r="K10" i="21"/>
  <c r="G14" i="1"/>
  <c r="G36" i="1"/>
  <c r="D3" i="29"/>
  <c r="F14" i="34"/>
  <c r="F16" i="34"/>
  <c r="F19" i="35"/>
  <c r="D8" i="26"/>
  <c r="D9" i="26"/>
  <c r="B15" i="19"/>
  <c r="E9" i="44"/>
  <c r="E15" i="44"/>
  <c r="E10" i="21"/>
  <c r="B14" i="40"/>
  <c r="E14" i="40"/>
  <c r="C33" i="1"/>
  <c r="D30" i="32"/>
  <c r="F6" i="52"/>
  <c r="F11" i="52"/>
  <c r="I10" i="44"/>
  <c r="E8" i="33"/>
  <c r="E9" i="33"/>
  <c r="D10" i="21"/>
  <c r="B16" i="35"/>
  <c r="B18" i="35"/>
  <c r="I5" i="44"/>
  <c r="C32" i="19"/>
  <c r="D11" i="29"/>
  <c r="H3" i="29"/>
  <c r="H11" i="29"/>
  <c r="F30" i="32"/>
  <c r="J16" i="35"/>
  <c r="B39" i="1"/>
  <c r="H12" i="44"/>
  <c r="G19" i="35"/>
  <c r="H6" i="44"/>
  <c r="B32" i="19"/>
  <c r="J3" i="29"/>
  <c r="I15" i="44"/>
  <c r="C37" i="19"/>
  <c r="I7" i="54"/>
  <c r="I9" i="54"/>
  <c r="C9" i="54"/>
  <c r="B37" i="19"/>
  <c r="B41" i="19"/>
  <c r="H15" i="44"/>
  <c r="H7" i="54"/>
  <c r="H9" i="54"/>
  <c r="B9" i="54"/>
  <c r="C41" i="19"/>
  <c r="E37" i="19"/>
</calcChain>
</file>

<file path=xl/comments1.xml><?xml version="1.0" encoding="utf-8"?>
<comments xmlns="http://schemas.openxmlformats.org/spreadsheetml/2006/main">
  <authors>
    <author>Sonja Egetemeyer</author>
  </authors>
  <commentList>
    <comment ref="D12" authorId="0">
      <text>
        <r>
          <rPr>
            <b/>
            <sz val="9"/>
            <color indexed="81"/>
            <rFont val="Tahoma"/>
            <family val="2"/>
          </rPr>
          <t>Sonja Egetemeyer:</t>
        </r>
        <r>
          <rPr>
            <sz val="9"/>
            <color indexed="81"/>
            <rFont val="Tahoma"/>
            <family val="2"/>
          </rPr>
          <t xml:space="preserve">
Bénéfice reporté 2014              81'931'444
-dividende                                  (981'280)
Bénéfice reporté 2015              80'950'164
Bénéfice reporté 2015 au bilan   80'979'352
Diff.=Variation des intérêts             (29'188)
minoritaires aux capitaux propres</t>
        </r>
      </text>
    </comment>
  </commentList>
</comments>
</file>

<file path=xl/comments2.xml><?xml version="1.0" encoding="utf-8"?>
<comments xmlns="http://schemas.openxmlformats.org/spreadsheetml/2006/main">
  <authors>
    <author>Sonja Egetemeyer</author>
  </authors>
  <commentList>
    <comment ref="H11" authorId="0">
      <text>
        <r>
          <rPr>
            <b/>
            <sz val="9"/>
            <color indexed="81"/>
            <rFont val="Tahoma"/>
            <family val="2"/>
          </rPr>
          <t>Sonja Egetemeyer:</t>
        </r>
        <r>
          <rPr>
            <sz val="9"/>
            <color indexed="81"/>
            <rFont val="Tahoma"/>
            <family val="2"/>
          </rPr>
          <t xml:space="preserve">
Créances compromises</t>
        </r>
      </text>
    </comment>
  </commentList>
</comments>
</file>

<file path=xl/comments3.xml><?xml version="1.0" encoding="utf-8"?>
<comments xmlns="http://schemas.openxmlformats.org/spreadsheetml/2006/main">
  <authors>
    <author>Sonja Egetemeyer</author>
  </authors>
  <commentList>
    <comment ref="J4" authorId="0">
      <text>
        <r>
          <rPr>
            <b/>
            <sz val="9"/>
            <color indexed="81"/>
            <rFont val="Tahoma"/>
            <family val="2"/>
          </rPr>
          <t>Sonja Egetemeyer:</t>
        </r>
        <r>
          <rPr>
            <sz val="9"/>
            <color indexed="81"/>
            <rFont val="Tahoma"/>
            <family val="2"/>
          </rPr>
          <t xml:space="preserve">
Etranger</t>
        </r>
      </text>
    </comment>
    <comment ref="K4" authorId="0">
      <text>
        <r>
          <rPr>
            <b/>
            <sz val="9"/>
            <color indexed="81"/>
            <rFont val="Tahoma"/>
            <family val="2"/>
          </rPr>
          <t>Sonja Egetemeyer:</t>
        </r>
        <r>
          <rPr>
            <sz val="9"/>
            <color indexed="81"/>
            <rFont val="Tahoma"/>
            <family val="2"/>
          </rPr>
          <t xml:space="preserve">
Suisse</t>
        </r>
      </text>
    </comment>
  </commentList>
</comments>
</file>

<file path=xl/comments4.xml><?xml version="1.0" encoding="utf-8"?>
<comments xmlns="http://schemas.openxmlformats.org/spreadsheetml/2006/main">
  <authors>
    <author>Sonja Egetemeyer</author>
  </authors>
  <commentList>
    <comment ref="K7" authorId="0">
      <text>
        <r>
          <rPr>
            <b/>
            <sz val="9"/>
            <color indexed="81"/>
            <rFont val="Tahoma"/>
            <family val="2"/>
          </rPr>
          <t>Sonja Egetemeyer:</t>
        </r>
        <r>
          <rPr>
            <sz val="9"/>
            <color indexed="81"/>
            <rFont val="Tahoma"/>
            <family val="2"/>
          </rPr>
          <t xml:space="preserve">
Etranger</t>
        </r>
      </text>
    </comment>
    <comment ref="L7" authorId="0">
      <text>
        <r>
          <rPr>
            <b/>
            <sz val="9"/>
            <color indexed="81"/>
            <rFont val="Tahoma"/>
            <family val="2"/>
          </rPr>
          <t>Sonja Egetemeyer:</t>
        </r>
        <r>
          <rPr>
            <sz val="9"/>
            <color indexed="81"/>
            <rFont val="Tahoma"/>
            <family val="2"/>
          </rPr>
          <t xml:space="preserve">
Suisse</t>
        </r>
      </text>
    </comment>
  </commentList>
</comments>
</file>

<file path=xl/sharedStrings.xml><?xml version="1.0" encoding="utf-8"?>
<sst xmlns="http://schemas.openxmlformats.org/spreadsheetml/2006/main" count="889" uniqueCount="526">
  <si>
    <t>Actifs</t>
  </si>
  <si>
    <t>This year</t>
  </si>
  <si>
    <t xml:space="preserve">Immobilisations corporelles </t>
  </si>
  <si>
    <t xml:space="preserve">Autres actifs </t>
  </si>
  <si>
    <t xml:space="preserve">Total des actifs </t>
  </si>
  <si>
    <t xml:space="preserve">Passifs </t>
  </si>
  <si>
    <t xml:space="preserve">Engagements envers les banques </t>
  </si>
  <si>
    <t xml:space="preserve">Autres passifs </t>
  </si>
  <si>
    <t xml:space="preserve">Total des passifs </t>
  </si>
  <si>
    <t>Engagements conditionnels</t>
  </si>
  <si>
    <t>montant des sous-jacents</t>
  </si>
  <si>
    <t>valeurs de remplacement positives</t>
  </si>
  <si>
    <t>Liquidités</t>
  </si>
  <si>
    <t>Créances résultant de papiers monétaires</t>
  </si>
  <si>
    <t>Créances sur les banques</t>
  </si>
  <si>
    <t>Créances sur la clientèle</t>
  </si>
  <si>
    <t>Immobilisations financières</t>
  </si>
  <si>
    <t>Participations non consolidées</t>
  </si>
  <si>
    <t xml:space="preserve">Total des créances sur les participations non consolidées et les participants qualifiés </t>
  </si>
  <si>
    <t xml:space="preserve">Réserves pour risques bancaires généraux </t>
  </si>
  <si>
    <t xml:space="preserve">Part des intérêts minoritaires aux capitaux propres </t>
  </si>
  <si>
    <t xml:space="preserve">Dont part des intérêts minoritaires au résultat </t>
  </si>
  <si>
    <t xml:space="preserve">Total des engagements envers les participations non consolidées et les participants qualifiés </t>
  </si>
  <si>
    <t>Opérations hors bilan consolidées</t>
  </si>
  <si>
    <t>Engagements irrévocables</t>
  </si>
  <si>
    <t>Instruments financiers dérivés</t>
  </si>
  <si>
    <t>valeurs de remplacement négatives</t>
  </si>
  <si>
    <t>Opérations fiduciaires</t>
  </si>
  <si>
    <t>Titre</t>
  </si>
  <si>
    <t>Total</t>
  </si>
  <si>
    <t>Résultat des opérations d’intérêts</t>
  </si>
  <si>
    <t>Produit des intérêts et des escomptes</t>
  </si>
  <si>
    <t>Produit des intérêts et des dividendes des immobilisations financières</t>
  </si>
  <si>
    <t>Charges d’intérêts</t>
  </si>
  <si>
    <t>Produit des commissions sur les opérations de crédit</t>
  </si>
  <si>
    <t>Produit des commissions sur les autres prestations de service</t>
  </si>
  <si>
    <t>Charges de commissions</t>
  </si>
  <si>
    <t>Sous-total résultat des opérations de commissions et des prestations de service</t>
  </si>
  <si>
    <t>Résultat des opérations de commissions et des prestations de service</t>
  </si>
  <si>
    <t>Autres résultats ordinaires</t>
  </si>
  <si>
    <t>Produit des aliénations d’immobilisations financières</t>
  </si>
  <si>
    <t>Autres produits ordinaires</t>
  </si>
  <si>
    <t>Sous-total autres résultats ordinaires</t>
  </si>
  <si>
    <t>Produits totaux de l’activité bancaire ordinaire</t>
  </si>
  <si>
    <t>Charges d’exploitation</t>
  </si>
  <si>
    <t>Charges de personnel</t>
  </si>
  <si>
    <t>Autres charges d’exploitation</t>
  </si>
  <si>
    <t>Sous-total charges d’exploitation</t>
  </si>
  <si>
    <t>Bénéfice brut</t>
  </si>
  <si>
    <t>Amortissement sur goodwill</t>
  </si>
  <si>
    <t>Produits extraordinaires</t>
  </si>
  <si>
    <t>Charges extraordinaires</t>
  </si>
  <si>
    <t>Impôts</t>
  </si>
  <si>
    <t>Dont part des intérêts minoritaires au bénéfice</t>
  </si>
  <si>
    <t>Sources de fonds</t>
  </si>
  <si>
    <t>Emplois de fonds</t>
  </si>
  <si>
    <t>Résultat de l’exercice</t>
  </si>
  <si>
    <t>Réserves pour risques bancaires généraux</t>
  </si>
  <si>
    <t>Dividende de l’exercice précédent</t>
  </si>
  <si>
    <t>Solde</t>
  </si>
  <si>
    <t>Autres immobilisations corporelles</t>
  </si>
  <si>
    <t>Valeurs immatérielles</t>
  </si>
  <si>
    <t>Flux de fonds de l’activité bancaire</t>
  </si>
  <si>
    <t>Opérations à court terme</t>
  </si>
  <si>
    <t>Engagements envers les banques</t>
  </si>
  <si>
    <t>Etat des liquidités</t>
  </si>
  <si>
    <t>Flux de fonds des transactions relatives aux capitaux propres</t>
  </si>
  <si>
    <t>Flux de fonds du résultat opérationnel (financement interne)</t>
  </si>
  <si>
    <t>Informations se rapportant au bilan consolidé</t>
  </si>
  <si>
    <t>Nature des couvertures</t>
  </si>
  <si>
    <t>Hors bilan</t>
  </si>
  <si>
    <t>Montant net</t>
  </si>
  <si>
    <t>Montant brut</t>
  </si>
  <si>
    <t>Valeur estimée de réalisation des sûretés</t>
  </si>
  <si>
    <t>Valeur comptable</t>
  </si>
  <si>
    <t>Juste valeur</t>
  </si>
  <si>
    <t>Titres de créance</t>
  </si>
  <si>
    <t>dont destinés à être conservés jusqu’à l’échéance</t>
  </si>
  <si>
    <t>Dont titres admis en pension selon les prescriptions en matière de liquidités</t>
  </si>
  <si>
    <t>Participations</t>
  </si>
  <si>
    <t>sans valeur boursière</t>
  </si>
  <si>
    <t>Autres actifs</t>
  </si>
  <si>
    <t>Autres passifs</t>
  </si>
  <si>
    <t>Valeurs de remplacement des instruments dérivés</t>
  </si>
  <si>
    <t>Autres</t>
  </si>
  <si>
    <t>Engagements effectifs</t>
  </si>
  <si>
    <t>Exercice de référence</t>
  </si>
  <si>
    <t>Valeur d’acquisition</t>
  </si>
  <si>
    <t>Amortissements cumulés</t>
  </si>
  <si>
    <t>Investissements</t>
  </si>
  <si>
    <t>Amortissements</t>
  </si>
  <si>
    <t>Total des participations non consolidées</t>
  </si>
  <si>
    <t>Total des immobilisations corporelles</t>
  </si>
  <si>
    <t>Goodwill</t>
  </si>
  <si>
    <t>Total des valeurs immatérielles</t>
  </si>
  <si>
    <t>Valeur d’assurance incendie des immeubles</t>
  </si>
  <si>
    <t>Valeur d’assurance incendie des autres immobilisations corporelles</t>
  </si>
  <si>
    <t>Engagements: termes de leasing futurs résultant de leasing d'exploitation</t>
  </si>
  <si>
    <t>Provisions pour impôts latents</t>
  </si>
  <si>
    <t>Correctifs de valeurs et provisions pour risques de défaillance (risques de recouvrement et risques-pays)</t>
  </si>
  <si>
    <t>Autres provisions</t>
  </si>
  <si>
    <t>Total provisions</t>
  </si>
  <si>
    <t>Part des intérêts minoritaires aux capitaux propres</t>
  </si>
  <si>
    <t>Durée d’échéance résiduelle</t>
  </si>
  <si>
    <t>A vue</t>
  </si>
  <si>
    <t>Dénonçable</t>
  </si>
  <si>
    <t>jusqu’à 3 mois</t>
  </si>
  <si>
    <t>de 3 à 12 mois</t>
  </si>
  <si>
    <t>de 12 mois à 5 ans</t>
  </si>
  <si>
    <t>de plus de 5 ans</t>
  </si>
  <si>
    <t>Suisse</t>
  </si>
  <si>
    <t>Étranger</t>
  </si>
  <si>
    <t>Immobilisations corporelles</t>
  </si>
  <si>
    <t>Total des actifs</t>
  </si>
  <si>
    <t>Passifs</t>
  </si>
  <si>
    <t>Total des passifs</t>
  </si>
  <si>
    <t>Valeur absolue</t>
  </si>
  <si>
    <t>Part en %</t>
  </si>
  <si>
    <t>Europe</t>
  </si>
  <si>
    <t>Asie</t>
  </si>
  <si>
    <t>Amériques</t>
  </si>
  <si>
    <t>Afrique</t>
  </si>
  <si>
    <t>Autres pays</t>
  </si>
  <si>
    <t>CHF</t>
  </si>
  <si>
    <t>USD</t>
  </si>
  <si>
    <t>EUR</t>
  </si>
  <si>
    <t>Part intérêts minoritaires aux capitaux propres</t>
  </si>
  <si>
    <t>Position nette par devise</t>
  </si>
  <si>
    <t xml:space="preserve">Garanties irrévocables </t>
  </si>
  <si>
    <t>Instruments de négoce</t>
  </si>
  <si>
    <t>Instruments de couverture</t>
  </si>
  <si>
    <t>Valeurs de remplacement positives</t>
  </si>
  <si>
    <t>Instruments de taux</t>
  </si>
  <si>
    <t>Devises/métaux précieux</t>
  </si>
  <si>
    <t>Contrats à terme</t>
  </si>
  <si>
    <t>Options (OTC)</t>
  </si>
  <si>
    <t>Avoirs sous mandat de gestion</t>
  </si>
  <si>
    <t>Informations se rapportant au compte de résultat consolidé</t>
  </si>
  <si>
    <t>Résultat des opérations de négoce de devises</t>
  </si>
  <si>
    <t>Résultat des opérations de négoce de billets</t>
  </si>
  <si>
    <t>Résultat des opérations de négoce de titres</t>
  </si>
  <si>
    <t>Prestations sociales</t>
  </si>
  <si>
    <t>Autres charges de personnel</t>
  </si>
  <si>
    <t>Coût des locaux</t>
  </si>
  <si>
    <t>Produits et charges de l’activité bancaire ordinaire repartis entre la suisse et l’étranger selon le principe du domicile de l’exploitation</t>
  </si>
  <si>
    <t>Produits d’exploitation</t>
  </si>
  <si>
    <t>Charges du personnel</t>
  </si>
  <si>
    <t>Calcul des fonds propres</t>
  </si>
  <si>
    <t>CET1 - fonds propres de base durs</t>
  </si>
  <si>
    <t>AT1 - fonds propres de base additionnels</t>
  </si>
  <si>
    <t xml:space="preserve">T2 - fonds propres complémentaires  </t>
  </si>
  <si>
    <t>Total des fonds propres pris en compte</t>
  </si>
  <si>
    <t>Presentation des fonds propres requis (non audité)</t>
  </si>
  <si>
    <t>Approche utilisée</t>
  </si>
  <si>
    <t>Exigences de fonds propres</t>
  </si>
  <si>
    <t>Risques de crédit</t>
  </si>
  <si>
    <t>Risques non liés à des contreparties</t>
  </si>
  <si>
    <t>Standard</t>
  </si>
  <si>
    <t>Risques de marché</t>
  </si>
  <si>
    <t>dont sur devises</t>
  </si>
  <si>
    <t>dont sur matières premières (métaux précieux)</t>
  </si>
  <si>
    <t>Risques opérationnels</t>
  </si>
  <si>
    <t>Indicateur de base</t>
  </si>
  <si>
    <t>–</t>
  </si>
  <si>
    <t>Autres actifs et autres passifs</t>
  </si>
  <si>
    <t>Standard international</t>
  </si>
  <si>
    <t>Présentation des fonds propres pouvant être pris en compte</t>
  </si>
  <si>
    <t>Capital social (Share capital)</t>
  </si>
  <si>
    <t>Arrondis</t>
  </si>
  <si>
    <t>Reclass.2014
Nouvelles PCB</t>
  </si>
  <si>
    <t>Commentaires</t>
  </si>
  <si>
    <t>Ligne à supprimer</t>
  </si>
  <si>
    <t>Modification périmètre de consolidation</t>
  </si>
  <si>
    <t>Valeurs de remplacement positives d'instruments financiers dérivés</t>
  </si>
  <si>
    <t>Total des créances subordonnées</t>
  </si>
  <si>
    <t xml:space="preserve">Engagements résultant des dépôts de la clientèle </t>
  </si>
  <si>
    <t>Valeurs de remplacement négatives d'instruments financiers dérivés</t>
  </si>
  <si>
    <t>MàJ libellé</t>
  </si>
  <si>
    <t>Nouvelle ligne</t>
  </si>
  <si>
    <t xml:space="preserve">Provisions </t>
  </si>
  <si>
    <t>Capitaux propres</t>
  </si>
  <si>
    <t>Total des engagements de rang subordonné</t>
  </si>
  <si>
    <t>Total des capitaux propres</t>
  </si>
  <si>
    <t>Engagements de libérer et d'effectuer des versements supplémentaires</t>
  </si>
  <si>
    <t>Crédits par engagement</t>
  </si>
  <si>
    <t>Contrôle arrondis</t>
  </si>
  <si>
    <t>Résultat brut des opérations d’intérêts</t>
  </si>
  <si>
    <t>Variations des corrections de valeur pour risques de défaillance et pertes liées aux opérations d'intérêts</t>
  </si>
  <si>
    <t>Sous-total résultat net des opérations d'intérêts</t>
  </si>
  <si>
    <t>Produit des commissions sur les titres et les opérations de placements</t>
  </si>
  <si>
    <t>Résultat des opérations de négoce et de l'option de la juste valeur</t>
  </si>
  <si>
    <t>Autres charges ordinaires</t>
  </si>
  <si>
    <t>Correctifs de valeurs sur participations, amortissements sur immobilisations et valeurs immatérielles</t>
  </si>
  <si>
    <t>Supprimer ligne</t>
  </si>
  <si>
    <t>Variations des provisions et autes corrections de valeur, pertes</t>
  </si>
  <si>
    <t>Résultat opérationnel</t>
  </si>
  <si>
    <t>Variations des réserves pour risques bancaires généraux</t>
  </si>
  <si>
    <t>Contrôle avec résultat au bilan</t>
  </si>
  <si>
    <t>Etat des capitaux propres</t>
  </si>
  <si>
    <t>Capital social</t>
  </si>
  <si>
    <t>Réserve issue du capital</t>
  </si>
  <si>
    <t>Commentaire</t>
  </si>
  <si>
    <t>Différende d'arrondi +1 avec le bilan</t>
  </si>
  <si>
    <t>cf.onglet C_Bilan</t>
  </si>
  <si>
    <t>Contrôle</t>
  </si>
  <si>
    <t>Autres dotations / (prélèvements) affectant les autres réserves</t>
  </si>
  <si>
    <t>Dividendes et autres distributions</t>
  </si>
  <si>
    <t>Autres dotations / (prélèvements) affectant les autres réserves pour risques bancaires généraux</t>
  </si>
  <si>
    <t>Réserve  issue du bénéfice</t>
  </si>
  <si>
    <t>Total des capitaux propres au 31.12.2015</t>
  </si>
  <si>
    <t>Ecart</t>
  </si>
  <si>
    <t>Informations se rapportant aux operations hors bilan</t>
  </si>
  <si>
    <t>Autres avoirs administrés</t>
  </si>
  <si>
    <t>Total des avoirs administrés (y compris prises en compte doubles)</t>
  </si>
  <si>
    <t xml:space="preserve">Dont prises en compte doubles </t>
  </si>
  <si>
    <t>Evolution des avoirs administrés</t>
  </si>
  <si>
    <t>Total des avoirs administrés (y.c.prises en compte double) initiaux</t>
  </si>
  <si>
    <t>Total des avoirs administrés (y.c.prises en compte double) finaux</t>
  </si>
  <si>
    <t>Couvertures des créances et des opérations hors bilan ainsi que des créances compromises</t>
  </si>
  <si>
    <t>Modification libellé</t>
  </si>
  <si>
    <t>Couvertures hypothécaires</t>
  </si>
  <si>
    <t>Autres couvertures</t>
  </si>
  <si>
    <t>Sans couverture</t>
  </si>
  <si>
    <t>Prêts (avant compensation avec les corrections de valeur)</t>
  </si>
  <si>
    <t>Créances compromises</t>
  </si>
  <si>
    <t>Corrections de valeurs individuelles</t>
  </si>
  <si>
    <t>Informations se rapportant aux opérations hors bilan</t>
  </si>
  <si>
    <t>Valeurs de remplacement negatives</t>
  </si>
  <si>
    <t>Volume des contrats</t>
  </si>
  <si>
    <t>Répartition selon contreparties</t>
  </si>
  <si>
    <t>Instances centrales de clearing</t>
  </si>
  <si>
    <t>Banques et négociants en valeurs mobilières</t>
  </si>
  <si>
    <t>Autres clients</t>
  </si>
  <si>
    <t>Répartition des contreparties selon la notation</t>
  </si>
  <si>
    <t>AAA à AA-</t>
  </si>
  <si>
    <t>A+ à A-</t>
  </si>
  <si>
    <t>BBB+ à BBB-</t>
  </si>
  <si>
    <t>BB+ à B-</t>
  </si>
  <si>
    <t>&lt; à B-</t>
  </si>
  <si>
    <t>sans notation</t>
  </si>
  <si>
    <t>Titres de participations</t>
  </si>
  <si>
    <t>Val.comptable</t>
  </si>
  <si>
    <t>Valeur d'acquisition</t>
  </si>
  <si>
    <t>Autres participations</t>
  </si>
  <si>
    <t>Valeur comptable au 31.12.2014</t>
  </si>
  <si>
    <t>Valeur comptable au 31.12.2015</t>
  </si>
  <si>
    <t>Participations consolidées selon la méthode de l'intégration globale</t>
  </si>
  <si>
    <t>Raison sociale et siège</t>
  </si>
  <si>
    <t>Activité</t>
  </si>
  <si>
    <t>CBH (Bahamas) Limited, Bahamas</t>
  </si>
  <si>
    <t>Banque de gestion de Fortune</t>
  </si>
  <si>
    <t>CBH Europe Limited, Londres</t>
  </si>
  <si>
    <t>Société d'investissement</t>
  </si>
  <si>
    <t>TTG (HK) Limited, Hong Kong</t>
  </si>
  <si>
    <t>Gestion de patrimoine</t>
  </si>
  <si>
    <t>Modification texte</t>
  </si>
  <si>
    <t>Actifs mis en gage ou cédés en garantie de propres engagements ainsi que des actifs qui font l’objet d’une réserve de propriété</t>
  </si>
  <si>
    <t>Actifs nantis / cédés</t>
  </si>
  <si>
    <t>Détention indirecte</t>
  </si>
  <si>
    <t>Détention directe</t>
  </si>
  <si>
    <t>Société financière</t>
  </si>
  <si>
    <t>Mantor SA, Genève</t>
  </si>
  <si>
    <t>Mantor UK Ltd, Londres</t>
  </si>
  <si>
    <t>Gestion de capitaux</t>
  </si>
  <si>
    <t>Select Card Services SA, Genève</t>
  </si>
  <si>
    <t>Distribution de cartes de crédits</t>
  </si>
  <si>
    <t>Conseils financiers, gestion d'actifs</t>
  </si>
  <si>
    <t>Helvetic Private Office UK Ltd, Londres</t>
  </si>
  <si>
    <t>Suppression ligne</t>
  </si>
  <si>
    <t>Immeubles à l’usage du Groupe</t>
  </si>
  <si>
    <t>Corrections de valeurs, des provisions et des réserves pour risques bancaires généraux ainsi que de leurs variations durant l'exercice de référence</t>
  </si>
  <si>
    <t>Utilisations conformes au but</t>
  </si>
  <si>
    <t>Reclassifications</t>
  </si>
  <si>
    <t>Différences de change</t>
  </si>
  <si>
    <t>Nouvelles constitutions à la charge du compte de résultat</t>
  </si>
  <si>
    <t>Dissolutions par le compte de résultat</t>
  </si>
  <si>
    <t>Total des provisions</t>
  </si>
  <si>
    <t>Corrections de valeur pour risques de défaillance</t>
  </si>
  <si>
    <t xml:space="preserve">    dont corrections de valeur pour les risques de défaillance des créances compromises</t>
  </si>
  <si>
    <t>Contrôle avec bilan</t>
  </si>
  <si>
    <t>Engagements résultant des dépôts de la clientèle</t>
  </si>
  <si>
    <t>Fonds étrangers / instruments financiers</t>
  </si>
  <si>
    <t>Contrôle avec bilan 2014</t>
  </si>
  <si>
    <t>Contrôle avec bilan 2015</t>
  </si>
  <si>
    <t>Provisions</t>
  </si>
  <si>
    <t xml:space="preserve">Réserve issue du bénéfice </t>
  </si>
  <si>
    <t>Réserve issue du bénéfice</t>
  </si>
  <si>
    <t>Etranger</t>
  </si>
  <si>
    <t>Canada</t>
  </si>
  <si>
    <t>Modification périmètre de consolidation (détail cf.onglet précédent)</t>
  </si>
  <si>
    <t>Actifs selon la solvabilité des groupes de pays (domicile du risque)</t>
  </si>
  <si>
    <t>Expositions nettes à l'étranger</t>
  </si>
  <si>
    <t>Notation interne*</t>
  </si>
  <si>
    <t>S&amp;P</t>
  </si>
  <si>
    <t>1</t>
  </si>
  <si>
    <t>AAA</t>
  </si>
  <si>
    <t>2</t>
  </si>
  <si>
    <t>AA+ - AA-</t>
  </si>
  <si>
    <t>3</t>
  </si>
  <si>
    <t>A+ - A-</t>
  </si>
  <si>
    <t>4</t>
  </si>
  <si>
    <t>BBB+ - BBB-</t>
  </si>
  <si>
    <t>5</t>
  </si>
  <si>
    <t>BB+ - BB-</t>
  </si>
  <si>
    <t>6</t>
  </si>
  <si>
    <t>B+ - B-</t>
  </si>
  <si>
    <t>7</t>
  </si>
  <si>
    <t>CCC+ - C</t>
  </si>
  <si>
    <t>Sans notation</t>
  </si>
  <si>
    <t>Actifs et passifs répartis selon les monnaies les plus importantes</t>
  </si>
  <si>
    <t>GBP</t>
  </si>
  <si>
    <t>Total des actifs bilantaires</t>
  </si>
  <si>
    <t>Prétentions à la livraison d’opérations au comptant, à terme et en options sur devises</t>
  </si>
  <si>
    <t>Total des Actifs</t>
  </si>
  <si>
    <t>Total des passifs bilantaires</t>
  </si>
  <si>
    <t>Engagement à la livraison découlant d’opérations au comptant, à terme et en options sur devises</t>
  </si>
  <si>
    <t>Créances et engagements conditionnels</t>
  </si>
  <si>
    <t>Engagements de couverture de crédit et similaires</t>
  </si>
  <si>
    <t>Total des engagements conditionnels</t>
  </si>
  <si>
    <t xml:space="preserve">Placements fiduciaires auprès de sociétés tierces </t>
  </si>
  <si>
    <t>Autres opérations fiduciaires</t>
  </si>
  <si>
    <t>CBH Europe</t>
  </si>
  <si>
    <t>Répartition par secteur d'activité</t>
  </si>
  <si>
    <t>Opération de négoce pour compte propre</t>
  </si>
  <si>
    <t>Opération de négoce pour le compte de clients</t>
  </si>
  <si>
    <t>Contrôle avec P&amp;P</t>
  </si>
  <si>
    <t>Informations se rapportant au compte de résultat</t>
  </si>
  <si>
    <r>
      <t xml:space="preserve">Indication d'un produit de refinancement significatif dans la rubrique </t>
    </r>
    <r>
      <rPr>
        <b/>
        <i/>
        <sz val="14"/>
        <color theme="4" tint="-0.249977111117893"/>
        <rFont val="Corbel"/>
        <family val="2"/>
      </rPr>
      <t xml:space="preserve">Produits des intérêts et des escomptes </t>
    </r>
    <r>
      <rPr>
        <b/>
        <sz val="14"/>
        <color theme="4" tint="-0.249977111117893"/>
        <rFont val="Corbel"/>
        <family val="2"/>
      </rPr>
      <t>ainsi que les intérêts négatifs significatifs</t>
    </r>
  </si>
  <si>
    <t>Intérêts négatifs</t>
  </si>
  <si>
    <t>Appointements</t>
  </si>
  <si>
    <t>Charges relatives à la technique de l'information et de la communication</t>
  </si>
  <si>
    <t>Honoraires de la société d'audit</t>
  </si>
  <si>
    <t xml:space="preserve"> - dont pour les prestations en matière d'audit financier et d'audit prudentiel</t>
  </si>
  <si>
    <t xml:space="preserve"> - dont pour les autres prestations de service</t>
  </si>
  <si>
    <t>Contrôle avec P&amp;P 2014</t>
  </si>
  <si>
    <t>Contrôle avec P&amp;P 2015</t>
  </si>
  <si>
    <t>Commentaires des pertes significatives ainsi que des produits et charges extraordinaires de même que des dissolutions significatives de réserves latentes, de réserves pour risques bancaires généraux et de correctifs de valeurs et provisions devenus libres</t>
  </si>
  <si>
    <t>Résultat net des opérations d’intérêts</t>
  </si>
  <si>
    <t>Corrections de valeurs sur participations, amortissements sur immobilisations corporelles et valeurs immatérielles</t>
  </si>
  <si>
    <t>Variations des provisions et autres corrections de valeurs, pertes</t>
  </si>
  <si>
    <t>Arrondis 2015</t>
  </si>
  <si>
    <t>Impôts courants et latents, avec indication du taux d'imposition</t>
  </si>
  <si>
    <t>Impôts courants</t>
  </si>
  <si>
    <t>Impôts latents</t>
  </si>
  <si>
    <t>Impôts indirects</t>
  </si>
  <si>
    <t>Comptes d'ordre</t>
  </si>
  <si>
    <t>Capital social (Capital structure)</t>
  </si>
  <si>
    <t>Capital-actions</t>
  </si>
  <si>
    <t>Nombre
Droits de participation</t>
  </si>
  <si>
    <t>Valeur
Droits de participation</t>
  </si>
  <si>
    <t>Collaborateurs</t>
  </si>
  <si>
    <t>Mycol Benhamou</t>
  </si>
  <si>
    <t>Joseph Benhamou</t>
  </si>
  <si>
    <t>Créances et engagements envers les parties liées</t>
  </si>
  <si>
    <t>Créances</t>
  </si>
  <si>
    <t>Engagements</t>
  </si>
  <si>
    <t>Participants qualifiés</t>
  </si>
  <si>
    <t>Affaires d'organes</t>
  </si>
  <si>
    <t>Autres parties liées</t>
  </si>
  <si>
    <t>Toutes les opérations bilan et hors bilan ont été octroyées à des conditions conformes au marché.</t>
  </si>
  <si>
    <t>Participants significatifs</t>
  </si>
  <si>
    <t>Participants directs</t>
  </si>
  <si>
    <t>Nominal</t>
  </si>
  <si>
    <t>Avec droit de vote</t>
  </si>
  <si>
    <t>CBH Holding SA</t>
  </si>
  <si>
    <t>Dont Participants indirects</t>
  </si>
  <si>
    <t>Sociétés liées</t>
  </si>
  <si>
    <t>Correctifs de valeurs sur participations, amortissements sur immobilisations corporelles et valeurs immatérielles</t>
  </si>
  <si>
    <t>Provisions et autres corrections de valeurs</t>
  </si>
  <si>
    <t>Variations des corrections de valeur pour risques de défaillance et pertes</t>
  </si>
  <si>
    <t>Autres positions</t>
  </si>
  <si>
    <t>Ecritures par les réserves</t>
  </si>
  <si>
    <t>Modification des propres titres de participation</t>
  </si>
  <si>
    <t>Flux de fonds des mutations relatives aux participations, immobilisations corporelles et valeurs immatérielles</t>
  </si>
  <si>
    <t>Immeubles</t>
  </si>
  <si>
    <t>Opérations à moyen et long terme (&gt; 1 an)</t>
  </si>
  <si>
    <t>Obligations de caisse</t>
  </si>
  <si>
    <t>Emprunts</t>
  </si>
  <si>
    <t>Prêts des centrales d'émission de lettres de gage</t>
  </si>
  <si>
    <t>Prêts des centrales d'émission</t>
  </si>
  <si>
    <t>Autres engagements</t>
  </si>
  <si>
    <t>Créances hypothécaires</t>
  </si>
  <si>
    <t>Autres instruments financiers évalués à la juste valeur</t>
  </si>
  <si>
    <t>Autres créances</t>
  </si>
  <si>
    <t>Engagements résultant d'opération de financement de titres</t>
  </si>
  <si>
    <t>Engagements résultant d'opération de négoce</t>
  </si>
  <si>
    <t>Créances résultant d'opérations de financement de titres</t>
  </si>
  <si>
    <t>Opérations de négoce</t>
  </si>
  <si>
    <t>A déduire des créances sur la clientèle et immo.financ.</t>
  </si>
  <si>
    <t>Délimitations actives</t>
  </si>
  <si>
    <t>Délimitations passives</t>
  </si>
  <si>
    <t>Désinvestissement = écart de change sur immo CBH Europe et TTG (HK)</t>
  </si>
  <si>
    <t>Intérêts en souffrance, recouvrements</t>
  </si>
  <si>
    <t>Changements d'affectation</t>
  </si>
  <si>
    <t>Désinvestissements</t>
  </si>
  <si>
    <t>Désinvestissement</t>
  </si>
  <si>
    <t>Desinvestissements</t>
  </si>
  <si>
    <t>Valeurs de remplacement positives des instruments financiers dérivés</t>
  </si>
  <si>
    <t>Situation économique des propres institutions de prévoyance</t>
  </si>
  <si>
    <t>Au 31 décembre 2015, le compte courant employeur auprès de la caisse de pension présentait un solde débiteur de CHF 58'467 (2014: CHF 38’663).</t>
  </si>
  <si>
    <t>Bénéfice consolidé</t>
  </si>
  <si>
    <t>31.12.2015</t>
  </si>
  <si>
    <t>31.12.2014</t>
  </si>
  <si>
    <t>Reclass.2015
Nouvelles PCB</t>
  </si>
  <si>
    <t>Réserve de change</t>
  </si>
  <si>
    <t>Repartition du résultat des operations de négoce et de l'option de la juste valeur</t>
  </si>
  <si>
    <t xml:space="preserve">   dont provenant de l'option de la juste valeur</t>
  </si>
  <si>
    <t>HKD</t>
  </si>
  <si>
    <t>La société TTG (HK) Ltd a été acquise par le Groupe le 29 mai 2015 et est consolidée pour la première fois dans les comptes au 31 décembre 2015.</t>
  </si>
  <si>
    <t>AU 31 décembre 2015, les participations de CBH Holding SA dans les filiales CBH Europe Ltd et TTG (HK) Ltd ont été cédées à CBH Compagnie Bancaire Helvétique SA, modifiant ainsi le périmètre de consolidation au niveau de la Banque.</t>
  </si>
  <si>
    <t>Partie texte</t>
  </si>
  <si>
    <t>Participations non consolidées *</t>
  </si>
  <si>
    <t>Il n'existe pas d'option d'achat ou vente de participation.</t>
  </si>
  <si>
    <t>Contrôle 2015</t>
  </si>
  <si>
    <t>Contrôle 2014</t>
  </si>
  <si>
    <t>Part économique de la banque / du groupe financier</t>
  </si>
  <si>
    <t>Modification de la part économique par rapport à l'année 2014 (avantage / engagement économique)</t>
  </si>
  <si>
    <t>Charges de prévoyance dans les charges de personnnel</t>
  </si>
  <si>
    <t>Produits de refinancement dans la rubrique "Produit des intérêts et des escomptes"</t>
  </si>
  <si>
    <t>Le produit des intérêts et des escomptes n'est pas crédité de coûts de refinancement des opérations de négoce.</t>
  </si>
  <si>
    <t>Les intérêts négatifs concernant les opérations actives sont présentés comme réduction du produit des intérêts et des escomptes, et les intérêts négatifs concernant les opérations passives comme réduction des charges d’intérêts.</t>
  </si>
  <si>
    <t>Intérêts négatifs concernant les opérations actives (réduction du produit des intérêts et des escomptes)</t>
  </si>
  <si>
    <t>Intérêts négatifs concernant les opérations passives (réduction des charges d’intérêts)</t>
  </si>
  <si>
    <t>Au 31 décembre 2015, il n’existait aucun litige significatif à l’encontre d’une entité du Groupe nécessitant une mention dans l’annexe aux états financiers.</t>
  </si>
  <si>
    <t>dont participations qualifiées</t>
  </si>
  <si>
    <t>Les avoirs administrés comprennent tous les avoirs de la clientèle ayant caractère de placement en dépôt auprès du Groupe ainsi que les avoirs de la clientèle déposés auprès de banques tierces mais administrés par les sociétés du Groupe. Ne sont pas compris les avoirs en dépôt auprès du Groupe, qui sont administrés par des tiers (avoirs en simple dépôt). Sont traités comme simples dépôts les avoirs de banques de même que ceux des directions de fonds pour lesquels les entités du Groupe CBH font exclusivement fonction de banques dépositaires.</t>
  </si>
  <si>
    <t>Les avoirs sous mandat de gestion comprennent les avoirs de la clientèle pour lesquels les décisions de placement sont prises par le Groupe. Les autres avoirs administrés sont ceux pour lesquels les décisions de placement sont prises par le client.</t>
  </si>
  <si>
    <t>Durant l’exercice 2015, CBH Holding SA a acquis la société TTG (HK) Ltd. Au 31 décembre 2015, le Groupe a procédé à un changement de périmètre de consolidation et les participations détenues par CBH Holding SA dans les filiales CBH (Europe) Limited et TTG (HK) Ltd ont été cédées à CBH Compagnie Bancaire Helvétique SA pour un total d’avoirs administrés de CHF 280,7 millions. Ce changement est publié sous «Autres effets ».</t>
  </si>
  <si>
    <t>Le Groupe détermine le montant net d’argent frais en se basant sur les apports et retraits de fonds ainsi que de valeurs patrimoniales de la clientèle.  Le montant net d’argent frais s’entend hors variations liées au marché, aux cours de change et ne tient pas compte des d'intérêts et dividendes. Les frais et commissions sont considérés comme des apports/retraits.</t>
  </si>
  <si>
    <t>Adaptations de valeur relatives aux avantages et engagements économiques découlant des institutions de prévoyance</t>
  </si>
  <si>
    <t>Au cours de l'exercice sous revue, le Groupe n'a enregistré aucunes pertes ni produits extraordinaires significatives. De même qu'aucune dissolution de réserves latentes, de réserves pour risques bancaires généraux et provisions devenus libres n'a été enregistrée.</t>
  </si>
  <si>
    <t>Durant l'année 2015, le Groupe a enregistré un Goodwill en relation avec l'acquisition de la clientèle BPES d'un montant de CHF 1,35 mios. Ce dernier a été entièrement amorti au cours de l'exercice sous le poste "Correctifs de valeurs sur participations, amortissements sur immobilisations et valeurs immatérielles".</t>
  </si>
  <si>
    <t>La Banque loue l'immeuble qu'elle occupe au Bd Jaques-Dalcroze selon un contrat de bail pour une durée initiale de 15 ans à partir du 1er avril 2010. Au 31 décembre 2015, la valeur comptable des travaux de transformation dans cet immeuble s'élevait à CHF 7,3 millions (2014: CHF 6,9 millions).</t>
  </si>
  <si>
    <t xml:space="preserve"> dont établis au moyen d'un modèle d'évaluation</t>
  </si>
  <si>
    <t>Swaps</t>
  </si>
  <si>
    <t>Avoirs administrés</t>
  </si>
  <si>
    <t>Genre d'avoirs administrés</t>
  </si>
  <si>
    <t>Durant l'exercice 2014, le Groupe a repris d'une banque suisse pour CHF 922'974 d'avoirs administrés. Cette reprise est publiée sous "Autres effets".</t>
  </si>
  <si>
    <t>Engagements envers les propres institutions de pévoyance professionnelle</t>
  </si>
  <si>
    <t>Valeurs de remplacement négatives d’instruments financiers dérivés</t>
  </si>
  <si>
    <t>Comptes de régularisation passifs</t>
  </si>
  <si>
    <t>Aucune réserve de contribution de l’employeur n’existe à la date du bilan (2014: aucune).</t>
  </si>
  <si>
    <t>Plan de prévoyance avec excédent</t>
  </si>
  <si>
    <t>Cotisations total versées CHF 3'044'200</t>
  </si>
  <si>
    <t>Les chiffres présentés relatifs à l'année 2015 n'ont pas été audités à la date de publication du présent rapport.</t>
  </si>
  <si>
    <t>Trois plans de prévoyance sont accessibles aux collaborateurs de la Banque et pour lesquels le financement est assuré aussi bien par l'employeur que par l'employé. Seul la contribution de l'employé varie en fonction du plan choisi.</t>
  </si>
  <si>
    <t xml:space="preserve">L’institution de prévoyance  établit ses comptes selon les recommandations de présentation des comptes Swiss GAAP RPC 26. </t>
  </si>
  <si>
    <r>
      <t xml:space="preserve">En date du 31.12.2015, le degré de couverture s'élève à 106% (2014: 114,12%).  </t>
    </r>
    <r>
      <rPr>
        <sz val="12"/>
        <color theme="4" tint="-0.249977111117893"/>
        <rFont val="Corbel"/>
        <family val="2"/>
      </rPr>
      <t>Il n’existe, à cette date, aucun avantage ou engagement économique (2014: aucun).</t>
    </r>
  </si>
  <si>
    <t>La prévoyance de retraite couvrant l’ensemble du personnel de la Banque en Suisse repose sur un plan de prévoyance en primauté des cotisations. Les avoirs de prévoyance sont détenus par la fondation de prévoyance en faveur du personnel de CBH Compagnie Bancaire Helvétique SA et sociétés affiliées, une fondation semi-autonome.</t>
  </si>
  <si>
    <t>Filiales à l'étranger</t>
  </si>
  <si>
    <t>Les collaborateurs du Groupe employés auprès des filiales à l'étranger bénéficient d'un plan de prévoyance leurs garantissant des prestations en cas de retraite, de décès et d'incapacité. Les institutions de prévoyance concernées sont indépendantes du Groupe CBH et sont financées par les cotisations des employés et des employeurs. Les contributions de l'employeur aux Institutions étatiques, Institutions de prévoyance ou assurances sont enregistrées comme charges courantes de l'exercice auxquelles les activités des employés sont rattachés.</t>
  </si>
  <si>
    <t>Avantage / engagement économique et charges de prévoyance</t>
  </si>
  <si>
    <t>Taux d'imposition moyen pondéré</t>
  </si>
  <si>
    <t>Remus Investments Ltd</t>
  </si>
  <si>
    <t>Castor Management Ltd</t>
  </si>
  <si>
    <t>Pollux Corporate Services Ltd</t>
  </si>
  <si>
    <t>Société de fiducie</t>
  </si>
  <si>
    <t>Tableau des flux de trésorerie consolidé</t>
  </si>
  <si>
    <t>Previous year</t>
  </si>
  <si>
    <t>Entreprises dans lesquelles le Groupe détient une participation permanente significative, directe ou indirecte</t>
  </si>
  <si>
    <t>Part au capital</t>
  </si>
  <si>
    <t>Part aux voix</t>
  </si>
  <si>
    <t>Valeurs comptables</t>
  </si>
  <si>
    <t>Instruments de capitaux propres du Groupe</t>
  </si>
  <si>
    <t>L'institution de prévoyance ne détient pas d'instruments de capitaux propres du Groupe.</t>
  </si>
  <si>
    <t>Comptes de régularisation (actif)</t>
  </si>
  <si>
    <t>Comptes de régularisation (passif)</t>
  </si>
  <si>
    <t>Tableau des flux de trésorerie consolidé (suite)</t>
  </si>
  <si>
    <t>Engagements résultant des autres instruments financiers évalués à la juste valeur</t>
  </si>
  <si>
    <t>Excédent / insuffisance de couverture au</t>
  </si>
  <si>
    <t>Cotisations payées pour</t>
  </si>
  <si>
    <t>Avoirs détenus par des instruments de placement collectifs sous gestion propre (groupe)</t>
  </si>
  <si>
    <t>+/- Apports / (retraits) nets d’argent frais</t>
  </si>
  <si>
    <t>+/- Evolution des cours, intérêts, dividendes et évolution de change</t>
  </si>
  <si>
    <t>+/- Autres effets</t>
  </si>
  <si>
    <t>Total autres participations</t>
  </si>
  <si>
    <t>Total avant / après prise en compte des contrats de netting</t>
  </si>
  <si>
    <t>Amortissements cumulés (participations)</t>
  </si>
  <si>
    <t>Amortissements (participations)</t>
  </si>
  <si>
    <t>Résultat des opérations de négoce</t>
  </si>
  <si>
    <t>Ratio CET1 - fonds propres de base durs</t>
  </si>
  <si>
    <t>Ratio TIER1 - fonds propres (CET1 + AT1)</t>
  </si>
  <si>
    <t>Ratio relatif aux fonds propres réglementaires totaux</t>
  </si>
  <si>
    <t>Ratio de liquidité</t>
  </si>
  <si>
    <t>Exigences en CET1 selon les dispositions transitoires de l’OFR</t>
  </si>
  <si>
    <t>CET1 disponible afin de couvrir les exigences minimales et les exigences en volants, après déduction des exigences en AT1 et T2 qui sont couvertes par du CET1</t>
  </si>
  <si>
    <t>Objectif du CET 1 selon Circ.-FINMA 11/2 majoré du volant anticyclique</t>
  </si>
  <si>
    <t>CET1 disponible</t>
  </si>
  <si>
    <t>Objectif de fonds propres T1 selon Circ.-FINMA 11/2 majoré du volant anticyclique</t>
  </si>
  <si>
    <t>T1 disponible</t>
  </si>
  <si>
    <t>Objectif de fonds propres réglementaires selon Circ.-FINMA 11/2 majoré du volant anticyclique</t>
  </si>
  <si>
    <t>Fonds propres réglementaires disponibles</t>
  </si>
  <si>
    <t>Ratio de levier</t>
  </si>
  <si>
    <t>Engagement total</t>
  </si>
  <si>
    <t>Ratio de liquidité à court terme (LCR)</t>
  </si>
  <si>
    <t>Total des sorties nettes de fonds</t>
  </si>
  <si>
    <t>Total des actifs liquides de haute qualité</t>
  </si>
  <si>
    <t>Le Groupe détient 10 participations non significatives et toutes actives dans le secteur financier.</t>
  </si>
  <si>
    <t>Informations relatives aux exigences de fonds propres</t>
  </si>
  <si>
    <t>Ratios de fonds propres</t>
  </si>
  <si>
    <t>Informations relatives aux ratios de fonds propres, ratio de liquidité à court terme (LCR) et au ratio de levier</t>
  </si>
  <si>
    <t xml:space="preserve">Q4 2015
</t>
  </si>
  <si>
    <t xml:space="preserve">Q3 2015
</t>
  </si>
  <si>
    <t xml:space="preserve">Q2 2015
</t>
  </si>
  <si>
    <t xml:space="preserve">Q1 2015
</t>
  </si>
  <si>
    <t>Moyenne</t>
  </si>
  <si>
    <t>Actifs / instruments financiers</t>
  </si>
  <si>
    <t>Capital social (Company capital) (milliers)</t>
  </si>
  <si>
    <t>Structure des échéances des instruments financiers dérivés</t>
  </si>
  <si>
    <t>Actifs et passifs répartis entre la Suisse et l’étranger</t>
  </si>
  <si>
    <t>Actifs repartis par pays / groupes de pays</t>
  </si>
  <si>
    <t>Présentation des instruments financiers dérivés (actifs et passifs)</t>
  </si>
  <si>
    <t>Valeurs de remplacement positives (avant/après prise en compte des contrats de netting)</t>
  </si>
  <si>
    <t>Titres de créance, valeur comptable</t>
  </si>
  <si>
    <t>Les notations présentées ci-dessus sont celles de l'agence Fitch. A défaut, le Groupe recourt aux notations de l'agence S&amp;P.</t>
  </si>
  <si>
    <t>SCS Produits Financiers SA, Lausanne</t>
  </si>
  <si>
    <t>CBH Asset Management Bermuda Ltd</t>
  </si>
  <si>
    <t>Romulus Investments Ltd</t>
  </si>
  <si>
    <t>* Ces entités n’ont pas été consolidées eu égard à leur caractère non significatif.</t>
  </si>
  <si>
    <t>Engagement envers les propres institutions de prévoyance professionnelle ainsi que du nombre et du type d'instruments de capitaux propres de la Banque détenus par ces institutions</t>
  </si>
  <si>
    <t>Nombre et valeur des droits de participations ou des options sur de tels droits accordés à tous les membres des organes de direction et d'administration ainsi qu'aux collaborateurs</t>
  </si>
  <si>
    <t>Membres du conseil d'administration</t>
  </si>
  <si>
    <t>Membres des organes de direction</t>
  </si>
  <si>
    <t>* La Groupe utilise son propre système de notation interne en matière de risques souverains, ces ratings sont présentés ci-dessus avec les correspondances des ratings de l'agence S&amp;P.</t>
  </si>
  <si>
    <r>
      <t xml:space="preserve"> - </t>
    </r>
    <r>
      <rPr>
        <i/>
        <sz val="12"/>
        <color rgb="FF00B050"/>
        <rFont val="Corbel"/>
        <family val="2"/>
      </rPr>
      <t>dont charges en relation avec les rémunérations basées sur les actions et les formes alternatives de la rémunération variable</t>
    </r>
  </si>
  <si>
    <t>Risques de cours relatifs aux titres de participation dans le portefeuille du Groupe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</si>
</sst>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 _f_r_._-;\-* #,##0\ _f_r_._-;_-* &quot;-&quot;\ _f_r_._-;_-@_-"/>
    <numFmt numFmtId="165" formatCode="_(* #,##0.00_);_(* \(#,##0.00\);_(* &quot;-&quot;??_);_(@_)"/>
    <numFmt numFmtId="166" formatCode="#,##0.00_ ;[Red]\-#,##0.00\ "/>
    <numFmt numFmtId="167" formatCode="#,##0.00_ ;\-#,##0.00\ "/>
    <numFmt numFmtId="168" formatCode="#,##0_ ;\-#,##0\ "/>
    <numFmt numFmtId="169" formatCode="#,##0_ ;[Red]\-#,##0\ "/>
  </numFmts>
  <fonts count="84" x14ac:knownFonts="1">
    <font>
      <sz val="12"/>
      <color theme="1"/>
      <name val="Calibri"/>
      <family val="2"/>
      <scheme val="minor"/>
    </font>
    <font>
      <sz val="12"/>
      <color theme="1"/>
      <name val="Calibri"/>
      <family val="2"/>
      <scheme val="minor"/>
    </font>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b/>
      <i/>
      <sz val="12"/>
      <color theme="4" tint="-0.249977111117893"/>
      <name val="Calibri"/>
      <family val="2"/>
      <scheme val="minor"/>
    </font>
    <font>
      <sz val="10"/>
      <color theme="1" tint="0.34998626667073579"/>
      <name val="Consolas"/>
      <family val="3"/>
    </font>
    <font>
      <b/>
      <sz val="10"/>
      <color rgb="FFFF0000"/>
      <name val="Consolas"/>
      <family val="3"/>
    </font>
    <font>
      <sz val="14"/>
      <color rgb="FFFF0000"/>
      <name val="Consolas"/>
      <family val="3"/>
    </font>
    <font>
      <b/>
      <i/>
      <sz val="14"/>
      <color rgb="FFFF0000"/>
      <name val="Calibri"/>
      <family val="2"/>
      <scheme val="minor"/>
    </font>
    <font>
      <i/>
      <sz val="7"/>
      <color theme="9"/>
      <name val="Consolas"/>
      <family val="3"/>
    </font>
    <font>
      <i/>
      <sz val="8"/>
      <color theme="4" tint="-0.249977111117893"/>
      <name val="Calibri"/>
      <family val="2"/>
      <scheme val="minor"/>
    </font>
    <font>
      <sz val="10"/>
      <color theme="4" tint="-0.249977111117893"/>
      <name val="Calibri"/>
      <family val="2"/>
      <scheme val="minor"/>
    </font>
    <font>
      <sz val="10"/>
      <color theme="1"/>
      <name val="Consolas"/>
      <family val="3"/>
    </font>
    <font>
      <sz val="10"/>
      <name val="MS Sans Serif"/>
      <family val="2"/>
    </font>
    <font>
      <sz val="8"/>
      <name val="Calibri"/>
      <family val="2"/>
      <scheme val="minor"/>
    </font>
    <font>
      <b/>
      <i/>
      <sz val="14"/>
      <color theme="4" tint="-0.249977111117893"/>
      <name val="Corbel"/>
      <family val="2"/>
    </font>
    <font>
      <sz val="12"/>
      <color theme="1"/>
      <name val="Corbel"/>
      <family val="2"/>
    </font>
    <font>
      <b/>
      <sz val="12"/>
      <color theme="4" tint="-0.249977111117893"/>
      <name val="Corbel"/>
      <family val="2"/>
    </font>
    <font>
      <b/>
      <sz val="12"/>
      <color theme="1"/>
      <name val="Corbel"/>
      <family val="2"/>
    </font>
    <font>
      <sz val="12"/>
      <color theme="4" tint="-0.249977111117893"/>
      <name val="Corbel"/>
      <family val="2"/>
    </font>
    <font>
      <sz val="12"/>
      <color theme="1"/>
      <name val="Consolas"/>
      <family val="3"/>
    </font>
    <font>
      <sz val="12"/>
      <color theme="0" tint="-0.499984740745262"/>
      <name val="Consolas"/>
      <family val="3"/>
    </font>
    <font>
      <b/>
      <sz val="12"/>
      <color theme="1"/>
      <name val="Consolas"/>
      <family val="3"/>
    </font>
    <font>
      <b/>
      <sz val="12"/>
      <color theme="0" tint="-0.499984740745262"/>
      <name val="Consolas"/>
      <family val="3"/>
    </font>
    <font>
      <i/>
      <sz val="10"/>
      <color theme="4" tint="-0.249977111117893"/>
      <name val="Corbel"/>
      <family val="2"/>
    </font>
    <font>
      <i/>
      <sz val="10"/>
      <color theme="4" tint="-0.249977111117893"/>
      <name val="Consolas"/>
      <family val="3"/>
    </font>
    <font>
      <b/>
      <sz val="14"/>
      <color theme="4" tint="-0.249977111117893"/>
      <name val="Corbel"/>
      <family val="2"/>
    </font>
    <font>
      <sz val="12"/>
      <color theme="0" tint="-0.249977111117893"/>
      <name val="Corbel"/>
      <family val="2"/>
    </font>
    <font>
      <i/>
      <sz val="10"/>
      <color theme="4" tint="0.39997558519241921"/>
      <name val="Consolas"/>
      <family val="3"/>
    </font>
    <font>
      <sz val="12"/>
      <color rgb="FF000000"/>
      <name val="Consolas"/>
      <family val="3"/>
    </font>
    <font>
      <sz val="12"/>
      <color rgb="FF808080"/>
      <name val="Consolas"/>
      <family val="3"/>
    </font>
    <font>
      <sz val="12"/>
      <color theme="1" tint="0.499984740745262"/>
      <name val="Corbel"/>
      <family val="2"/>
    </font>
    <font>
      <sz val="12"/>
      <color theme="1" tint="0.499984740745262"/>
      <name val="Consolas"/>
      <family val="3"/>
    </font>
    <font>
      <i/>
      <sz val="10"/>
      <color theme="4" tint="0.39997558519241921"/>
      <name val="Corbel"/>
      <family val="2"/>
    </font>
    <font>
      <b/>
      <i/>
      <sz val="10"/>
      <color theme="4" tint="-0.249977111117893"/>
      <name val="Corbel"/>
      <family val="2"/>
    </font>
    <font>
      <sz val="12"/>
      <color theme="4" tint="-0.249977111117893"/>
      <name val="Consolas"/>
      <family val="3"/>
    </font>
    <font>
      <sz val="12"/>
      <color theme="0" tint="-0.34998626667073579"/>
      <name val="Consolas"/>
      <family val="3"/>
    </font>
    <font>
      <b/>
      <sz val="12"/>
      <color theme="4" tint="-0.249977111117893"/>
      <name val="Consolas"/>
      <family val="3"/>
    </font>
    <font>
      <i/>
      <sz val="10"/>
      <color theme="1"/>
      <name val="Corbel"/>
      <family val="2"/>
    </font>
    <font>
      <b/>
      <i/>
      <sz val="10"/>
      <color theme="1"/>
      <name val="Corbel"/>
      <family val="2"/>
    </font>
    <font>
      <sz val="12"/>
      <color theme="4" tint="0.39997558519241921"/>
      <name val="Corbel"/>
      <family val="2"/>
    </font>
    <font>
      <b/>
      <sz val="12"/>
      <color rgb="FF000000"/>
      <name val="Consolas"/>
      <family val="3"/>
    </font>
    <font>
      <b/>
      <sz val="12"/>
      <color rgb="FF808080"/>
      <name val="Consolas"/>
      <family val="3"/>
    </font>
    <font>
      <sz val="18"/>
      <color theme="4" tint="-0.249977111117893"/>
      <name val="Corbel"/>
      <family val="2"/>
    </font>
    <font>
      <i/>
      <sz val="12"/>
      <color theme="1"/>
      <name val="Corbel"/>
      <family val="2"/>
    </font>
    <font>
      <sz val="12"/>
      <color theme="0" tint="-0.499984740745262"/>
      <name val="Corbel"/>
      <family val="2"/>
    </font>
    <font>
      <b/>
      <sz val="14"/>
      <color rgb="FFFF0000"/>
      <name val="Corbel"/>
      <family val="2"/>
    </font>
    <font>
      <i/>
      <sz val="10"/>
      <color rgb="FFFF0000"/>
      <name val="Consolas"/>
      <family val="3"/>
    </font>
    <font>
      <sz val="12"/>
      <color rgb="FFFF0000"/>
      <name val="Corbel"/>
      <family val="2"/>
    </font>
    <font>
      <i/>
      <sz val="10"/>
      <color rgb="FFFF0000"/>
      <name val="Corbel"/>
      <family val="2"/>
    </font>
    <font>
      <strike/>
      <sz val="12"/>
      <color rgb="FFFF0000"/>
      <name val="Cambria"/>
      <family val="1"/>
    </font>
    <font>
      <sz val="12"/>
      <color rgb="FF00B050"/>
      <name val="Corbel"/>
      <family val="2"/>
    </font>
    <font>
      <sz val="12"/>
      <color rgb="FF00B050"/>
      <name val="Consolas"/>
      <family val="3"/>
    </font>
    <font>
      <b/>
      <sz val="12"/>
      <color rgb="FF00B050"/>
      <name val="Corbel"/>
      <family val="2"/>
    </font>
    <font>
      <b/>
      <sz val="12"/>
      <color rgb="FF00B050"/>
      <name val="Consolas"/>
      <family val="3"/>
    </font>
    <font>
      <b/>
      <sz val="12"/>
      <color rgb="FFFF0000"/>
      <name val="Corbel"/>
      <family val="2"/>
    </font>
    <font>
      <b/>
      <strike/>
      <sz val="12"/>
      <color rgb="FFFF0000"/>
      <name val="Cambria"/>
      <family val="1"/>
    </font>
    <font>
      <sz val="9"/>
      <color indexed="81"/>
      <name val="Tahoma"/>
      <family val="2"/>
    </font>
    <font>
      <b/>
      <sz val="9"/>
      <color indexed="81"/>
      <name val="Tahoma"/>
      <family val="2"/>
    </font>
    <font>
      <b/>
      <sz val="14"/>
      <color rgb="FF00B050"/>
      <name val="Corbel"/>
      <family val="2"/>
    </font>
    <font>
      <sz val="10"/>
      <color theme="4" tint="-0.249977111117893"/>
      <name val="Consolas"/>
      <family val="3"/>
    </font>
    <font>
      <b/>
      <i/>
      <sz val="14"/>
      <color rgb="FFFF0000"/>
      <name val="Corbel"/>
      <family val="2"/>
    </font>
    <font>
      <i/>
      <sz val="10"/>
      <color rgb="FF00B050"/>
      <name val="Corbel"/>
      <family val="2"/>
    </font>
    <font>
      <b/>
      <i/>
      <sz val="14"/>
      <color rgb="FF00B050"/>
      <name val="Corbel"/>
      <family val="2"/>
    </font>
    <font>
      <sz val="18"/>
      <color rgb="FFFF0000"/>
      <name val="Corbel"/>
      <family val="2"/>
    </font>
    <font>
      <sz val="12"/>
      <color theme="4" tint="-0.249977111117893"/>
      <name val="Calibri"/>
      <family val="2"/>
      <scheme val="minor"/>
    </font>
    <font>
      <b/>
      <strike/>
      <sz val="14"/>
      <color rgb="FFFF0000"/>
      <name val="Corbel"/>
      <family val="2"/>
    </font>
    <font>
      <b/>
      <strike/>
      <sz val="14"/>
      <color rgb="FFFF0000"/>
      <name val="Cambria"/>
      <family val="1"/>
    </font>
    <font>
      <i/>
      <strike/>
      <sz val="10"/>
      <color rgb="FFFF0000"/>
      <name val="Cambria"/>
      <family val="1"/>
    </font>
    <font>
      <i/>
      <sz val="12"/>
      <color rgb="FF00B050"/>
      <name val="Corbel"/>
      <family val="2"/>
    </font>
    <font>
      <i/>
      <sz val="12"/>
      <color theme="1"/>
      <name val="Consolas"/>
      <family val="3"/>
    </font>
    <font>
      <i/>
      <sz val="12"/>
      <color theme="0" tint="-0.499984740745262"/>
      <name val="Consolas"/>
      <family val="3"/>
    </font>
    <font>
      <sz val="18"/>
      <color theme="9"/>
      <name val="Corbel"/>
      <family val="2"/>
    </font>
    <font>
      <i/>
      <sz val="12"/>
      <color theme="4" tint="-0.249977111117893"/>
      <name val="Corbel"/>
      <family val="2"/>
    </font>
    <font>
      <sz val="12"/>
      <color theme="4" tint="0.39997558519241921"/>
      <name val="Calibri"/>
      <family val="2"/>
    </font>
    <font>
      <sz val="11"/>
      <color theme="1"/>
      <name val="Arial"/>
      <family val="2"/>
    </font>
    <font>
      <sz val="14"/>
      <color theme="4" tint="-0.249977111117893"/>
      <name val="Corbel"/>
      <family val="2"/>
    </font>
    <font>
      <b/>
      <i/>
      <sz val="12"/>
      <color theme="4" tint="-0.249977111117893"/>
      <name val="Corbel"/>
      <family val="2"/>
    </font>
    <font>
      <b/>
      <strike/>
      <sz val="12"/>
      <color rgb="FFFF0000"/>
      <name val="Corbel"/>
      <family val="2"/>
    </font>
    <font>
      <i/>
      <sz val="12"/>
      <color theme="4" tint="-0.249977111117893"/>
      <name val="Consolas"/>
      <family val="3"/>
    </font>
    <font>
      <b/>
      <i/>
      <sz val="12"/>
      <color theme="1"/>
      <name val="Consolas"/>
      <family val="3"/>
    </font>
    <font>
      <b/>
      <sz val="12"/>
      <color theme="3"/>
      <name val="Corbel"/>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style="thin">
        <color theme="4" tint="0.59999389629810485"/>
      </top>
      <bottom style="thin">
        <color theme="4" tint="0.59999389629810485"/>
      </bottom>
      <diagonal/>
    </border>
    <border>
      <left/>
      <right/>
      <top style="thin">
        <color rgb="FFB8CCE4"/>
      </top>
      <bottom style="thin">
        <color rgb="FFB8CCE4"/>
      </bottom>
      <diagonal/>
    </border>
    <border>
      <left/>
      <right/>
      <top/>
      <bottom style="thin">
        <color theme="4" tint="0.59999389629810485"/>
      </bottom>
      <diagonal/>
    </border>
    <border>
      <left/>
      <right/>
      <top style="thin">
        <color theme="4" tint="0.59999389629810485"/>
      </top>
      <bottom style="thin">
        <color theme="4" tint="-0.249977111117893"/>
      </bottom>
      <diagonal/>
    </border>
    <border>
      <left/>
      <right/>
      <top style="thin">
        <color theme="4" tint="0.59999389629810485"/>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133">
    <xf numFmtId="0" fontId="0" fillId="0" borderId="0"/>
    <xf numFmtId="165"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lignment horizontal="left"/>
    </xf>
    <xf numFmtId="0" fontId="7" fillId="0" borderId="0"/>
    <xf numFmtId="4" fontId="11" fillId="0" borderId="0"/>
    <xf numFmtId="49" fontId="12" fillId="0" borderId="1">
      <alignment horizontal="right" wrapText="1"/>
    </xf>
    <xf numFmtId="0" fontId="13" fillId="0" borderId="1">
      <alignment horizontal="left"/>
    </xf>
    <xf numFmtId="3" fontId="14" fillId="0" borderId="1">
      <alignment horizontal="right"/>
    </xf>
    <xf numFmtId="0" fontId="15"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5"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8">
    <xf numFmtId="0" fontId="0" fillId="0" borderId="0" xfId="0"/>
    <xf numFmtId="0" fontId="6" fillId="0" borderId="0" xfId="4">
      <alignment horizontal="left"/>
    </xf>
    <xf numFmtId="0" fontId="8" fillId="0" borderId="0" xfId="5" applyFont="1"/>
    <xf numFmtId="0" fontId="9" fillId="0" borderId="0" xfId="5" applyFont="1"/>
    <xf numFmtId="0" fontId="10" fillId="0" borderId="0" xfId="5" applyFont="1" applyAlignment="1">
      <alignment horizontal="right"/>
    </xf>
    <xf numFmtId="0" fontId="9" fillId="0" borderId="0" xfId="5" applyFont="1" applyAlignment="1">
      <alignment horizontal="right"/>
    </xf>
    <xf numFmtId="0" fontId="17" fillId="0" borderId="0" xfId="4" applyNumberFormat="1" applyFont="1" applyFill="1">
      <alignment horizontal="left"/>
    </xf>
    <xf numFmtId="4" fontId="18" fillId="0" borderId="0" xfId="1" applyNumberFormat="1" applyFont="1" applyFill="1"/>
    <xf numFmtId="0" fontId="18" fillId="0" borderId="0" xfId="0" applyFont="1" applyFill="1"/>
    <xf numFmtId="49" fontId="19" fillId="0" borderId="1" xfId="8" applyNumberFormat="1" applyFont="1" applyFill="1">
      <alignment horizontal="left"/>
    </xf>
    <xf numFmtId="0" fontId="20" fillId="0" borderId="0" xfId="0" applyFont="1" applyFill="1"/>
    <xf numFmtId="49" fontId="18" fillId="0" borderId="0" xfId="0" applyNumberFormat="1" applyFont="1" applyFill="1"/>
    <xf numFmtId="49" fontId="21" fillId="0" borderId="1" xfId="8" applyNumberFormat="1" applyFont="1" applyFill="1">
      <alignment horizontal="left"/>
    </xf>
    <xf numFmtId="4" fontId="22" fillId="0" borderId="1" xfId="9" applyNumberFormat="1" applyFont="1" applyFill="1">
      <alignment horizontal="right"/>
    </xf>
    <xf numFmtId="4" fontId="23" fillId="0" borderId="1" xfId="9" applyNumberFormat="1" applyFont="1" applyFill="1">
      <alignment horizontal="right"/>
    </xf>
    <xf numFmtId="4" fontId="24" fillId="0" borderId="1" xfId="9" applyNumberFormat="1" applyFont="1" applyFill="1">
      <alignment horizontal="right"/>
    </xf>
    <xf numFmtId="0" fontId="26" fillId="0" borderId="1" xfId="1" applyNumberFormat="1" applyFont="1" applyFill="1" applyBorder="1" applyAlignment="1">
      <alignment horizontal="right" wrapText="1"/>
    </xf>
    <xf numFmtId="0" fontId="27" fillId="0" borderId="1" xfId="1" applyNumberFormat="1" applyFont="1" applyFill="1" applyBorder="1" applyAlignment="1">
      <alignment horizontal="right" wrapText="1"/>
    </xf>
    <xf numFmtId="4" fontId="27" fillId="0" borderId="1" xfId="7" applyNumberFormat="1" applyFont="1" applyFill="1">
      <alignment horizontal="right" wrapText="1"/>
    </xf>
    <xf numFmtId="49" fontId="28" fillId="0" borderId="1" xfId="8" applyNumberFormat="1" applyFont="1" applyFill="1">
      <alignment horizontal="left"/>
    </xf>
    <xf numFmtId="49" fontId="21" fillId="0" borderId="1" xfId="8" applyNumberFormat="1" applyFont="1" applyFill="1" applyAlignment="1">
      <alignment horizontal="left" indent="1"/>
    </xf>
    <xf numFmtId="49" fontId="21" fillId="0" borderId="1" xfId="8" applyNumberFormat="1" applyFont="1" applyFill="1" applyAlignment="1">
      <alignment horizontal="left"/>
    </xf>
    <xf numFmtId="4" fontId="30" fillId="0" borderId="1" xfId="7" applyNumberFormat="1" applyFont="1" applyFill="1">
      <alignment horizontal="right" wrapText="1"/>
    </xf>
    <xf numFmtId="49" fontId="19" fillId="0" borderId="1" xfId="8" applyNumberFormat="1" applyFont="1" applyFill="1" applyAlignment="1">
      <alignment horizontal="right"/>
    </xf>
    <xf numFmtId="3" fontId="22" fillId="0" borderId="1" xfId="9" applyNumberFormat="1" applyFont="1" applyFill="1">
      <alignment horizontal="right"/>
    </xf>
    <xf numFmtId="3" fontId="23" fillId="0" borderId="1" xfId="9" applyNumberFormat="1" applyFont="1" applyFill="1">
      <alignment horizontal="right"/>
    </xf>
    <xf numFmtId="3" fontId="24" fillId="0" borderId="1" xfId="9" applyNumberFormat="1" applyFont="1" applyFill="1">
      <alignment horizontal="right"/>
    </xf>
    <xf numFmtId="3" fontId="25" fillId="0" borderId="1" xfId="9" applyNumberFormat="1" applyFont="1" applyFill="1">
      <alignment horizontal="right"/>
    </xf>
    <xf numFmtId="3" fontId="18" fillId="0" borderId="0" xfId="0" applyNumberFormat="1" applyFont="1" applyFill="1"/>
    <xf numFmtId="3" fontId="18" fillId="0" borderId="0" xfId="1" applyNumberFormat="1" applyFont="1" applyFill="1"/>
    <xf numFmtId="0" fontId="29" fillId="0" borderId="0" xfId="0" applyFont="1" applyFill="1"/>
    <xf numFmtId="3" fontId="32" fillId="0" borderId="2" xfId="0" applyNumberFormat="1" applyFont="1" applyBorder="1" applyAlignment="1">
      <alignment horizontal="right"/>
    </xf>
    <xf numFmtId="49" fontId="21" fillId="0" borderId="1" xfId="8" applyNumberFormat="1" applyFont="1" applyFill="1" applyAlignment="1">
      <alignment horizontal="left" indent="2"/>
    </xf>
    <xf numFmtId="0" fontId="19" fillId="0" borderId="1" xfId="8" applyNumberFormat="1" applyFont="1" applyFill="1">
      <alignment horizontal="left"/>
    </xf>
    <xf numFmtId="0" fontId="33" fillId="0" borderId="1" xfId="8" applyNumberFormat="1" applyFont="1" applyFill="1">
      <alignment horizontal="left"/>
    </xf>
    <xf numFmtId="3" fontId="34" fillId="0" borderId="1" xfId="9" applyNumberFormat="1" applyFont="1" applyFill="1">
      <alignment horizontal="right"/>
    </xf>
    <xf numFmtId="0" fontId="33" fillId="0" borderId="0" xfId="0" applyFont="1" applyFill="1"/>
    <xf numFmtId="0" fontId="35" fillId="0" borderId="1" xfId="1" applyNumberFormat="1" applyFont="1" applyFill="1" applyBorder="1" applyAlignment="1">
      <alignment horizontal="right" wrapText="1"/>
    </xf>
    <xf numFmtId="4" fontId="35" fillId="0" borderId="1" xfId="7" applyNumberFormat="1" applyFont="1" applyFill="1">
      <alignment horizontal="right" wrapText="1"/>
    </xf>
    <xf numFmtId="0" fontId="26" fillId="0" borderId="3" xfId="1" applyNumberFormat="1" applyFont="1" applyFill="1" applyBorder="1" applyAlignment="1">
      <alignment horizontal="right" wrapText="1"/>
    </xf>
    <xf numFmtId="0" fontId="36" fillId="0" borderId="3" xfId="1" applyNumberFormat="1" applyFont="1" applyFill="1" applyBorder="1" applyAlignment="1">
      <alignment horizontal="right" wrapText="1"/>
    </xf>
    <xf numFmtId="3" fontId="37" fillId="0" borderId="1" xfId="9" applyNumberFormat="1" applyFont="1" applyFill="1">
      <alignment horizontal="right"/>
    </xf>
    <xf numFmtId="3" fontId="38" fillId="0" borderId="1" xfId="9" applyNumberFormat="1" applyFont="1" applyFill="1">
      <alignment horizontal="right"/>
    </xf>
    <xf numFmtId="3" fontId="39" fillId="0" borderId="1" xfId="9" applyNumberFormat="1" applyFont="1" applyFill="1">
      <alignment horizontal="right"/>
    </xf>
    <xf numFmtId="0" fontId="40" fillId="0" borderId="1" xfId="1" applyNumberFormat="1" applyFont="1" applyFill="1" applyBorder="1" applyAlignment="1">
      <alignment horizontal="right" wrapText="1"/>
    </xf>
    <xf numFmtId="0" fontId="41" fillId="0" borderId="1" xfId="1" applyNumberFormat="1" applyFont="1" applyFill="1" applyBorder="1" applyAlignment="1">
      <alignment horizontal="right" wrapText="1"/>
    </xf>
    <xf numFmtId="0" fontId="42" fillId="0" borderId="1" xfId="8" applyNumberFormat="1" applyFont="1" applyFill="1">
      <alignment horizontal="left"/>
    </xf>
    <xf numFmtId="3" fontId="44" fillId="0" borderId="2" xfId="0" applyNumberFormat="1" applyFont="1" applyBorder="1" applyAlignment="1">
      <alignment horizontal="right"/>
    </xf>
    <xf numFmtId="0" fontId="45" fillId="0" borderId="0" xfId="4" applyNumberFormat="1" applyFont="1" applyFill="1">
      <alignment horizontal="left"/>
    </xf>
    <xf numFmtId="0" fontId="19" fillId="0" borderId="1" xfId="8" applyNumberFormat="1" applyFont="1" applyFill="1" applyAlignment="1">
      <alignment horizontal="left" indent="1"/>
    </xf>
    <xf numFmtId="0" fontId="42" fillId="0" borderId="1" xfId="8" applyNumberFormat="1" applyFont="1" applyFill="1" applyAlignment="1">
      <alignment horizontal="left" indent="1"/>
    </xf>
    <xf numFmtId="49" fontId="19" fillId="0" borderId="1" xfId="8" applyNumberFormat="1" applyFont="1" applyFill="1" applyAlignment="1">
      <alignment horizontal="left" indent="1"/>
    </xf>
    <xf numFmtId="4" fontId="25" fillId="0" borderId="1" xfId="9" applyNumberFormat="1" applyFont="1" applyFill="1">
      <alignment horizontal="right"/>
    </xf>
    <xf numFmtId="49" fontId="46" fillId="0" borderId="0" xfId="0" applyNumberFormat="1" applyFont="1" applyFill="1"/>
    <xf numFmtId="0" fontId="18" fillId="0" borderId="0" xfId="0" applyFont="1"/>
    <xf numFmtId="0" fontId="30" fillId="0" borderId="1" xfId="1" applyNumberFormat="1" applyFont="1" applyFill="1" applyBorder="1" applyAlignment="1">
      <alignment horizontal="right" wrapText="1"/>
    </xf>
    <xf numFmtId="49" fontId="48" fillId="0" borderId="1" xfId="8" applyNumberFormat="1" applyFont="1" applyFill="1">
      <alignment horizontal="left"/>
    </xf>
    <xf numFmtId="0" fontId="49" fillId="0" borderId="1" xfId="1" applyNumberFormat="1" applyFont="1" applyFill="1" applyBorder="1" applyAlignment="1">
      <alignment horizontal="right" wrapText="1"/>
    </xf>
    <xf numFmtId="0" fontId="50" fillId="0" borderId="0" xfId="0" applyFont="1" applyFill="1"/>
    <xf numFmtId="0" fontId="51" fillId="0" borderId="1" xfId="1" applyNumberFormat="1" applyFont="1" applyFill="1" applyBorder="1" applyAlignment="1">
      <alignment horizontal="right" wrapText="1"/>
    </xf>
    <xf numFmtId="0" fontId="17" fillId="0" borderId="0" xfId="4" applyNumberFormat="1" applyFont="1" applyFill="1" applyAlignment="1">
      <alignment horizontal="left" wrapText="1"/>
    </xf>
    <xf numFmtId="49" fontId="50" fillId="0" borderId="1" xfId="8" applyNumberFormat="1" applyFont="1" applyFill="1">
      <alignment horizontal="left"/>
    </xf>
    <xf numFmtId="49" fontId="52" fillId="0" borderId="1" xfId="8" applyNumberFormat="1" applyFont="1" applyFill="1">
      <alignment horizontal="left"/>
    </xf>
    <xf numFmtId="3" fontId="52" fillId="0" borderId="1" xfId="9" applyNumberFormat="1" applyFont="1" applyFill="1">
      <alignment horizontal="right"/>
    </xf>
    <xf numFmtId="0" fontId="18" fillId="0" borderId="0" xfId="0" applyFont="1" applyFill="1" applyAlignment="1">
      <alignment horizontal="right"/>
    </xf>
    <xf numFmtId="166" fontId="18" fillId="0" borderId="0" xfId="0" applyNumberFormat="1" applyFont="1" applyFill="1" applyAlignment="1">
      <alignment horizontal="right" wrapText="1"/>
    </xf>
    <xf numFmtId="167" fontId="18" fillId="0" borderId="0" xfId="0" applyNumberFormat="1" applyFont="1" applyFill="1"/>
    <xf numFmtId="166" fontId="18" fillId="0" borderId="0" xfId="0" applyNumberFormat="1" applyFont="1" applyFill="1"/>
    <xf numFmtId="166" fontId="29" fillId="0" borderId="0" xfId="0" applyNumberFormat="1" applyFont="1" applyFill="1"/>
    <xf numFmtId="166" fontId="20" fillId="0" borderId="0" xfId="0" applyNumberFormat="1" applyFont="1" applyFill="1"/>
    <xf numFmtId="49" fontId="53" fillId="0" borderId="1" xfId="8" applyNumberFormat="1" applyFont="1" applyFill="1">
      <alignment horizontal="left"/>
    </xf>
    <xf numFmtId="3" fontId="54" fillId="0" borderId="1" xfId="9" applyNumberFormat="1" applyFont="1" applyFill="1">
      <alignment horizontal="right"/>
    </xf>
    <xf numFmtId="49" fontId="55" fillId="0" borderId="1" xfId="8" applyNumberFormat="1" applyFont="1" applyFill="1">
      <alignment horizontal="left"/>
    </xf>
    <xf numFmtId="3" fontId="56" fillId="0" borderId="1" xfId="9" applyNumberFormat="1" applyFont="1" applyFill="1">
      <alignment horizontal="right"/>
    </xf>
    <xf numFmtId="49" fontId="50" fillId="0" borderId="1" xfId="8" applyNumberFormat="1" applyFont="1" applyFill="1" applyAlignment="1">
      <alignment horizontal="left" indent="1"/>
    </xf>
    <xf numFmtId="3" fontId="52" fillId="0" borderId="0" xfId="1" applyNumberFormat="1" applyFont="1" applyFill="1"/>
    <xf numFmtId="49" fontId="52" fillId="0" borderId="1" xfId="8" applyNumberFormat="1" applyFont="1" applyFill="1" applyAlignment="1">
      <alignment horizontal="left" indent="1"/>
    </xf>
    <xf numFmtId="2" fontId="18" fillId="0" borderId="0" xfId="0" applyNumberFormat="1" applyFont="1" applyFill="1" applyAlignment="1">
      <alignment horizontal="right" wrapText="1"/>
    </xf>
    <xf numFmtId="49" fontId="53" fillId="0" borderId="1" xfId="8" applyNumberFormat="1" applyFont="1" applyFill="1" applyAlignment="1">
      <alignment horizontal="left" wrapText="1"/>
    </xf>
    <xf numFmtId="49" fontId="53" fillId="0" borderId="1" xfId="8" applyNumberFormat="1" applyFont="1" applyFill="1" applyAlignment="1">
      <alignment horizontal="left"/>
    </xf>
    <xf numFmtId="49" fontId="57" fillId="0" borderId="1" xfId="8" applyNumberFormat="1" applyFont="1" applyFill="1">
      <alignment horizontal="left"/>
    </xf>
    <xf numFmtId="49" fontId="58" fillId="0" borderId="1" xfId="8" applyNumberFormat="1" applyFont="1" applyFill="1">
      <alignment horizontal="left"/>
    </xf>
    <xf numFmtId="3" fontId="58" fillId="0" borderId="1" xfId="9" applyNumberFormat="1" applyFont="1" applyFill="1">
      <alignment horizontal="right"/>
    </xf>
    <xf numFmtId="49" fontId="50" fillId="0" borderId="1" xfId="8" applyNumberFormat="1" applyFont="1" applyFill="1" applyAlignment="1">
      <alignment horizontal="left" wrapText="1"/>
    </xf>
    <xf numFmtId="3" fontId="18" fillId="0" borderId="0" xfId="578" applyNumberFormat="1" applyFont="1" applyFill="1"/>
    <xf numFmtId="3" fontId="22" fillId="0" borderId="1" xfId="9" applyNumberFormat="1" applyFont="1" applyFill="1" applyAlignment="1">
      <alignment horizontal="right" wrapText="1"/>
    </xf>
    <xf numFmtId="0" fontId="57" fillId="0" borderId="0" xfId="0" applyFont="1" applyFill="1"/>
    <xf numFmtId="49" fontId="21" fillId="0" borderId="1" xfId="8" applyNumberFormat="1" applyFont="1" applyFill="1" applyAlignment="1">
      <alignment horizontal="left" wrapText="1"/>
    </xf>
    <xf numFmtId="4" fontId="18" fillId="0" borderId="0" xfId="578" applyNumberFormat="1" applyFont="1" applyFill="1"/>
    <xf numFmtId="0" fontId="26" fillId="0" borderId="1" xfId="578" applyNumberFormat="1" applyFont="1" applyFill="1" applyBorder="1" applyAlignment="1">
      <alignment horizontal="right" wrapText="1"/>
    </xf>
    <xf numFmtId="0" fontId="27" fillId="0" borderId="1" xfId="578" applyNumberFormat="1" applyFont="1" applyFill="1" applyBorder="1" applyAlignment="1">
      <alignment horizontal="right" wrapText="1"/>
    </xf>
    <xf numFmtId="49" fontId="61" fillId="0" borderId="1" xfId="8" applyNumberFormat="1" applyFont="1" applyFill="1">
      <alignment horizontal="left"/>
    </xf>
    <xf numFmtId="0" fontId="26" fillId="0" borderId="1" xfId="578" applyNumberFormat="1" applyFont="1" applyFill="1" applyBorder="1" applyAlignment="1">
      <alignment horizontal="center"/>
    </xf>
    <xf numFmtId="0" fontId="51" fillId="0" borderId="1" xfId="578" applyNumberFormat="1" applyFont="1" applyFill="1" applyBorder="1" applyAlignment="1">
      <alignment horizontal="right" wrapText="1"/>
    </xf>
    <xf numFmtId="0" fontId="57" fillId="0" borderId="1" xfId="8" applyNumberFormat="1" applyFont="1" applyFill="1" applyAlignment="1">
      <alignment horizontal="left" wrapText="1" indent="1"/>
    </xf>
    <xf numFmtId="0" fontId="55" fillId="0" borderId="1" xfId="8" applyNumberFormat="1" applyFont="1" applyFill="1" applyAlignment="1">
      <alignment horizontal="left" wrapText="1" indent="1"/>
    </xf>
    <xf numFmtId="0" fontId="18" fillId="0" borderId="0" xfId="0" applyFont="1" applyFill="1" applyAlignment="1">
      <alignment horizontal="left"/>
    </xf>
    <xf numFmtId="49" fontId="48" fillId="0" borderId="1" xfId="8" applyNumberFormat="1" applyFont="1" applyFill="1" applyAlignment="1">
      <alignment horizontal="left" wrapText="1"/>
    </xf>
    <xf numFmtId="0" fontId="62" fillId="0" borderId="1" xfId="578" applyNumberFormat="1" applyFont="1" applyFill="1" applyBorder="1" applyAlignment="1">
      <alignment horizontal="right" wrapText="1"/>
    </xf>
    <xf numFmtId="0" fontId="27" fillId="0" borderId="0" xfId="1" applyNumberFormat="1" applyFont="1" applyFill="1" applyBorder="1" applyAlignment="1">
      <alignment horizontal="right" wrapText="1"/>
    </xf>
    <xf numFmtId="0" fontId="63" fillId="0" borderId="0" xfId="4" applyNumberFormat="1" applyFont="1" applyFill="1">
      <alignment horizontal="left"/>
    </xf>
    <xf numFmtId="4" fontId="18" fillId="0" borderId="0" xfId="578" applyNumberFormat="1" applyFont="1" applyFill="1" applyAlignment="1">
      <alignment horizontal="left"/>
    </xf>
    <xf numFmtId="49" fontId="57" fillId="0" borderId="1" xfId="8" applyNumberFormat="1" applyFont="1" applyFill="1" applyAlignment="1">
      <alignment horizontal="left"/>
    </xf>
    <xf numFmtId="0" fontId="64" fillId="0" borderId="1" xfId="578" applyNumberFormat="1" applyFont="1" applyFill="1" applyBorder="1" applyAlignment="1">
      <alignment wrapText="1"/>
    </xf>
    <xf numFmtId="0" fontId="26" fillId="0" borderId="1" xfId="578" applyNumberFormat="1" applyFont="1" applyFill="1" applyBorder="1" applyAlignment="1">
      <alignment wrapText="1"/>
    </xf>
    <xf numFmtId="3" fontId="18" fillId="0" borderId="1" xfId="9" applyNumberFormat="1" applyFont="1" applyFill="1" applyAlignment="1">
      <alignment horizontal="left"/>
    </xf>
    <xf numFmtId="9" fontId="22" fillId="0" borderId="1" xfId="9" applyNumberFormat="1" applyFont="1" applyFill="1">
      <alignment horizontal="right"/>
    </xf>
    <xf numFmtId="168" fontId="18" fillId="0" borderId="0" xfId="0" applyNumberFormat="1" applyFont="1" applyFill="1"/>
    <xf numFmtId="0" fontId="17" fillId="0" borderId="0" xfId="4" applyNumberFormat="1" applyFont="1" applyFill="1" applyAlignment="1">
      <alignment horizontal="left" wrapText="1"/>
    </xf>
    <xf numFmtId="0" fontId="64" fillId="0" borderId="1" xfId="578" applyNumberFormat="1" applyFont="1" applyFill="1" applyBorder="1" applyAlignment="1">
      <alignment horizontal="left" wrapText="1"/>
    </xf>
    <xf numFmtId="0" fontId="65" fillId="0" borderId="0" xfId="4" applyNumberFormat="1" applyFont="1" applyFill="1">
      <alignment horizontal="left"/>
    </xf>
    <xf numFmtId="0" fontId="64" fillId="0" borderId="1" xfId="578" applyNumberFormat="1" applyFont="1" applyFill="1" applyBorder="1" applyAlignment="1">
      <alignment horizontal="right" wrapText="1"/>
    </xf>
    <xf numFmtId="4" fontId="64" fillId="0" borderId="1" xfId="7" applyNumberFormat="1" applyFont="1" applyFill="1">
      <alignment horizontal="right" wrapText="1"/>
    </xf>
    <xf numFmtId="0" fontId="64" fillId="0" borderId="3" xfId="578" applyNumberFormat="1" applyFont="1" applyFill="1" applyBorder="1" applyAlignment="1">
      <alignment horizontal="right" wrapText="1"/>
    </xf>
    <xf numFmtId="0" fontId="51" fillId="0" borderId="3" xfId="1" applyNumberFormat="1" applyFont="1" applyFill="1" applyBorder="1" applyAlignment="1">
      <alignment horizontal="right" wrapText="1"/>
    </xf>
    <xf numFmtId="0" fontId="18" fillId="0" borderId="0" xfId="0" applyFont="1" applyFill="1" applyAlignment="1">
      <alignment horizontal="right" wrapText="1"/>
    </xf>
    <xf numFmtId="3" fontId="18" fillId="2" borderId="0" xfId="0" applyNumberFormat="1" applyFont="1" applyFill="1"/>
    <xf numFmtId="0" fontId="66" fillId="0" borderId="0" xfId="4" applyNumberFormat="1" applyFont="1" applyFill="1">
      <alignment horizontal="left"/>
    </xf>
    <xf numFmtId="49" fontId="53" fillId="0" borderId="1" xfId="8" applyNumberFormat="1" applyFont="1" applyFill="1" applyAlignment="1">
      <alignment horizontal="left" wrapText="1" indent="1"/>
    </xf>
    <xf numFmtId="3" fontId="20" fillId="0" borderId="0" xfId="0" applyNumberFormat="1" applyFont="1" applyFill="1"/>
    <xf numFmtId="3" fontId="20" fillId="2" borderId="0" xfId="0" applyNumberFormat="1" applyFont="1" applyFill="1"/>
    <xf numFmtId="167" fontId="20" fillId="0" borderId="0" xfId="0" applyNumberFormat="1" applyFont="1" applyFill="1"/>
    <xf numFmtId="166" fontId="22" fillId="0" borderId="0" xfId="0" applyNumberFormat="1" applyFont="1" applyFill="1"/>
    <xf numFmtId="49" fontId="37" fillId="0" borderId="1" xfId="8" applyNumberFormat="1" applyFont="1" applyFill="1">
      <alignment horizontal="left"/>
    </xf>
    <xf numFmtId="0" fontId="35" fillId="0" borderId="1" xfId="578" applyNumberFormat="1" applyFont="1" applyFill="1" applyBorder="1" applyAlignment="1">
      <alignment horizontal="right" wrapText="1"/>
    </xf>
    <xf numFmtId="0" fontId="18" fillId="0" borderId="0" xfId="0" applyFont="1" applyFill="1" applyAlignment="1">
      <alignment wrapText="1"/>
    </xf>
    <xf numFmtId="49" fontId="21" fillId="0" borderId="1" xfId="8" applyNumberFormat="1" applyFont="1" applyFill="1" applyAlignment="1">
      <alignment horizontal="left" wrapText="1" indent="1"/>
    </xf>
    <xf numFmtId="49" fontId="68" fillId="0" borderId="1" xfId="8" applyNumberFormat="1" applyFont="1" applyFill="1">
      <alignment horizontal="left"/>
    </xf>
    <xf numFmtId="49" fontId="69" fillId="0" borderId="1" xfId="8" applyNumberFormat="1" applyFont="1" applyFill="1">
      <alignment horizontal="left"/>
    </xf>
    <xf numFmtId="0" fontId="70" fillId="0" borderId="1" xfId="1" applyNumberFormat="1" applyFont="1" applyFill="1" applyBorder="1" applyAlignment="1">
      <alignment horizontal="right" wrapText="1"/>
    </xf>
    <xf numFmtId="4" fontId="70" fillId="0" borderId="1" xfId="7" applyNumberFormat="1" applyFont="1" applyFill="1">
      <alignment horizontal="right" wrapText="1"/>
    </xf>
    <xf numFmtId="49" fontId="28" fillId="0" borderId="3" xfId="8" applyNumberFormat="1" applyFont="1" applyFill="1" applyBorder="1" applyAlignment="1">
      <alignment horizontal="left" wrapText="1"/>
    </xf>
    <xf numFmtId="164" fontId="72" fillId="0" borderId="1" xfId="9" applyNumberFormat="1" applyFont="1" applyFill="1">
      <alignment horizontal="right"/>
    </xf>
    <xf numFmtId="164" fontId="73" fillId="0" borderId="1" xfId="9" applyNumberFormat="1" applyFont="1" applyFill="1">
      <alignment horizontal="right"/>
    </xf>
    <xf numFmtId="169" fontId="18" fillId="0" borderId="0" xfId="0" applyNumberFormat="1" applyFont="1" applyFill="1"/>
    <xf numFmtId="49" fontId="71" fillId="0" borderId="1" xfId="8" applyNumberFormat="1" applyFont="1" applyFill="1">
      <alignment horizontal="left"/>
    </xf>
    <xf numFmtId="3" fontId="72" fillId="0" borderId="1" xfId="9" applyNumberFormat="1" applyFont="1" applyFill="1">
      <alignment horizontal="right"/>
    </xf>
    <xf numFmtId="3" fontId="73" fillId="0" borderId="1" xfId="9" applyNumberFormat="1" applyFont="1" applyFill="1">
      <alignment horizontal="right"/>
    </xf>
    <xf numFmtId="4" fontId="18" fillId="0" borderId="0" xfId="578" applyNumberFormat="1" applyFont="1" applyFill="1" applyBorder="1"/>
    <xf numFmtId="4" fontId="18" fillId="0" borderId="0" xfId="1" applyNumberFormat="1" applyFont="1" applyFill="1" applyAlignment="1"/>
    <xf numFmtId="0" fontId="26" fillId="0" borderId="1" xfId="1" applyNumberFormat="1" applyFont="1" applyFill="1" applyBorder="1" applyAlignment="1">
      <alignment horizontal="right"/>
    </xf>
    <xf numFmtId="49" fontId="28" fillId="0" borderId="1" xfId="8" applyNumberFormat="1" applyFont="1" applyFill="1" applyAlignment="1">
      <alignment horizontal="left"/>
    </xf>
    <xf numFmtId="0" fontId="26" fillId="0" borderId="5" xfId="578" applyNumberFormat="1" applyFont="1" applyFill="1" applyBorder="1" applyAlignment="1">
      <alignment horizontal="right" wrapText="1"/>
    </xf>
    <xf numFmtId="0" fontId="45" fillId="0" borderId="0" xfId="4" applyNumberFormat="1" applyFont="1" applyFill="1" applyBorder="1">
      <alignment horizontal="left"/>
    </xf>
    <xf numFmtId="0" fontId="26" fillId="0" borderId="0" xfId="578" applyNumberFormat="1" applyFont="1" applyFill="1" applyBorder="1" applyAlignment="1">
      <alignment horizontal="right" wrapText="1"/>
    </xf>
    <xf numFmtId="10" fontId="18" fillId="0" borderId="0" xfId="578" applyNumberFormat="1" applyFont="1" applyFill="1"/>
    <xf numFmtId="10" fontId="18" fillId="0" borderId="0" xfId="0" applyNumberFormat="1" applyFont="1" applyFill="1"/>
    <xf numFmtId="10" fontId="24" fillId="0" borderId="1" xfId="9" applyNumberFormat="1" applyFont="1" applyFill="1">
      <alignment horizontal="right"/>
    </xf>
    <xf numFmtId="0" fontId="74" fillId="0" borderId="0" xfId="4" applyNumberFormat="1" applyFont="1" applyFill="1">
      <alignment horizontal="left"/>
    </xf>
    <xf numFmtId="49" fontId="19" fillId="0" borderId="1" xfId="8" applyNumberFormat="1" applyFont="1" applyFill="1" applyAlignment="1">
      <alignment horizontal="left" wrapText="1"/>
    </xf>
    <xf numFmtId="49" fontId="21" fillId="0" borderId="1" xfId="8" applyNumberFormat="1" applyFont="1" applyFill="1" applyAlignment="1">
      <alignment horizontal="left" wrapText="1" indent="2"/>
    </xf>
    <xf numFmtId="3" fontId="31" fillId="0" borderId="2" xfId="0" applyNumberFormat="1" applyFont="1" applyFill="1" applyBorder="1" applyAlignment="1">
      <alignment horizontal="right"/>
    </xf>
    <xf numFmtId="3" fontId="43" fillId="0" borderId="2" xfId="0" applyNumberFormat="1" applyFont="1" applyFill="1" applyBorder="1" applyAlignment="1">
      <alignment horizontal="right"/>
    </xf>
    <xf numFmtId="0" fontId="27" fillId="0" borderId="1" xfId="1" applyNumberFormat="1" applyFont="1" applyFill="1" applyBorder="1" applyAlignment="1">
      <alignment horizontal="center" wrapText="1"/>
    </xf>
    <xf numFmtId="0" fontId="30" fillId="0" borderId="1" xfId="1" applyNumberFormat="1" applyFont="1" applyFill="1" applyBorder="1" applyAlignment="1">
      <alignment horizontal="center" wrapText="1"/>
    </xf>
    <xf numFmtId="0" fontId="27" fillId="0" borderId="5" xfId="1" applyNumberFormat="1" applyFont="1" applyFill="1" applyBorder="1" applyAlignment="1">
      <alignment horizontal="right" wrapText="1"/>
    </xf>
    <xf numFmtId="168" fontId="18" fillId="0" borderId="0" xfId="1" applyNumberFormat="1" applyFont="1" applyFill="1"/>
    <xf numFmtId="0" fontId="75" fillId="0" borderId="0" xfId="1" applyNumberFormat="1" applyFont="1" applyFill="1" applyBorder="1" applyAlignment="1">
      <alignment horizontal="right" wrapText="1"/>
    </xf>
    <xf numFmtId="168" fontId="75" fillId="0" borderId="0" xfId="1" applyNumberFormat="1" applyFont="1" applyFill="1" applyBorder="1" applyAlignment="1">
      <alignment horizontal="right" wrapText="1"/>
    </xf>
    <xf numFmtId="0" fontId="57" fillId="0" borderId="1" xfId="8" quotePrefix="1" applyNumberFormat="1" applyFont="1" applyFill="1" applyAlignment="1">
      <alignment horizontal="left" wrapText="1" indent="1"/>
    </xf>
    <xf numFmtId="14" fontId="50" fillId="0" borderId="1" xfId="8" quotePrefix="1" applyNumberFormat="1" applyFont="1" applyFill="1" applyAlignment="1">
      <alignment horizontal="left" wrapText="1" indent="1"/>
    </xf>
    <xf numFmtId="0" fontId="55" fillId="0" borderId="1" xfId="8" quotePrefix="1" applyNumberFormat="1" applyFont="1" applyFill="1" applyAlignment="1">
      <alignment horizontal="left" wrapText="1" indent="1"/>
    </xf>
    <xf numFmtId="14" fontId="26" fillId="0" borderId="1" xfId="578" quotePrefix="1" applyNumberFormat="1" applyFont="1" applyFill="1" applyBorder="1" applyAlignment="1">
      <alignment horizontal="right" wrapText="1"/>
    </xf>
    <xf numFmtId="14" fontId="35" fillId="0" borderId="1" xfId="578" quotePrefix="1" applyNumberFormat="1" applyFont="1" applyFill="1" applyBorder="1" applyAlignment="1">
      <alignment horizontal="right" wrapText="1"/>
    </xf>
    <xf numFmtId="49" fontId="18" fillId="3" borderId="0" xfId="0" applyNumberFormat="1" applyFont="1" applyFill="1"/>
    <xf numFmtId="0" fontId="17" fillId="4" borderId="0" xfId="4" applyNumberFormat="1" applyFont="1" applyFill="1" applyAlignment="1">
      <alignment horizontal="left" wrapText="1"/>
    </xf>
    <xf numFmtId="49" fontId="21" fillId="4" borderId="0" xfId="0" applyNumberFormat="1" applyFont="1" applyFill="1"/>
    <xf numFmtId="14" fontId="26" fillId="4" borderId="1" xfId="578" applyNumberFormat="1" applyFont="1" applyFill="1" applyBorder="1" applyAlignment="1">
      <alignment horizontal="right" wrapText="1"/>
    </xf>
    <xf numFmtId="14" fontId="35" fillId="4" borderId="1" xfId="578" applyNumberFormat="1" applyFont="1" applyFill="1" applyBorder="1" applyAlignment="1">
      <alignment horizontal="right" wrapText="1"/>
    </xf>
    <xf numFmtId="49" fontId="18" fillId="4" borderId="0" xfId="0" applyNumberFormat="1" applyFont="1" applyFill="1"/>
    <xf numFmtId="3" fontId="22" fillId="4" borderId="1" xfId="9" applyNumberFormat="1" applyFont="1" applyFill="1">
      <alignment horizontal="right"/>
    </xf>
    <xf numFmtId="10" fontId="23" fillId="4" borderId="1" xfId="9" applyNumberFormat="1" applyFont="1" applyFill="1">
      <alignment horizontal="right"/>
    </xf>
    <xf numFmtId="49" fontId="75" fillId="4" borderId="0" xfId="0" applyNumberFormat="1" applyFont="1" applyFill="1"/>
    <xf numFmtId="3" fontId="23" fillId="4" borderId="1" xfId="9" applyNumberFormat="1" applyFont="1" applyFill="1">
      <alignment horizontal="right"/>
    </xf>
    <xf numFmtId="49" fontId="46" fillId="4" borderId="0" xfId="0" applyNumberFormat="1" applyFont="1" applyFill="1"/>
    <xf numFmtId="3" fontId="72" fillId="4" borderId="1" xfId="9" applyNumberFormat="1" applyFont="1" applyFill="1">
      <alignment horizontal="right"/>
    </xf>
    <xf numFmtId="10" fontId="73" fillId="4" borderId="1" xfId="9" applyNumberFormat="1" applyFont="1" applyFill="1">
      <alignment horizontal="right"/>
    </xf>
    <xf numFmtId="0" fontId="62" fillId="0" borderId="3" xfId="4" applyNumberFormat="1" applyFont="1" applyFill="1" applyBorder="1" applyAlignment="1">
      <alignment wrapText="1"/>
    </xf>
    <xf numFmtId="14" fontId="62" fillId="0" borderId="3" xfId="4" applyNumberFormat="1" applyFont="1" applyFill="1" applyBorder="1" applyAlignment="1"/>
    <xf numFmtId="0" fontId="62" fillId="0" borderId="3" xfId="4" applyNumberFormat="1" applyFont="1" applyFill="1" applyBorder="1" applyAlignment="1"/>
    <xf numFmtId="0" fontId="17" fillId="0" borderId="0" xfId="4" applyNumberFormat="1" applyFont="1" applyFill="1" applyAlignment="1">
      <alignment horizontal="left" wrapText="1"/>
    </xf>
    <xf numFmtId="3" fontId="21" fillId="0" borderId="6" xfId="9" applyNumberFormat="1" applyFont="1" applyFill="1" applyBorder="1" applyAlignment="1">
      <alignment horizontal="left" wrapText="1"/>
    </xf>
    <xf numFmtId="3" fontId="21" fillId="0" borderId="6" xfId="9" applyNumberFormat="1" applyFont="1" applyFill="1" applyBorder="1" applyAlignment="1">
      <alignment horizontal="right" wrapText="1"/>
    </xf>
    <xf numFmtId="0" fontId="21" fillId="0" borderId="6" xfId="0" applyFont="1" applyBorder="1"/>
    <xf numFmtId="0" fontId="18" fillId="0" borderId="6" xfId="0" applyFont="1" applyFill="1" applyBorder="1"/>
    <xf numFmtId="49" fontId="28" fillId="0" borderId="3" xfId="8" applyNumberFormat="1" applyFont="1" applyFill="1" applyBorder="1" applyAlignment="1">
      <alignment horizontal="left"/>
    </xf>
    <xf numFmtId="49" fontId="19" fillId="0" borderId="3" xfId="8" applyNumberFormat="1" applyFont="1" applyFill="1" applyBorder="1" applyAlignment="1">
      <alignment horizontal="left"/>
    </xf>
    <xf numFmtId="49" fontId="21" fillId="0" borderId="1" xfId="8" applyNumberFormat="1" applyFont="1" applyFill="1" applyAlignment="1">
      <alignment horizontal="left" wrapText="1"/>
    </xf>
    <xf numFmtId="49" fontId="21" fillId="0" borderId="3" xfId="8" applyNumberFormat="1" applyFont="1" applyFill="1" applyBorder="1" applyAlignment="1">
      <alignment horizontal="left"/>
    </xf>
    <xf numFmtId="0" fontId="18" fillId="3" borderId="0" xfId="0" applyFont="1" applyFill="1"/>
    <xf numFmtId="169" fontId="0" fillId="0" borderId="0" xfId="0" applyNumberFormat="1"/>
    <xf numFmtId="0" fontId="30" fillId="0" borderId="1" xfId="7" applyNumberFormat="1" applyFont="1" applyFill="1">
      <alignment horizontal="right" wrapText="1"/>
    </xf>
    <xf numFmtId="0" fontId="77" fillId="0" borderId="0" xfId="0" applyFont="1" applyAlignment="1">
      <alignment vertical="center"/>
    </xf>
    <xf numFmtId="49" fontId="18" fillId="0" borderId="0" xfId="0" applyNumberFormat="1" applyFont="1" applyFill="1" applyAlignment="1">
      <alignment horizontal="left"/>
    </xf>
    <xf numFmtId="0" fontId="49" fillId="0" borderId="1" xfId="7" applyNumberFormat="1" applyFont="1" applyFill="1">
      <alignment horizontal="right" wrapText="1"/>
    </xf>
    <xf numFmtId="49" fontId="78" fillId="0" borderId="1" xfId="8" applyNumberFormat="1" applyFont="1" applyFill="1">
      <alignment horizontal="left"/>
    </xf>
    <xf numFmtId="49" fontId="21" fillId="0" borderId="0" xfId="8" applyNumberFormat="1" applyFont="1" applyFill="1" applyBorder="1">
      <alignment horizontal="left"/>
    </xf>
    <xf numFmtId="3" fontId="18" fillId="0" borderId="0" xfId="9" applyNumberFormat="1" applyFont="1" applyFill="1" applyBorder="1">
      <alignment horizontal="right"/>
    </xf>
    <xf numFmtId="3" fontId="47" fillId="0" borderId="0" xfId="9" applyNumberFormat="1" applyFont="1" applyFill="1" applyBorder="1">
      <alignment horizontal="right"/>
    </xf>
    <xf numFmtId="0" fontId="18" fillId="0" borderId="0" xfId="0" applyFont="1" applyBorder="1"/>
    <xf numFmtId="0" fontId="18" fillId="0" borderId="0" xfId="0" applyFont="1" applyFill="1" applyBorder="1"/>
    <xf numFmtId="49" fontId="20" fillId="0" borderId="0" xfId="0" applyNumberFormat="1" applyFont="1" applyFill="1" applyBorder="1" applyAlignment="1">
      <alignment horizontal="left" wrapText="1"/>
    </xf>
    <xf numFmtId="0" fontId="30" fillId="0" borderId="1" xfId="578" applyNumberFormat="1" applyFont="1" applyFill="1" applyBorder="1" applyAlignment="1">
      <alignment horizontal="right" wrapText="1"/>
    </xf>
    <xf numFmtId="49" fontId="18" fillId="0" borderId="0" xfId="0" applyNumberFormat="1" applyFont="1" applyFill="1" applyAlignment="1">
      <alignment wrapText="1"/>
    </xf>
    <xf numFmtId="0" fontId="17" fillId="0" borderId="0" xfId="4" applyNumberFormat="1" applyFont="1" applyFill="1" applyBorder="1">
      <alignment horizontal="left"/>
    </xf>
    <xf numFmtId="0" fontId="79" fillId="0" borderId="0" xfId="4" applyNumberFormat="1" applyFont="1" applyFill="1" applyBorder="1">
      <alignment horizontal="left"/>
    </xf>
    <xf numFmtId="49" fontId="21" fillId="0" borderId="7" xfId="8" applyNumberFormat="1" applyFont="1" applyFill="1" applyBorder="1">
      <alignment horizontal="left"/>
    </xf>
    <xf numFmtId="49" fontId="21" fillId="0" borderId="8" xfId="8" applyNumberFormat="1" applyFont="1" applyFill="1" applyBorder="1">
      <alignment horizontal="left"/>
    </xf>
    <xf numFmtId="0" fontId="0" fillId="0" borderId="9" xfId="0" applyBorder="1"/>
    <xf numFmtId="49" fontId="21" fillId="0" borderId="10" xfId="8" applyNumberFormat="1" applyFont="1" applyFill="1" applyBorder="1">
      <alignment horizontal="left"/>
    </xf>
    <xf numFmtId="3" fontId="18" fillId="0" borderId="10" xfId="9" applyNumberFormat="1" applyFont="1" applyFill="1" applyBorder="1">
      <alignment horizontal="right"/>
    </xf>
    <xf numFmtId="3" fontId="47" fillId="0" borderId="10" xfId="9" applyNumberFormat="1" applyFont="1" applyFill="1" applyBorder="1">
      <alignment horizontal="right"/>
    </xf>
    <xf numFmtId="0" fontId="18" fillId="0" borderId="10" xfId="0" applyFont="1" applyBorder="1"/>
    <xf numFmtId="0" fontId="18" fillId="0" borderId="10" xfId="0" applyFont="1" applyFill="1" applyBorder="1"/>
    <xf numFmtId="168" fontId="21" fillId="0" borderId="10" xfId="0" applyNumberFormat="1" applyFont="1" applyFill="1" applyBorder="1"/>
    <xf numFmtId="168" fontId="42" fillId="0" borderId="10" xfId="0" applyNumberFormat="1" applyFont="1" applyFill="1" applyBorder="1"/>
    <xf numFmtId="49" fontId="20" fillId="0" borderId="0" xfId="0" applyNumberFormat="1" applyFont="1" applyFill="1" applyBorder="1"/>
    <xf numFmtId="0" fontId="17" fillId="0" borderId="0" xfId="4" applyNumberFormat="1" applyFont="1" applyFill="1" applyBorder="1" applyAlignment="1"/>
    <xf numFmtId="49" fontId="80" fillId="0" borderId="1" xfId="8" applyNumberFormat="1" applyFont="1" applyFill="1">
      <alignment horizontal="left"/>
    </xf>
    <xf numFmtId="49" fontId="53" fillId="0" borderId="1" xfId="8" quotePrefix="1" applyNumberFormat="1" applyFont="1" applyFill="1" applyAlignment="1">
      <alignment horizontal="left" indent="1"/>
    </xf>
    <xf numFmtId="49" fontId="21" fillId="0" borderId="1" xfId="8" applyNumberFormat="1" applyFont="1" applyFill="1" applyAlignment="1">
      <alignment horizontal="left" wrapText="1"/>
    </xf>
    <xf numFmtId="49" fontId="75" fillId="0" borderId="1" xfId="8" applyNumberFormat="1" applyFont="1" applyFill="1" applyAlignment="1">
      <alignment horizontal="left" wrapText="1"/>
    </xf>
    <xf numFmtId="3" fontId="81" fillId="0" borderId="1" xfId="9" applyNumberFormat="1" applyFont="1" applyFill="1">
      <alignment horizontal="right"/>
    </xf>
    <xf numFmtId="3" fontId="82" fillId="0" borderId="1" xfId="9" applyNumberFormat="1" applyFont="1" applyFill="1">
      <alignment horizontal="right"/>
    </xf>
    <xf numFmtId="49" fontId="21" fillId="0" borderId="1" xfId="8" applyNumberFormat="1" applyFont="1" applyFill="1" applyAlignment="1">
      <alignment horizontal="left" wrapText="1"/>
    </xf>
    <xf numFmtId="0" fontId="41" fillId="0" borderId="0" xfId="1" applyNumberFormat="1" applyFont="1" applyFill="1" applyBorder="1" applyAlignment="1">
      <alignment horizontal="right" wrapText="1"/>
    </xf>
    <xf numFmtId="4" fontId="20" fillId="0" borderId="0" xfId="1" applyNumberFormat="1" applyFont="1" applyFill="1" applyAlignment="1">
      <alignment horizontal="right" wrapText="1"/>
    </xf>
    <xf numFmtId="4" fontId="20" fillId="0" borderId="0" xfId="1" quotePrefix="1" applyNumberFormat="1" applyFont="1" applyFill="1" applyAlignment="1">
      <alignment horizontal="right"/>
    </xf>
    <xf numFmtId="3" fontId="0" fillId="0" borderId="0" xfId="0" applyNumberFormat="1"/>
    <xf numFmtId="4" fontId="83" fillId="0" borderId="0" xfId="1" quotePrefix="1" applyNumberFormat="1" applyFont="1" applyFill="1" applyAlignment="1">
      <alignment horizontal="right"/>
    </xf>
    <xf numFmtId="166" fontId="18" fillId="0" borderId="0" xfId="0" applyNumberFormat="1" applyFont="1" applyFill="1" applyAlignment="1">
      <alignment horizontal="right" wrapText="1"/>
    </xf>
    <xf numFmtId="0" fontId="27" fillId="0" borderId="1" xfId="1" applyNumberFormat="1" applyFont="1" applyFill="1" applyBorder="1" applyAlignment="1">
      <alignment horizontal="center" wrapText="1"/>
    </xf>
    <xf numFmtId="0" fontId="30" fillId="0" borderId="1" xfId="7" applyNumberFormat="1" applyFont="1" applyFill="1" applyAlignment="1">
      <alignment horizontal="center" wrapText="1"/>
    </xf>
    <xf numFmtId="0" fontId="26" fillId="0" borderId="1" xfId="1" applyNumberFormat="1" applyFont="1" applyFill="1" applyBorder="1" applyAlignment="1">
      <alignment horizontal="center" wrapText="1"/>
    </xf>
    <xf numFmtId="0" fontId="36" fillId="0" borderId="1" xfId="578" applyNumberFormat="1" applyFont="1" applyFill="1" applyBorder="1" applyAlignment="1">
      <alignment horizontal="center" wrapText="1"/>
    </xf>
    <xf numFmtId="166" fontId="18" fillId="0" borderId="0" xfId="0" applyNumberFormat="1" applyFont="1" applyFill="1" applyAlignment="1">
      <alignment horizontal="center"/>
    </xf>
    <xf numFmtId="0" fontId="62" fillId="0" borderId="3" xfId="4" applyNumberFormat="1" applyFont="1" applyFill="1" applyBorder="1" applyAlignment="1">
      <alignment horizontal="center" wrapText="1"/>
    </xf>
    <xf numFmtId="14" fontId="62" fillId="0" borderId="3" xfId="4" applyNumberFormat="1" applyFont="1" applyFill="1" applyBorder="1" applyAlignment="1">
      <alignment horizontal="center"/>
    </xf>
    <xf numFmtId="0" fontId="62" fillId="0" borderId="3" xfId="4" applyNumberFormat="1" applyFont="1" applyFill="1" applyBorder="1" applyAlignment="1">
      <alignment horizontal="center"/>
    </xf>
    <xf numFmtId="49" fontId="21" fillId="0" borderId="0" xfId="8" applyNumberFormat="1" applyFont="1" applyFill="1" applyBorder="1" applyAlignment="1">
      <alignment horizontal="left" wrapText="1"/>
    </xf>
    <xf numFmtId="4" fontId="26" fillId="0" borderId="5" xfId="7" applyNumberFormat="1" applyFont="1" applyFill="1" applyBorder="1" applyAlignment="1">
      <alignment horizontal="center" wrapText="1"/>
    </xf>
    <xf numFmtId="0" fontId="77" fillId="0" borderId="0" xfId="0" applyFont="1" applyAlignment="1">
      <alignment horizontal="left" vertical="center" wrapText="1"/>
    </xf>
    <xf numFmtId="4" fontId="64" fillId="0" borderId="0" xfId="7" applyNumberFormat="1" applyFont="1" applyFill="1" applyBorder="1" applyAlignment="1">
      <alignment horizontal="center" wrapText="1"/>
    </xf>
    <xf numFmtId="0" fontId="30" fillId="0" borderId="1" xfId="1" applyNumberFormat="1" applyFont="1" applyFill="1" applyBorder="1" applyAlignment="1">
      <alignment horizontal="center" wrapText="1"/>
    </xf>
    <xf numFmtId="0" fontId="17" fillId="0" borderId="0" xfId="4" applyNumberFormat="1" applyFont="1" applyFill="1" applyAlignment="1">
      <alignment horizontal="left" wrapText="1"/>
    </xf>
    <xf numFmtId="0" fontId="0" fillId="0" borderId="0" xfId="0" applyFill="1" applyAlignment="1"/>
    <xf numFmtId="0" fontId="17" fillId="0" borderId="0" xfId="4" applyNumberFormat="1" applyFont="1" applyFill="1" applyBorder="1" applyAlignment="1">
      <alignment horizontal="left" wrapText="1"/>
    </xf>
    <xf numFmtId="3" fontId="21" fillId="0" borderId="6" xfId="9" applyNumberFormat="1" applyFont="1" applyFill="1" applyBorder="1" applyAlignment="1">
      <alignment horizontal="center" wrapText="1"/>
    </xf>
    <xf numFmtId="49" fontId="21" fillId="0" borderId="0" xfId="8" applyNumberFormat="1" applyFont="1" applyFill="1" applyBorder="1" applyAlignment="1">
      <alignment horizontal="left"/>
    </xf>
    <xf numFmtId="49" fontId="18" fillId="0" borderId="0" xfId="0" applyNumberFormat="1" applyFont="1" applyFill="1" applyAlignment="1">
      <alignment horizontal="left" wrapText="1"/>
    </xf>
    <xf numFmtId="0" fontId="26" fillId="0" borderId="0" xfId="1" applyNumberFormat="1" applyFont="1" applyFill="1" applyBorder="1" applyAlignment="1">
      <alignment horizontal="center" wrapText="1"/>
    </xf>
    <xf numFmtId="0" fontId="67" fillId="0" borderId="1" xfId="0" applyFont="1" applyFill="1" applyBorder="1" applyAlignment="1">
      <alignment horizontal="center"/>
    </xf>
    <xf numFmtId="14" fontId="67" fillId="4" borderId="1" xfId="0" quotePrefix="1" applyNumberFormat="1" applyFont="1" applyFill="1" applyBorder="1" applyAlignment="1">
      <alignment horizontal="center"/>
    </xf>
    <xf numFmtId="0" fontId="67" fillId="4" borderId="1" xfId="0" applyFont="1" applyFill="1" applyBorder="1" applyAlignment="1">
      <alignment horizontal="center"/>
    </xf>
    <xf numFmtId="14" fontId="76" fillId="4" borderId="1" xfId="578" quotePrefix="1" applyNumberFormat="1" applyFont="1" applyFill="1" applyBorder="1" applyAlignment="1">
      <alignment horizontal="center" wrapText="1"/>
    </xf>
    <xf numFmtId="14" fontId="76" fillId="4" borderId="1" xfId="578" applyNumberFormat="1" applyFont="1" applyFill="1" applyBorder="1" applyAlignment="1">
      <alignment horizontal="center" wrapText="1"/>
    </xf>
    <xf numFmtId="4" fontId="26" fillId="0" borderId="4" xfId="7" applyNumberFormat="1" applyFont="1" applyFill="1" applyBorder="1" applyAlignment="1">
      <alignment horizontal="center" wrapText="1"/>
    </xf>
    <xf numFmtId="4" fontId="30" fillId="0" borderId="1" xfId="7" applyNumberFormat="1" applyFont="1" applyFill="1" applyAlignment="1">
      <alignment horizontal="center" wrapText="1"/>
    </xf>
    <xf numFmtId="166" fontId="18" fillId="0" borderId="0" xfId="0" applyNumberFormat="1" applyFont="1" applyFill="1" applyAlignment="1">
      <alignment horizontal="left" wrapText="1"/>
    </xf>
    <xf numFmtId="0" fontId="67" fillId="0" borderId="0" xfId="0" applyFont="1" applyAlignment="1">
      <alignment horizontal="left" wrapText="1"/>
    </xf>
    <xf numFmtId="166" fontId="18" fillId="0" borderId="0" xfId="0" applyNumberFormat="1" applyFont="1" applyFill="1" applyAlignment="1">
      <alignment horizontal="right" wrapText="1"/>
    </xf>
    <xf numFmtId="0" fontId="27" fillId="0" borderId="1" xfId="578" applyNumberFormat="1" applyFont="1" applyFill="1" applyBorder="1" applyAlignment="1">
      <alignment horizontal="center" wrapText="1"/>
    </xf>
    <xf numFmtId="0" fontId="37" fillId="0" borderId="1" xfId="578" applyNumberFormat="1" applyFont="1" applyFill="1" applyBorder="1" applyAlignment="1">
      <alignment horizontal="center" wrapText="1"/>
    </xf>
    <xf numFmtId="49" fontId="28" fillId="0" borderId="3" xfId="8" applyNumberFormat="1" applyFont="1" applyFill="1" applyBorder="1" applyAlignment="1">
      <alignment horizontal="left" wrapText="1"/>
    </xf>
    <xf numFmtId="49" fontId="21" fillId="0" borderId="1" xfId="8" applyNumberFormat="1" applyFont="1" applyFill="1" applyAlignment="1">
      <alignment horizontal="left" wrapText="1"/>
    </xf>
    <xf numFmtId="49" fontId="28" fillId="0" borderId="0" xfId="8" applyNumberFormat="1" applyFont="1" applyFill="1" applyBorder="1" applyAlignment="1">
      <alignment horizontal="left" wrapText="1"/>
    </xf>
    <xf numFmtId="0" fontId="0" fillId="0" borderId="0" xfId="0" applyBorder="1" applyAlignment="1">
      <alignment wrapText="1"/>
    </xf>
    <xf numFmtId="0" fontId="18" fillId="0" borderId="0" xfId="0" applyFont="1" applyFill="1" applyAlignment="1">
      <alignment horizontal="center" wrapText="1"/>
    </xf>
  </cellXfs>
  <cellStyles count="1133">
    <cellStyle name="check" xfId="6"/>
    <cellStyle name="Comma" xfId="1" builtinId="3"/>
    <cellStyle name="Comma 2" xfId="369"/>
    <cellStyle name="Comma 3" xfId="578"/>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Header" xfId="7"/>
    <cellStyle name="Hyperlink" xfId="2"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Label" xfId="8"/>
    <cellStyle name="Normal" xfId="0" builtinId="0"/>
    <cellStyle name="Normal 2" xfId="5"/>
    <cellStyle name="Number" xfId="9"/>
    <cellStyle name="Standard_ANH-1" xfId="10"/>
    <cellStyle name="Title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46" Type="http://schemas.openxmlformats.org/officeDocument/2006/relationships/externalLink" Target="externalLinks/externalLink4.xml"/><Relationship Id="rId47" Type="http://schemas.openxmlformats.org/officeDocument/2006/relationships/theme" Target="theme/theme1.xml"/><Relationship Id="rId48" Type="http://schemas.openxmlformats.org/officeDocument/2006/relationships/styles" Target="styles.xml"/><Relationship Id="rId49"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5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externalLink" Target="externalLinks/externalLink1.xml"/><Relationship Id="rId44" Type="http://schemas.openxmlformats.org/officeDocument/2006/relationships/externalLink" Target="externalLinks/externalLink2.xml"/><Relationship Id="rId45"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H_AnnualReport-ComptesIndividuels_2015%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BH_AnnualReport-ComptesIndividuels_2015_ol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BH_AnnualReport-ComptesIndividue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igence%20F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RepartitionBenefice"/>
      <sheetName val="I_JustificationCapitauxPropres"/>
      <sheetName val="I_Bilan_CommHedgAcc"/>
      <sheetName val="I_iBilan_ApercuCouv-PretsCompr"/>
      <sheetName val="I_Instr_Derives"/>
      <sheetName val="I_iBilan_ImmoblstnFinanciers"/>
      <sheetName val="I_iBilan_ImmoblstnFinancierRepa"/>
      <sheetName val="I_iBilan_AutrActifPass-ActifsGa"/>
      <sheetName val="I_iBilan_InstPrevProf"/>
      <sheetName val="I_CorrectifsValeursProvisions"/>
      <sheetName val="I_CapitalSocial"/>
      <sheetName val="I_CréancEngPartliées"/>
      <sheetName val="I_CreancesEngagementsSocietes"/>
      <sheetName val="I_ActifsSolvab"/>
      <sheetName val="I_iHorsBilan_OperationsFidu"/>
      <sheetName val="I_iHorsBilan_AvoirsClient"/>
      <sheetName val="I_iResultat_Negoce"/>
      <sheetName val="I_iResultat_Intérêts"/>
      <sheetName val="I_iResultat_Personnel"/>
      <sheetName val="I_iResultat_Exploitation"/>
      <sheetName val="I_iResultat_Extraordinaires"/>
      <sheetName val="I_iImpôts"/>
      <sheetName val="_labels"/>
    </sheetNames>
    <sheetDataSet>
      <sheetData sheetId="0" refreshError="1"/>
      <sheetData sheetId="1" refreshError="1"/>
      <sheetData sheetId="2" refreshError="1">
        <row r="31">
          <cell r="B31">
            <v>8379739</v>
          </cell>
        </row>
        <row r="34">
          <cell r="B34">
            <v>-1498616</v>
          </cell>
          <cell r="C34">
            <v>-2097493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
          <cell r="B1">
            <v>2015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RepartitionBenefice"/>
      <sheetName val="I_JustificationCapitauxPropres"/>
      <sheetName val="I_RepBenef_Financement"/>
      <sheetName val="I_Bilan_CommHedgAcc"/>
      <sheetName val="I_iBilan_OperFinTitres"/>
      <sheetName val="I_iBilan_ApercuCouv-PretsCompr"/>
      <sheetName val="I_Instr_Derives"/>
      <sheetName val="I_iBilan_ImmoblstnFinancieres"/>
      <sheetName val="I_iBilan_ParticipnsPermanentes"/>
      <sheetName val="I_iBilan_Participations"/>
      <sheetName val="I_iBilan_PresentnActifImmoblis"/>
      <sheetName val="I_iBilan_AutrActifPass-ActifsGa"/>
      <sheetName val="I_iBilan_InstPrevProf"/>
      <sheetName val="I_CorrectifsValeursProvisions"/>
      <sheetName val="I_CapitalSocial"/>
      <sheetName val="I_CréancEngPartliées"/>
      <sheetName val="I_CreancesEngagementsSocietes"/>
      <sheetName val="I_StructureEcheancesActif"/>
      <sheetName val="I_ActifsPassifsSuisseEtranger"/>
      <sheetName val="I_ActifsRepartisPays"/>
      <sheetName val="I_ActifsSolvab"/>
      <sheetName val="I_BilanMonnaiesActifs"/>
      <sheetName val="I_BilanMonnaiesPassifs"/>
      <sheetName val="I_iHorsBilan_Engagements"/>
      <sheetName val="I_iHorsBilan_Instruments"/>
      <sheetName val="I_iHorsBilan_OperationsFidu"/>
      <sheetName val="I_iHorsBilan_AvoirsClient"/>
      <sheetName val="I_iResultat_Negoce"/>
      <sheetName val="I_iResultat_Personnel"/>
      <sheetName val="I_iResultat_Exploitation"/>
      <sheetName val="I_iResultat_Extraordinaires"/>
      <sheetName val="I_iResultat_SuisseEtranger"/>
      <sheetName val="_lab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
          <cell r="B1">
            <v>2015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_Bilan"/>
      <sheetName val="I_HorsBilan"/>
      <sheetName val="I_Resultat_ProduitsCharges"/>
      <sheetName val="I_JustificationCapitauxPropres"/>
      <sheetName val="I_RepartitionBenefice"/>
      <sheetName val="I_Bilan_CommHedgAcc"/>
      <sheetName val="I_iBilan_ApercuCouv-PretsCompr"/>
      <sheetName val="I_Instr_Derives"/>
      <sheetName val="I_Instr_Derives-repart"/>
      <sheetName val="I_iBilan_ImmoblstnFinanciers"/>
      <sheetName val="I_iBilan_ImmoblstnFinancier-rep"/>
      <sheetName val="I_iBilan_AutrActifPass-ActifsGa"/>
      <sheetName val="I_iBilan_EngInstPrevProf"/>
      <sheetName val="I_iBilan_InstPrevProf"/>
      <sheetName val="I_CorrectifsValeursProvisions"/>
      <sheetName val="I_CapitalSocial"/>
      <sheetName val="I_CapitalSocial-interne"/>
      <sheetName val="I_CréancEngPartliées"/>
      <sheetName val="I_ActifsSolvab"/>
      <sheetName val="I_iHorsBilan_OperationsFidu"/>
      <sheetName val="I_iHorsBilan_AvoirsClient"/>
      <sheetName val="I_iHorsBilan_AvoirsClientEvol"/>
      <sheetName val="I_iResultat_Negoce"/>
      <sheetName val="I_iResultat_Intérêts"/>
      <sheetName val="I_iResultat_Personnel"/>
      <sheetName val="I_iResultat_Exploitation"/>
      <sheetName val="I_iResultat_Extraordinaires"/>
      <sheetName val="I_iImpôts"/>
      <sheetName val="I_iResultat_FondsPropres"/>
      <sheetName val="I_iResultat_FondsPropresReqis"/>
      <sheetName val="_labe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B1">
            <v>2015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_iResultat_FondsPropres"/>
      <sheetName val="C_iResultat_FondsPropresReqis"/>
      <sheetName val="C_iResultat_FondsPropres indiv"/>
      <sheetName val="C_iResultat_FondsPropresReqi I"/>
    </sheetNames>
    <sheetDataSet>
      <sheetData sheetId="0">
        <row r="7">
          <cell r="B7">
            <v>153607</v>
          </cell>
        </row>
      </sheetData>
      <sheetData sheetId="1">
        <row r="10">
          <cell r="C10">
            <v>50329</v>
          </cell>
        </row>
      </sheetData>
      <sheetData sheetId="2">
        <row r="7">
          <cell r="B7">
            <v>110294</v>
          </cell>
        </row>
      </sheetData>
      <sheetData sheetId="3">
        <row r="10">
          <cell r="C10">
            <v>44075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55"/>
  <sheetViews>
    <sheetView tabSelected="1" workbookViewId="0">
      <pane xSplit="1" ySplit="2" topLeftCell="B3" activePane="bottomRight" state="frozen"/>
      <selection activeCell="G9" sqref="G9:G14"/>
      <selection pane="topRight" activeCell="G9" sqref="G9:G14"/>
      <selection pane="bottomLeft" activeCell="G9" sqref="G9:G14"/>
      <selection pane="bottomRight" activeCell="B4" sqref="B4"/>
    </sheetView>
  </sheetViews>
  <sheetFormatPr baseColWidth="10" defaultColWidth="10.83203125" defaultRowHeight="19" customHeight="1" x14ac:dyDescent="0"/>
  <cols>
    <col min="1" max="1" width="65.6640625" style="11" customWidth="1"/>
    <col min="2" max="3" width="20.83203125" style="7" customWidth="1"/>
    <col min="4" max="4" width="6.5" style="8" customWidth="1"/>
    <col min="5" max="5" width="5.1640625" style="8" customWidth="1"/>
    <col min="6" max="6" width="11.1640625" style="8" customWidth="1"/>
    <col min="7" max="7" width="14.6640625" style="8" customWidth="1"/>
    <col min="8" max="8" width="15.6640625" style="8" customWidth="1"/>
    <col min="9" max="9" width="14.5" style="8" customWidth="1"/>
    <col min="10" max="16384" width="10.83203125" style="8"/>
  </cols>
  <sheetData>
    <row r="1" spans="1:9" ht="43" customHeight="1">
      <c r="A1" s="48" t="str">
        <f>"Bilan consolidé au 31 décembre "&amp;_labels!$B$1</f>
        <v>Bilan consolidé au 31 décembre 2016</v>
      </c>
      <c r="C1" s="16"/>
    </row>
    <row r="2" spans="1:9" ht="54" customHeight="1">
      <c r="A2" s="19" t="s">
        <v>0</v>
      </c>
      <c r="B2" s="17" t="str">
        <f>"31.12."&amp;_labels!$B$1</f>
        <v>31.12.2016</v>
      </c>
      <c r="C2" s="22" t="str">
        <f>"31.12."&amp;_labels!$B$1-1</f>
        <v>31.12.2015</v>
      </c>
      <c r="F2" s="64" t="s">
        <v>168</v>
      </c>
      <c r="G2" s="65" t="s">
        <v>169</v>
      </c>
      <c r="H2" s="65" t="s">
        <v>172</v>
      </c>
      <c r="I2" s="64" t="s">
        <v>170</v>
      </c>
    </row>
    <row r="3" spans="1:9" ht="24" customHeight="1">
      <c r="A3" s="12" t="s">
        <v>12</v>
      </c>
      <c r="B3" s="24">
        <v>987654321</v>
      </c>
      <c r="C3" s="25">
        <v>123456789</v>
      </c>
      <c r="G3" s="67"/>
      <c r="H3" s="67"/>
    </row>
    <row r="4" spans="1:9" ht="24" customHeight="1">
      <c r="A4" s="62" t="s">
        <v>13</v>
      </c>
      <c r="B4" s="63">
        <v>0</v>
      </c>
      <c r="C4" s="63">
        <v>0</v>
      </c>
      <c r="G4" s="67">
        <f>-249776994.7-131467290.35</f>
        <v>-381244285.04999995</v>
      </c>
      <c r="H4" s="67"/>
      <c r="I4" s="8" t="s">
        <v>171</v>
      </c>
    </row>
    <row r="5" spans="1:9" ht="24" customHeight="1">
      <c r="A5" s="12" t="s">
        <v>14</v>
      </c>
      <c r="B5" s="24">
        <v>576669459</v>
      </c>
      <c r="C5" s="25">
        <f>928809673+215969</f>
        <v>929025642</v>
      </c>
      <c r="G5" s="67"/>
      <c r="H5" s="67">
        <f>-358690.43+574659.92</f>
        <v>215969.49000000005</v>
      </c>
    </row>
    <row r="6" spans="1:9" ht="24" customHeight="1">
      <c r="A6" s="12" t="s">
        <v>15</v>
      </c>
      <c r="B6" s="24">
        <v>910624636</v>
      </c>
      <c r="C6" s="25">
        <f>566450674-502441-2258799</f>
        <v>563689434</v>
      </c>
      <c r="G6" s="67">
        <v>-502440.85</v>
      </c>
      <c r="H6" s="67">
        <f>-3927294.16+1668494.53</f>
        <v>-2258799.63</v>
      </c>
    </row>
    <row r="7" spans="1:9" s="30" customFormat="1" ht="24" customHeight="1">
      <c r="A7" s="70" t="s">
        <v>173</v>
      </c>
      <c r="B7" s="71">
        <v>3447208</v>
      </c>
      <c r="C7" s="71">
        <v>2898387</v>
      </c>
      <c r="G7" s="67">
        <f>2914486.47+1573555.9-1589655.45</f>
        <v>2898386.92</v>
      </c>
      <c r="H7" s="68"/>
    </row>
    <row r="8" spans="1:9" ht="24" customHeight="1">
      <c r="A8" s="12" t="s">
        <v>16</v>
      </c>
      <c r="B8" s="24">
        <v>695485867</v>
      </c>
      <c r="C8" s="25">
        <f>219285511+381244285</f>
        <v>600529796</v>
      </c>
      <c r="G8" s="67">
        <f>-G4</f>
        <v>381244285.04999995</v>
      </c>
      <c r="H8" s="67"/>
    </row>
    <row r="9" spans="1:9" ht="24" customHeight="1">
      <c r="A9" s="12" t="s">
        <v>465</v>
      </c>
      <c r="B9" s="24">
        <v>7879149</v>
      </c>
      <c r="C9" s="25">
        <f>6157027-2113-848005</f>
        <v>5306909</v>
      </c>
      <c r="G9" s="67">
        <v>-2112.8000000000002</v>
      </c>
      <c r="H9" s="67">
        <v>-848005.35</v>
      </c>
    </row>
    <row r="10" spans="1:9" ht="24" customHeight="1">
      <c r="A10" s="61" t="s">
        <v>17</v>
      </c>
      <c r="B10" s="24">
        <v>1418582</v>
      </c>
      <c r="C10" s="25">
        <f>1429383-147696</f>
        <v>1281687</v>
      </c>
      <c r="G10" s="67"/>
      <c r="H10" s="67">
        <f>-82027023.1-147696+82027023.1</f>
        <v>-147696</v>
      </c>
    </row>
    <row r="11" spans="1:9" ht="24" customHeight="1">
      <c r="A11" s="12" t="s">
        <v>2</v>
      </c>
      <c r="B11" s="24">
        <v>9390652</v>
      </c>
      <c r="C11" s="25">
        <f>8171297-73428</f>
        <v>8097869</v>
      </c>
      <c r="G11" s="67"/>
      <c r="H11" s="67">
        <v>-73428.39</v>
      </c>
    </row>
    <row r="12" spans="1:9" ht="24" customHeight="1">
      <c r="A12" s="61" t="s">
        <v>61</v>
      </c>
      <c r="B12" s="24">
        <v>4874294</v>
      </c>
      <c r="C12" s="25">
        <f>7573002-7573002</f>
        <v>0</v>
      </c>
      <c r="G12" s="67"/>
      <c r="H12" s="67">
        <v>-7573002.0599999996</v>
      </c>
    </row>
    <row r="13" spans="1:9" ht="24" customHeight="1">
      <c r="A13" s="12" t="s">
        <v>3</v>
      </c>
      <c r="B13" s="24">
        <v>3352478</v>
      </c>
      <c r="C13" s="25">
        <f>5109532-2896274-214661</f>
        <v>1998597</v>
      </c>
      <c r="G13" s="67">
        <f>-2912373.67-1573555.9+1589655.45</f>
        <v>-2896274.12</v>
      </c>
      <c r="H13" s="67">
        <f>-52160-162500.57</f>
        <v>-214660.57</v>
      </c>
    </row>
    <row r="14" spans="1:9" s="10" customFormat="1" ht="24" customHeight="1">
      <c r="A14" s="9" t="s">
        <v>4</v>
      </c>
      <c r="B14" s="26">
        <f>SUM(B3:B13)</f>
        <v>3200796646</v>
      </c>
      <c r="C14" s="27">
        <f>SUM(C3:C13)</f>
        <v>2236285110</v>
      </c>
      <c r="G14" s="69">
        <f>SUM(G3:G13)</f>
        <v>-502440.85000000708</v>
      </c>
      <c r="H14" s="69">
        <f>SUM(H3:H13)</f>
        <v>-10899622.51</v>
      </c>
    </row>
    <row r="15" spans="1:9" ht="24" customHeight="1">
      <c r="A15" s="62" t="s">
        <v>18</v>
      </c>
      <c r="B15" s="63">
        <v>0</v>
      </c>
      <c r="C15" s="63">
        <v>0</v>
      </c>
      <c r="G15" s="67"/>
      <c r="H15" s="67"/>
      <c r="I15" s="8" t="s">
        <v>171</v>
      </c>
    </row>
    <row r="16" spans="1:9" ht="24" customHeight="1">
      <c r="A16" s="72" t="s">
        <v>174</v>
      </c>
      <c r="B16" s="73">
        <v>0</v>
      </c>
      <c r="C16" s="73">
        <v>0</v>
      </c>
      <c r="G16" s="67"/>
      <c r="H16" s="67"/>
    </row>
    <row r="17" spans="1:9" ht="43" customHeight="1">
      <c r="A17" s="19" t="s">
        <v>5</v>
      </c>
      <c r="B17" s="17" t="str">
        <f>"31.12."&amp;_labels!$B$1</f>
        <v>31.12.2016</v>
      </c>
      <c r="C17" s="22" t="str">
        <f>"31.12."&amp;_labels!$B$1-1</f>
        <v>31.12.2015</v>
      </c>
      <c r="F17" s="64" t="s">
        <v>168</v>
      </c>
      <c r="G17" s="65" t="s">
        <v>169</v>
      </c>
      <c r="H17" s="65" t="s">
        <v>172</v>
      </c>
      <c r="I17" s="64" t="s">
        <v>170</v>
      </c>
    </row>
    <row r="18" spans="1:9" ht="24" customHeight="1">
      <c r="A18" s="12" t="s">
        <v>6</v>
      </c>
      <c r="B18" s="24">
        <v>58570331</v>
      </c>
      <c r="C18" s="25">
        <f>65256162-503</f>
        <v>65255659</v>
      </c>
      <c r="G18" s="67"/>
      <c r="H18" s="67">
        <f>-1668494.53-575162.62+2243154.45</f>
        <v>-502.6999999997206</v>
      </c>
    </row>
    <row r="19" spans="1:9" ht="24" customHeight="1">
      <c r="A19" s="61" t="s">
        <v>175</v>
      </c>
      <c r="B19" s="24">
        <v>2186980318</v>
      </c>
      <c r="C19" s="25">
        <f>2046873062-3954344</f>
        <v>2042918718</v>
      </c>
      <c r="G19" s="67"/>
      <c r="H19" s="67">
        <v>-3954343.72</v>
      </c>
      <c r="I19" s="8" t="s">
        <v>177</v>
      </c>
    </row>
    <row r="20" spans="1:9" ht="24" customHeight="1">
      <c r="A20" s="70" t="s">
        <v>176</v>
      </c>
      <c r="B20" s="71">
        <v>2794957</v>
      </c>
      <c r="C20" s="71">
        <v>4463071</v>
      </c>
      <c r="G20" s="67">
        <f>4648306+1404420.55-1589655.45</f>
        <v>4463071.0999999996</v>
      </c>
      <c r="H20" s="67"/>
      <c r="I20" s="8" t="s">
        <v>178</v>
      </c>
    </row>
    <row r="21" spans="1:9" ht="24" customHeight="1">
      <c r="A21" s="12" t="s">
        <v>466</v>
      </c>
      <c r="B21" s="24">
        <f>13881341-1</f>
        <v>13881340</v>
      </c>
      <c r="C21" s="25">
        <f>14852682-13-171176</f>
        <v>14681493</v>
      </c>
      <c r="F21" s="8">
        <v>-1</v>
      </c>
      <c r="G21" s="67">
        <v>-12.65</v>
      </c>
      <c r="H21" s="67">
        <f>-77340-93836.62</f>
        <v>-171176.62</v>
      </c>
    </row>
    <row r="22" spans="1:9" ht="24" customHeight="1">
      <c r="A22" s="12" t="s">
        <v>7</v>
      </c>
      <c r="B22" s="24">
        <v>2890660</v>
      </c>
      <c r="C22" s="25">
        <f>8528259-4463058-87287</f>
        <v>3977914</v>
      </c>
      <c r="G22" s="67">
        <f>-G20-G21</f>
        <v>-4463058.4499999993</v>
      </c>
      <c r="H22" s="67">
        <f>-1469-85818.53</f>
        <v>-87287.53</v>
      </c>
    </row>
    <row r="23" spans="1:9" ht="24" customHeight="1">
      <c r="A23" s="61" t="s">
        <v>179</v>
      </c>
      <c r="B23" s="24">
        <v>9296975</v>
      </c>
      <c r="C23" s="25">
        <f>6511676-502441</f>
        <v>6009235</v>
      </c>
      <c r="G23" s="67">
        <v>-502440.85</v>
      </c>
      <c r="H23" s="67"/>
      <c r="I23" s="8" t="s">
        <v>177</v>
      </c>
    </row>
    <row r="24" spans="1:9" ht="24" customHeight="1">
      <c r="A24" s="12" t="s">
        <v>19</v>
      </c>
      <c r="B24" s="24">
        <v>23769205</v>
      </c>
      <c r="C24" s="25">
        <v>18160225</v>
      </c>
      <c r="G24" s="67"/>
      <c r="H24" s="67"/>
    </row>
    <row r="25" spans="1:9" ht="24" customHeight="1">
      <c r="A25" s="218" t="s">
        <v>180</v>
      </c>
      <c r="B25" s="24"/>
      <c r="C25" s="25"/>
      <c r="G25" s="67"/>
      <c r="H25" s="67"/>
      <c r="I25" s="8" t="s">
        <v>178</v>
      </c>
    </row>
    <row r="26" spans="1:9" ht="24" customHeight="1">
      <c r="A26" s="12" t="s">
        <v>167</v>
      </c>
      <c r="B26" s="24">
        <v>32000000</v>
      </c>
      <c r="C26" s="25">
        <f>36000000-4000000</f>
        <v>32000000</v>
      </c>
      <c r="G26" s="67"/>
      <c r="H26" s="67">
        <f>-36000000-4615500+36615500</f>
        <v>-4000000</v>
      </c>
    </row>
    <row r="27" spans="1:9" ht="24" customHeight="1">
      <c r="A27" s="70" t="s">
        <v>200</v>
      </c>
      <c r="B27" s="24">
        <v>7661301</v>
      </c>
      <c r="C27" s="25">
        <f>6411301+1250000</f>
        <v>7661301</v>
      </c>
      <c r="G27" s="67">
        <v>7661301</v>
      </c>
      <c r="H27" s="67">
        <f>1250000*0</f>
        <v>0</v>
      </c>
    </row>
    <row r="28" spans="1:9" ht="24" customHeight="1">
      <c r="A28" s="12" t="s">
        <v>285</v>
      </c>
      <c r="B28" s="24">
        <f>75176279+5803073-29188</f>
        <v>80950164</v>
      </c>
      <c r="C28" s="25">
        <f>57398347+17646549-13227184+5565883</f>
        <v>67383595</v>
      </c>
      <c r="G28" s="67">
        <f>-7661301</f>
        <v>-7661301</v>
      </c>
      <c r="H28" s="67">
        <f>1250000-43583554.51+3285786.07+56738316.82-43999.7</f>
        <v>17646548.680000003</v>
      </c>
    </row>
    <row r="29" spans="1:9" ht="24" customHeight="1">
      <c r="A29" s="12" t="s">
        <v>404</v>
      </c>
      <c r="B29" s="24">
        <v>29188</v>
      </c>
      <c r="C29" s="25">
        <v>0</v>
      </c>
      <c r="G29" s="67"/>
      <c r="H29" s="67"/>
    </row>
    <row r="30" spans="1:9" ht="24" customHeight="1">
      <c r="A30" s="62" t="s">
        <v>20</v>
      </c>
      <c r="B30" s="63">
        <v>0</v>
      </c>
      <c r="C30" s="63">
        <f>23398345-23398345</f>
        <v>0</v>
      </c>
      <c r="G30" s="67"/>
      <c r="H30" s="67">
        <v>-23398344.780000001</v>
      </c>
    </row>
    <row r="31" spans="1:9" ht="24" customHeight="1">
      <c r="A31" s="12" t="s">
        <v>400</v>
      </c>
      <c r="B31" s="24">
        <v>15052217</v>
      </c>
      <c r="C31" s="25">
        <f>11482365+3065484</f>
        <v>14547849</v>
      </c>
      <c r="G31" s="67"/>
      <c r="H31" s="67">
        <f>-748325.04+521260.52+3292548.7</f>
        <v>3065484.18</v>
      </c>
    </row>
    <row r="32" spans="1:9" ht="24" customHeight="1">
      <c r="A32" s="62" t="s">
        <v>21</v>
      </c>
      <c r="B32" s="63"/>
      <c r="C32" s="63">
        <f>3039538-3039538</f>
        <v>0</v>
      </c>
      <c r="G32" s="67"/>
      <c r="H32" s="67">
        <v>-3039538</v>
      </c>
    </row>
    <row r="33" spans="1:9" ht="24" customHeight="1">
      <c r="A33" s="81" t="s">
        <v>182</v>
      </c>
      <c r="B33" s="63">
        <f>SUM(B26:B32)</f>
        <v>135692870</v>
      </c>
      <c r="C33" s="63">
        <f>SUM(C26:C32)</f>
        <v>121592745</v>
      </c>
      <c r="G33" s="67"/>
      <c r="H33" s="67"/>
      <c r="I33" s="8" t="s">
        <v>178</v>
      </c>
    </row>
    <row r="34" spans="1:9" s="10" customFormat="1" ht="24" customHeight="1">
      <c r="A34" s="9" t="s">
        <v>8</v>
      </c>
      <c r="B34" s="26">
        <f>SUM(B18:B31)</f>
        <v>2433876656</v>
      </c>
      <c r="C34" s="27">
        <f>SUM(C18:C31)</f>
        <v>2277059060</v>
      </c>
      <c r="G34" s="69">
        <f>SUM(G18:G32)</f>
        <v>-502440.84999999963</v>
      </c>
      <c r="H34" s="69">
        <f>SUM(H18:H31)</f>
        <v>-10899622.489999998</v>
      </c>
    </row>
    <row r="35" spans="1:9" ht="24" customHeight="1">
      <c r="A35" s="62" t="s">
        <v>22</v>
      </c>
      <c r="B35" s="63">
        <v>0</v>
      </c>
      <c r="C35" s="63">
        <v>0</v>
      </c>
      <c r="G35" s="67"/>
      <c r="H35" s="67"/>
    </row>
    <row r="36" spans="1:9" ht="19" customHeight="1">
      <c r="A36" s="72" t="s">
        <v>181</v>
      </c>
      <c r="B36" s="73">
        <v>0</v>
      </c>
      <c r="C36" s="73">
        <v>0</v>
      </c>
      <c r="G36" s="67">
        <f>+G34-G14</f>
        <v>7.4505805969238281E-9</v>
      </c>
      <c r="H36" s="67">
        <f>+H34-H14</f>
        <v>2.0000001415610313E-2</v>
      </c>
    </row>
    <row r="37" spans="1:9" ht="19" customHeight="1">
      <c r="G37" s="67"/>
      <c r="H37" s="67"/>
    </row>
    <row r="38" spans="1:9" ht="19" customHeight="1">
      <c r="G38" s="67"/>
      <c r="H38" s="67"/>
    </row>
    <row r="39" spans="1:9" ht="19" customHeight="1">
      <c r="B39" s="7">
        <f>+B14-B34</f>
        <v>766919990</v>
      </c>
      <c r="C39" s="7">
        <f>+C14-C34</f>
        <v>-40773950</v>
      </c>
      <c r="G39" s="67"/>
      <c r="H39" s="67"/>
    </row>
    <row r="40" spans="1:9" ht="19" customHeight="1">
      <c r="G40" s="67"/>
      <c r="H40" s="67"/>
    </row>
    <row r="41" spans="1:9" ht="19" customHeight="1">
      <c r="G41" s="67"/>
      <c r="H41" s="67"/>
    </row>
    <row r="42" spans="1:9" ht="19" customHeight="1">
      <c r="G42" s="67"/>
      <c r="H42" s="67"/>
    </row>
    <row r="43" spans="1:9" ht="19" customHeight="1">
      <c r="G43" s="67"/>
      <c r="H43" s="67"/>
    </row>
    <row r="44" spans="1:9" ht="19" customHeight="1">
      <c r="G44" s="67"/>
      <c r="H44" s="67"/>
    </row>
    <row r="45" spans="1:9" ht="19" customHeight="1">
      <c r="G45" s="67"/>
      <c r="H45" s="67"/>
    </row>
    <row r="46" spans="1:9" ht="19" customHeight="1">
      <c r="G46" s="67"/>
      <c r="H46" s="67"/>
    </row>
    <row r="47" spans="1:9" ht="19" customHeight="1">
      <c r="G47" s="67"/>
      <c r="H47" s="67"/>
    </row>
    <row r="48" spans="1:9" ht="19" customHeight="1">
      <c r="G48" s="67"/>
      <c r="H48" s="67"/>
    </row>
    <row r="49" spans="7:8" ht="19" customHeight="1">
      <c r="G49" s="67"/>
      <c r="H49" s="67"/>
    </row>
    <row r="50" spans="7:8" ht="19" customHeight="1">
      <c r="G50" s="67"/>
      <c r="H50" s="67"/>
    </row>
    <row r="51" spans="7:8" ht="19" customHeight="1">
      <c r="G51" s="67"/>
      <c r="H51" s="67"/>
    </row>
    <row r="52" spans="7:8" ht="19" customHeight="1">
      <c r="G52" s="67"/>
      <c r="H52" s="67"/>
    </row>
    <row r="53" spans="7:8" ht="19" customHeight="1">
      <c r="G53" s="67"/>
      <c r="H53" s="67"/>
    </row>
    <row r="54" spans="7:8" ht="19" customHeight="1">
      <c r="G54" s="67"/>
      <c r="H54" s="67"/>
    </row>
    <row r="55" spans="7:8" ht="19" customHeight="1">
      <c r="G55" s="67"/>
      <c r="H55" s="67"/>
    </row>
  </sheetData>
  <phoneticPr fontId="16" type="noConversion"/>
  <pageMargins left="0.35433070866141736" right="0.19685039370078741" top="0.49" bottom="0.70866141732283472" header="0.25" footer="0.51181102362204722"/>
  <pageSetup paperSize="9" scale="57" orientation="portrait" horizontalDpi="1200" verticalDpi="1200"/>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
  <sheetViews>
    <sheetView workbookViewId="0">
      <selection activeCell="A7" sqref="A7"/>
    </sheetView>
  </sheetViews>
  <sheetFormatPr baseColWidth="10" defaultColWidth="10.83203125" defaultRowHeight="19" customHeight="1" x14ac:dyDescent="0"/>
  <cols>
    <col min="1" max="1" width="65.1640625" style="11" bestFit="1" customWidth="1"/>
    <col min="2" max="2" width="14.1640625" style="7" customWidth="1"/>
    <col min="3" max="3" width="14.83203125" style="7" customWidth="1"/>
    <col min="4" max="4" width="15.1640625" style="7" customWidth="1"/>
    <col min="5" max="5" width="14.1640625" style="7" customWidth="1"/>
    <col min="6" max="6" width="11.33203125" style="8" customWidth="1"/>
    <col min="7" max="16384" width="10.83203125" style="8"/>
  </cols>
  <sheetData>
    <row r="1" spans="1:7" ht="43" customHeight="1">
      <c r="A1" s="48" t="s">
        <v>68</v>
      </c>
      <c r="B1" s="17"/>
      <c r="C1" s="17"/>
      <c r="D1" s="17"/>
      <c r="E1" s="17"/>
    </row>
    <row r="2" spans="1:7" ht="19" customHeight="1">
      <c r="A2" s="72" t="s">
        <v>233</v>
      </c>
      <c r="B2" s="88"/>
      <c r="C2" s="88"/>
      <c r="D2" s="88"/>
      <c r="E2" s="88"/>
    </row>
    <row r="3" spans="1:7" ht="30" customHeight="1">
      <c r="B3" s="98" t="s">
        <v>234</v>
      </c>
      <c r="C3" s="98" t="s">
        <v>235</v>
      </c>
      <c r="D3" s="98" t="s">
        <v>236</v>
      </c>
      <c r="E3" s="98" t="s">
        <v>237</v>
      </c>
      <c r="F3" s="98" t="s">
        <v>238</v>
      </c>
      <c r="G3" s="98" t="s">
        <v>239</v>
      </c>
    </row>
    <row r="4" spans="1:7" ht="19" customHeight="1">
      <c r="A4" s="9" t="s">
        <v>513</v>
      </c>
      <c r="B4" s="24">
        <f>352175+39582</f>
        <v>391757</v>
      </c>
      <c r="C4" s="24">
        <f>121891+15293</f>
        <v>137184</v>
      </c>
      <c r="D4" s="24">
        <f>88748+10787</f>
        <v>99535</v>
      </c>
      <c r="E4" s="24">
        <v>21742</v>
      </c>
      <c r="F4" s="24">
        <v>44540</v>
      </c>
      <c r="G4" s="24">
        <f>198</f>
        <v>198</v>
      </c>
    </row>
    <row r="5" spans="1:7" ht="19" customHeight="1">
      <c r="B5" s="88"/>
      <c r="C5" s="88"/>
      <c r="D5" s="88"/>
      <c r="E5" s="88"/>
    </row>
    <row r="6" spans="1:7" ht="19" customHeight="1">
      <c r="A6" s="11" t="s">
        <v>514</v>
      </c>
      <c r="B6" s="88"/>
      <c r="C6" s="88"/>
      <c r="D6" s="88"/>
      <c r="E6" s="88"/>
    </row>
    <row r="7" spans="1:7" ht="19" customHeight="1">
      <c r="B7" s="88"/>
      <c r="C7" s="88"/>
      <c r="D7" s="88"/>
      <c r="E7" s="88"/>
    </row>
  </sheetData>
  <pageMargins left="0.39" right="0.28000000000000003" top="0.76" bottom="1" header="0.5" footer="0.5"/>
  <pageSetup paperSize="9" scale="61" orientation="portrait" horizontalDpi="1200" verticalDpi="1200"/>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9"/>
  <sheetViews>
    <sheetView workbookViewId="0">
      <selection activeCell="A9" sqref="A9"/>
    </sheetView>
  </sheetViews>
  <sheetFormatPr baseColWidth="10" defaultColWidth="10.83203125" defaultRowHeight="19" customHeight="1" x14ac:dyDescent="0"/>
  <cols>
    <col min="1" max="1" width="42" style="11" customWidth="1"/>
    <col min="2" max="2" width="13.6640625" style="11" customWidth="1"/>
    <col min="3" max="3" width="15.33203125" style="11" customWidth="1"/>
    <col min="4" max="4" width="11.6640625" style="11" customWidth="1"/>
    <col min="5" max="5" width="11.1640625" style="11" customWidth="1"/>
    <col min="6" max="6" width="10.33203125" style="11" customWidth="1"/>
    <col min="7" max="7" width="10.83203125" style="11" customWidth="1"/>
    <col min="8" max="8" width="9.1640625" style="11" customWidth="1"/>
    <col min="9" max="9" width="12.1640625" style="11" customWidth="1"/>
    <col min="10" max="11" width="20.83203125" style="7" customWidth="1"/>
    <col min="12" max="16384" width="10.83203125" style="8"/>
  </cols>
  <sheetData>
    <row r="1" spans="1:13" ht="43" customHeight="1">
      <c r="A1" s="48" t="s">
        <v>68</v>
      </c>
      <c r="B1" s="48"/>
      <c r="C1" s="48"/>
      <c r="D1" s="48"/>
      <c r="E1" s="48"/>
      <c r="F1" s="48"/>
      <c r="G1" s="48"/>
      <c r="H1" s="48"/>
      <c r="I1" s="48"/>
      <c r="J1" s="17"/>
      <c r="K1" s="17"/>
      <c r="L1" s="17"/>
      <c r="M1" s="17"/>
    </row>
    <row r="2" spans="1:13" ht="43" customHeight="1">
      <c r="A2" s="60" t="s">
        <v>17</v>
      </c>
      <c r="B2" s="236"/>
      <c r="C2" s="236"/>
      <c r="D2" s="236"/>
      <c r="E2" s="237"/>
      <c r="F2" s="238"/>
      <c r="G2" s="238"/>
      <c r="H2" s="238"/>
      <c r="I2" s="238"/>
      <c r="J2" s="17"/>
      <c r="K2" s="17"/>
      <c r="L2" s="99"/>
      <c r="M2" s="99"/>
    </row>
    <row r="3" spans="1:13" ht="109.5" customHeight="1">
      <c r="B3" s="55" t="s">
        <v>242</v>
      </c>
      <c r="C3" s="55" t="s">
        <v>477</v>
      </c>
      <c r="D3" s="55" t="s">
        <v>244</v>
      </c>
      <c r="E3" s="17" t="s">
        <v>393</v>
      </c>
      <c r="F3" s="17" t="s">
        <v>89</v>
      </c>
      <c r="G3" s="17" t="s">
        <v>394</v>
      </c>
      <c r="H3" s="17" t="s">
        <v>478</v>
      </c>
      <c r="I3" s="17" t="s">
        <v>245</v>
      </c>
      <c r="J3" s="17"/>
      <c r="K3" s="22"/>
    </row>
    <row r="4" spans="1:13" ht="23.25" customHeight="1">
      <c r="A4" s="6"/>
      <c r="B4" s="17"/>
      <c r="C4" s="17"/>
      <c r="D4" s="17"/>
      <c r="E4" s="17"/>
      <c r="F4" s="17"/>
      <c r="G4" s="99"/>
      <c r="H4" s="99"/>
      <c r="I4" s="99"/>
      <c r="J4" s="99"/>
      <c r="K4" s="22"/>
    </row>
    <row r="5" spans="1:13" ht="43" customHeight="1">
      <c r="A5" s="19" t="s">
        <v>243</v>
      </c>
      <c r="B5" s="19"/>
      <c r="C5" s="19"/>
      <c r="D5" s="19"/>
      <c r="E5" s="19"/>
      <c r="F5" s="19"/>
      <c r="G5" s="19"/>
      <c r="H5" s="19"/>
      <c r="I5" s="19"/>
    </row>
    <row r="6" spans="1:13" ht="24" customHeight="1">
      <c r="A6" s="20" t="s">
        <v>80</v>
      </c>
      <c r="B6" s="25">
        <f>1313+4+47+147</f>
        <v>1511</v>
      </c>
      <c r="C6" s="25">
        <v>-82</v>
      </c>
      <c r="D6" s="25">
        <f>SUM(B6:C6)</f>
        <v>1429</v>
      </c>
      <c r="E6" s="24"/>
      <c r="F6" s="24"/>
      <c r="G6" s="24">
        <v>-6</v>
      </c>
      <c r="H6" s="24">
        <v>-4</v>
      </c>
      <c r="I6" s="24">
        <f>SUM(D6:H6)</f>
        <v>1419</v>
      </c>
      <c r="J6" s="24"/>
      <c r="K6" s="25"/>
    </row>
    <row r="7" spans="1:13" ht="24" customHeight="1">
      <c r="A7" s="9" t="s">
        <v>475</v>
      </c>
      <c r="B7" s="27">
        <f>1313+4+47+147</f>
        <v>1511</v>
      </c>
      <c r="C7" s="27">
        <v>-82</v>
      </c>
      <c r="D7" s="27">
        <f>SUM(B7:C7)</f>
        <v>1429</v>
      </c>
      <c r="E7" s="26"/>
      <c r="F7" s="26"/>
      <c r="G7" s="26">
        <v>-6</v>
      </c>
      <c r="H7" s="26">
        <v>-4</v>
      </c>
      <c r="I7" s="26">
        <f>SUM(D7:H7)</f>
        <v>1419</v>
      </c>
      <c r="J7" s="24"/>
      <c r="K7" s="25"/>
    </row>
    <row r="8" spans="1:13" ht="24" customHeight="1">
      <c r="A8" s="9"/>
      <c r="B8" s="9"/>
      <c r="C8" s="9"/>
      <c r="D8" s="9"/>
      <c r="E8" s="9"/>
      <c r="F8" s="9"/>
      <c r="G8" s="9"/>
      <c r="H8" s="9"/>
      <c r="I8" s="9"/>
      <c r="J8" s="24"/>
      <c r="K8" s="25"/>
    </row>
    <row r="9" spans="1:13" ht="24" customHeight="1">
      <c r="A9" s="12" t="s">
        <v>497</v>
      </c>
      <c r="B9" s="12"/>
      <c r="C9" s="12"/>
      <c r="D9" s="12"/>
      <c r="E9" s="12"/>
      <c r="F9" s="12"/>
      <c r="G9" s="12"/>
      <c r="H9" s="12"/>
      <c r="I9" s="12"/>
      <c r="J9" s="24"/>
      <c r="K9" s="25"/>
    </row>
  </sheetData>
  <mergeCells count="2">
    <mergeCell ref="B2:D2"/>
    <mergeCell ref="E2:I2"/>
  </mergeCells>
  <pageMargins left="0.47" right="0.55000000000000004" top="1" bottom="1" header="0.5" footer="0.5"/>
  <pageSetup paperSize="9" scale="63" orientation="portrait" horizontalDpi="1200" verticalDpi="1200"/>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2"/>
  <sheetViews>
    <sheetView workbookViewId="0">
      <selection activeCell="A23" sqref="A23"/>
    </sheetView>
  </sheetViews>
  <sheetFormatPr baseColWidth="10" defaultColWidth="10.83203125" defaultRowHeight="19" customHeight="1" outlineLevelRow="1" x14ac:dyDescent="0"/>
  <cols>
    <col min="1" max="1" width="42" style="11" customWidth="1"/>
    <col min="2" max="2" width="30.33203125" style="11" customWidth="1"/>
    <col min="3" max="3" width="5.5" style="11" customWidth="1"/>
    <col min="4" max="4" width="15.6640625" style="11" customWidth="1"/>
    <col min="5" max="5" width="12.6640625" style="11" customWidth="1"/>
    <col min="6" max="6" width="12.1640625" style="11" customWidth="1"/>
    <col min="7" max="7" width="10.33203125" style="11" customWidth="1"/>
    <col min="8" max="8" width="11.5" style="11" customWidth="1"/>
    <col min="9" max="9" width="9.1640625" style="11" customWidth="1"/>
    <col min="10" max="10" width="8.33203125" style="11" customWidth="1"/>
    <col min="11" max="11" width="10.6640625" style="11" customWidth="1"/>
    <col min="12" max="13" width="20.83203125" style="7" customWidth="1"/>
    <col min="14" max="16384" width="10.83203125" style="8"/>
  </cols>
  <sheetData>
    <row r="1" spans="1:15" ht="43" customHeight="1">
      <c r="A1" s="48" t="s">
        <v>68</v>
      </c>
      <c r="B1" s="48"/>
      <c r="C1" s="48"/>
      <c r="D1" s="48"/>
      <c r="E1" s="48"/>
      <c r="F1" s="48"/>
      <c r="G1" s="48"/>
      <c r="H1" s="48"/>
      <c r="I1" s="48"/>
      <c r="J1" s="48"/>
      <c r="K1" s="48"/>
      <c r="L1" s="17"/>
      <c r="M1" s="17"/>
      <c r="N1" s="17"/>
      <c r="O1" s="17"/>
    </row>
    <row r="2" spans="1:15" ht="43" customHeight="1">
      <c r="A2" s="6"/>
      <c r="B2" s="177"/>
      <c r="C2" s="177"/>
      <c r="D2" s="177"/>
      <c r="E2" s="177"/>
      <c r="F2" s="178"/>
      <c r="G2" s="179"/>
      <c r="H2" s="179"/>
      <c r="I2" s="179"/>
      <c r="J2" s="179"/>
      <c r="K2" s="179"/>
      <c r="L2" s="17"/>
      <c r="M2" s="17"/>
      <c r="N2" s="99"/>
      <c r="O2" s="99"/>
    </row>
    <row r="3" spans="1:15" ht="19" customHeight="1">
      <c r="A3" s="100" t="s">
        <v>459</v>
      </c>
      <c r="B3" s="101"/>
      <c r="C3" s="101"/>
      <c r="D3" s="89"/>
      <c r="E3" s="8"/>
    </row>
    <row r="4" spans="1:15" ht="19" customHeight="1">
      <c r="A4" s="100"/>
      <c r="B4" s="101"/>
      <c r="C4" s="101"/>
      <c r="D4" s="89"/>
      <c r="E4" s="8"/>
    </row>
    <row r="5" spans="1:15" ht="43.5" customHeight="1">
      <c r="A5" s="103" t="s">
        <v>247</v>
      </c>
      <c r="B5" s="104" t="s">
        <v>248</v>
      </c>
      <c r="C5" s="104"/>
      <c r="D5" s="89" t="s">
        <v>507</v>
      </c>
      <c r="E5" s="89" t="s">
        <v>460</v>
      </c>
      <c r="F5" s="89" t="s">
        <v>461</v>
      </c>
      <c r="G5" s="89" t="s">
        <v>259</v>
      </c>
      <c r="H5" s="89" t="s">
        <v>258</v>
      </c>
    </row>
    <row r="6" spans="1:15" ht="28.5" customHeight="1">
      <c r="A6" s="102" t="s">
        <v>246</v>
      </c>
      <c r="B6" s="104"/>
      <c r="C6" s="104"/>
      <c r="D6" s="89"/>
      <c r="E6" s="89"/>
      <c r="F6" s="89"/>
      <c r="G6" s="89"/>
      <c r="H6" s="144"/>
    </row>
    <row r="7" spans="1:15" ht="19" customHeight="1">
      <c r="A7" s="21" t="s">
        <v>249</v>
      </c>
      <c r="B7" s="105" t="s">
        <v>250</v>
      </c>
      <c r="C7" s="105" t="s">
        <v>123</v>
      </c>
      <c r="D7" s="24">
        <v>25000</v>
      </c>
      <c r="E7" s="106">
        <v>1</v>
      </c>
      <c r="F7" s="106">
        <v>1</v>
      </c>
      <c r="G7" s="106">
        <v>1</v>
      </c>
    </row>
    <row r="8" spans="1:15" ht="19" customHeight="1">
      <c r="A8" s="21" t="s">
        <v>251</v>
      </c>
      <c r="B8" s="105" t="s">
        <v>252</v>
      </c>
      <c r="C8" s="105" t="s">
        <v>310</v>
      </c>
      <c r="D8" s="24">
        <v>3500</v>
      </c>
      <c r="E8" s="106">
        <v>1</v>
      </c>
      <c r="F8" s="106">
        <v>1</v>
      </c>
      <c r="G8" s="106">
        <v>1</v>
      </c>
    </row>
    <row r="9" spans="1:15" ht="19" customHeight="1">
      <c r="A9" s="21" t="s">
        <v>253</v>
      </c>
      <c r="B9" s="105" t="s">
        <v>254</v>
      </c>
      <c r="C9" s="105" t="s">
        <v>407</v>
      </c>
      <c r="D9" s="24">
        <v>8524</v>
      </c>
      <c r="E9" s="106">
        <v>1</v>
      </c>
      <c r="F9" s="106">
        <v>1</v>
      </c>
      <c r="G9" s="106">
        <v>1</v>
      </c>
    </row>
    <row r="10" spans="1:15" ht="30" customHeight="1">
      <c r="A10" s="102" t="s">
        <v>411</v>
      </c>
      <c r="B10" s="105"/>
      <c r="C10" s="105"/>
      <c r="D10" s="24"/>
      <c r="E10" s="106"/>
      <c r="F10" s="106"/>
      <c r="G10" s="106"/>
    </row>
    <row r="11" spans="1:15" ht="19" customHeight="1">
      <c r="A11" s="11" t="s">
        <v>261</v>
      </c>
      <c r="B11" s="11" t="s">
        <v>263</v>
      </c>
      <c r="C11" s="11" t="s">
        <v>123</v>
      </c>
      <c r="D11" s="24">
        <v>1000</v>
      </c>
      <c r="E11" s="106">
        <v>0.83330000000000004</v>
      </c>
      <c r="F11" s="106">
        <v>0.2</v>
      </c>
      <c r="G11" s="106">
        <v>0.83330000000000004</v>
      </c>
    </row>
    <row r="12" spans="1:15" ht="19" customHeight="1">
      <c r="A12" s="11" t="s">
        <v>262</v>
      </c>
      <c r="B12" s="11" t="s">
        <v>263</v>
      </c>
      <c r="C12" s="11" t="s">
        <v>310</v>
      </c>
      <c r="D12" s="24">
        <v>96</v>
      </c>
      <c r="E12" s="106">
        <v>0.2</v>
      </c>
      <c r="F12" s="106">
        <v>0.2</v>
      </c>
      <c r="G12" s="106">
        <v>0.2</v>
      </c>
    </row>
    <row r="13" spans="1:15" ht="19" customHeight="1">
      <c r="A13" s="11" t="s">
        <v>515</v>
      </c>
      <c r="B13" s="11" t="s">
        <v>260</v>
      </c>
      <c r="C13" s="11" t="s">
        <v>123</v>
      </c>
      <c r="D13" s="24">
        <v>100</v>
      </c>
      <c r="E13" s="106">
        <v>1</v>
      </c>
      <c r="F13" s="106">
        <v>1</v>
      </c>
      <c r="G13" s="106">
        <v>1</v>
      </c>
    </row>
    <row r="14" spans="1:15" ht="19" customHeight="1">
      <c r="A14" s="11" t="s">
        <v>264</v>
      </c>
      <c r="B14" s="11" t="s">
        <v>265</v>
      </c>
      <c r="C14" s="11" t="s">
        <v>123</v>
      </c>
      <c r="D14" s="24">
        <v>100</v>
      </c>
      <c r="E14" s="106">
        <v>1</v>
      </c>
      <c r="F14" s="106">
        <v>1</v>
      </c>
      <c r="G14" s="106">
        <v>1</v>
      </c>
    </row>
    <row r="15" spans="1:15" ht="19" customHeight="1">
      <c r="A15" s="11" t="s">
        <v>516</v>
      </c>
      <c r="B15" s="11" t="s">
        <v>260</v>
      </c>
      <c r="C15" s="11" t="s">
        <v>123</v>
      </c>
      <c r="D15" s="24">
        <v>18</v>
      </c>
      <c r="E15" s="106">
        <v>1</v>
      </c>
      <c r="F15" s="106">
        <v>1</v>
      </c>
      <c r="G15" s="106">
        <v>1</v>
      </c>
    </row>
    <row r="16" spans="1:15" ht="19" customHeight="1">
      <c r="A16" s="11" t="s">
        <v>267</v>
      </c>
      <c r="B16" s="11" t="s">
        <v>266</v>
      </c>
      <c r="C16" s="11" t="s">
        <v>310</v>
      </c>
      <c r="D16" s="24">
        <v>0</v>
      </c>
      <c r="E16" s="106">
        <v>1</v>
      </c>
      <c r="F16" s="106">
        <v>1</v>
      </c>
      <c r="G16" s="106">
        <v>1</v>
      </c>
    </row>
    <row r="17" spans="1:7" ht="19" customHeight="1">
      <c r="A17" s="11" t="s">
        <v>453</v>
      </c>
      <c r="B17" s="11" t="s">
        <v>456</v>
      </c>
      <c r="C17" s="11" t="s">
        <v>123</v>
      </c>
      <c r="D17" s="24">
        <v>11</v>
      </c>
      <c r="E17" s="106">
        <v>1</v>
      </c>
      <c r="F17" s="106">
        <v>1</v>
      </c>
      <c r="G17" s="106">
        <v>1</v>
      </c>
    </row>
    <row r="18" spans="1:7" ht="19" customHeight="1">
      <c r="A18" s="11" t="s">
        <v>517</v>
      </c>
      <c r="B18" s="11" t="s">
        <v>456</v>
      </c>
      <c r="C18" s="11" t="s">
        <v>123</v>
      </c>
      <c r="D18" s="24">
        <v>11</v>
      </c>
      <c r="E18" s="106">
        <v>1</v>
      </c>
      <c r="F18" s="106">
        <v>1</v>
      </c>
      <c r="G18" s="106">
        <v>1</v>
      </c>
    </row>
    <row r="19" spans="1:7" ht="19" customHeight="1">
      <c r="A19" s="11" t="s">
        <v>454</v>
      </c>
      <c r="B19" s="11" t="s">
        <v>456</v>
      </c>
      <c r="C19" s="11" t="s">
        <v>123</v>
      </c>
      <c r="D19" s="24">
        <v>12</v>
      </c>
      <c r="E19" s="106">
        <v>1</v>
      </c>
      <c r="F19" s="106">
        <v>1</v>
      </c>
      <c r="G19" s="106">
        <v>1</v>
      </c>
    </row>
    <row r="20" spans="1:7" ht="19" customHeight="1">
      <c r="A20" s="11" t="s">
        <v>455</v>
      </c>
      <c r="B20" s="11" t="s">
        <v>456</v>
      </c>
      <c r="C20" s="11" t="s">
        <v>123</v>
      </c>
      <c r="D20" s="24">
        <v>12</v>
      </c>
      <c r="E20" s="106">
        <v>1</v>
      </c>
      <c r="F20" s="106">
        <v>1</v>
      </c>
      <c r="G20" s="106">
        <v>1</v>
      </c>
    </row>
    <row r="21" spans="1:7" ht="19" customHeight="1">
      <c r="A21" s="21"/>
      <c r="B21" s="105"/>
      <c r="C21" s="105"/>
      <c r="D21" s="24"/>
      <c r="E21" s="106"/>
      <c r="F21" s="106"/>
      <c r="G21" s="106"/>
    </row>
    <row r="22" spans="1:7" ht="19" customHeight="1">
      <c r="A22" s="21" t="s">
        <v>518</v>
      </c>
      <c r="B22" s="105"/>
      <c r="C22" s="105"/>
      <c r="D22" s="24"/>
      <c r="E22" s="106"/>
      <c r="F22" s="106"/>
      <c r="G22" s="106"/>
    </row>
    <row r="23" spans="1:7" ht="16.5" customHeight="1">
      <c r="A23" s="21"/>
      <c r="B23" s="105"/>
      <c r="C23" s="105"/>
      <c r="D23" s="24"/>
      <c r="E23" s="106"/>
      <c r="F23" s="106"/>
      <c r="G23" s="106"/>
    </row>
    <row r="24" spans="1:7" ht="19" hidden="1" customHeight="1" outlineLevel="1">
      <c r="A24" s="21"/>
      <c r="B24" s="105"/>
      <c r="C24" s="105"/>
      <c r="D24" s="24"/>
      <c r="E24" s="106"/>
      <c r="F24" s="106"/>
      <c r="G24" s="106"/>
    </row>
    <row r="25" spans="1:7" ht="19" hidden="1" customHeight="1" outlineLevel="1"/>
    <row r="26" spans="1:7" ht="19" hidden="1" customHeight="1" outlineLevel="1"/>
    <row r="27" spans="1:7" ht="19" hidden="1" customHeight="1" outlineLevel="1">
      <c r="A27" s="164" t="s">
        <v>410</v>
      </c>
    </row>
    <row r="28" spans="1:7" ht="19" customHeight="1" collapsed="1">
      <c r="A28" s="21" t="s">
        <v>408</v>
      </c>
      <c r="B28" s="105"/>
      <c r="C28" s="24"/>
      <c r="D28" s="106"/>
      <c r="E28" s="106"/>
      <c r="F28" s="106"/>
    </row>
    <row r="29" spans="1:7" ht="15" customHeight="1">
      <c r="A29" s="21"/>
      <c r="B29" s="105"/>
      <c r="C29" s="24"/>
      <c r="D29" s="106"/>
      <c r="E29" s="106"/>
      <c r="F29" s="106"/>
    </row>
    <row r="30" spans="1:7" ht="33" customHeight="1">
      <c r="A30" s="239" t="s">
        <v>409</v>
      </c>
      <c r="B30" s="239"/>
      <c r="C30" s="239"/>
      <c r="D30" s="239"/>
      <c r="E30" s="239"/>
      <c r="F30" s="239"/>
      <c r="G30" s="239"/>
    </row>
    <row r="31" spans="1:7" ht="14.25" customHeight="1"/>
    <row r="32" spans="1:7" ht="19" customHeight="1">
      <c r="A32" s="11" t="s">
        <v>412</v>
      </c>
    </row>
  </sheetData>
  <mergeCells count="1">
    <mergeCell ref="A30:G30"/>
  </mergeCells>
  <pageMargins left="0.4" right="0.41" top="0.7" bottom="0.68" header="0.51181102362204722" footer="0.51181102362204722"/>
  <pageSetup paperSize="9" scale="68" orientation="portrait" horizontalDpi="1200" verticalDpi="12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67"/>
  <sheetViews>
    <sheetView workbookViewId="0">
      <selection activeCell="D4" sqref="D4"/>
    </sheetView>
  </sheetViews>
  <sheetFormatPr baseColWidth="10" defaultColWidth="10.83203125" defaultRowHeight="19" customHeight="1" x14ac:dyDescent="0"/>
  <cols>
    <col min="1" max="1" width="35.33203125" style="11" customWidth="1"/>
    <col min="2" max="2" width="15.1640625" style="7" customWidth="1"/>
    <col min="3" max="3" width="10" style="7" customWidth="1"/>
    <col min="4" max="4" width="11.6640625" style="7" customWidth="1"/>
    <col min="5" max="5" width="15.83203125" style="7" customWidth="1"/>
    <col min="6" max="6" width="9.6640625" style="7" customWidth="1"/>
    <col min="7" max="7" width="12.1640625" style="7" customWidth="1"/>
    <col min="8" max="8" width="10.83203125" style="7" customWidth="1"/>
    <col min="9" max="9" width="12.33203125" style="7" customWidth="1"/>
    <col min="10" max="10" width="15.83203125" style="7" customWidth="1"/>
    <col min="11" max="14" width="10.83203125" style="8"/>
    <col min="15" max="15" width="15.6640625" style="8" bestFit="1" customWidth="1"/>
    <col min="16" max="16384" width="10.83203125" style="8"/>
  </cols>
  <sheetData>
    <row r="1" spans="1:15" ht="43" customHeight="1">
      <c r="A1" s="48" t="s">
        <v>68</v>
      </c>
      <c r="B1" s="17"/>
      <c r="C1" s="17"/>
      <c r="D1" s="17"/>
      <c r="E1" s="17"/>
      <c r="F1" s="17"/>
      <c r="G1" s="17"/>
      <c r="H1" s="17"/>
      <c r="I1" s="17"/>
      <c r="J1" s="17"/>
      <c r="K1" s="17"/>
    </row>
    <row r="2" spans="1:15" ht="43" customHeight="1">
      <c r="A2" s="100" t="s">
        <v>112</v>
      </c>
      <c r="B2" s="17"/>
      <c r="C2" s="17"/>
      <c r="D2" s="17"/>
      <c r="E2" s="17"/>
      <c r="F2" s="155"/>
      <c r="G2" s="155"/>
      <c r="H2" s="155"/>
      <c r="I2" s="155"/>
      <c r="J2" s="155"/>
      <c r="K2" s="99"/>
    </row>
    <row r="3" spans="1:15" ht="43" customHeight="1">
      <c r="B3" s="16"/>
      <c r="C3" s="16"/>
      <c r="D3" s="16"/>
      <c r="E3" s="16"/>
      <c r="F3" s="240" t="s">
        <v>86</v>
      </c>
      <c r="G3" s="240"/>
      <c r="H3" s="240"/>
      <c r="I3" s="240"/>
      <c r="J3" s="240"/>
      <c r="O3" s="8" t="s">
        <v>255</v>
      </c>
    </row>
    <row r="4" spans="1:15" ht="57" customHeight="1">
      <c r="A4" s="19"/>
      <c r="B4" s="38" t="s">
        <v>87</v>
      </c>
      <c r="C4" s="38" t="s">
        <v>395</v>
      </c>
      <c r="D4" s="38" t="s">
        <v>88</v>
      </c>
      <c r="E4" s="38" t="str">
        <f>"Valeur Comptable au 31.12."&amp;_labels!$B$1-1</f>
        <v>Valeur Comptable au 31.12.2015</v>
      </c>
      <c r="F4" s="39" t="s">
        <v>172</v>
      </c>
      <c r="G4" s="39" t="s">
        <v>89</v>
      </c>
      <c r="H4" s="39" t="s">
        <v>395</v>
      </c>
      <c r="I4" s="39" t="s">
        <v>90</v>
      </c>
      <c r="J4" s="39" t="str">
        <f>"Valeur Comptable au 31.12."&amp;_labels!$B$1</f>
        <v>Valeur Comptable au 31.12.2016</v>
      </c>
    </row>
    <row r="5" spans="1:15" ht="24" customHeight="1">
      <c r="A5" s="62" t="s">
        <v>79</v>
      </c>
      <c r="B5" s="63">
        <f>745+1147</f>
        <v>1892</v>
      </c>
      <c r="C5" s="63"/>
      <c r="D5" s="63">
        <v>-415</v>
      </c>
      <c r="E5" s="63">
        <f>SUM(B5:D5)</f>
        <v>1477</v>
      </c>
      <c r="F5" s="63"/>
      <c r="G5" s="63">
        <v>0</v>
      </c>
      <c r="H5" s="63">
        <v>0</v>
      </c>
      <c r="I5" s="63">
        <v>0</v>
      </c>
      <c r="J5" s="63">
        <f>SUM(E5:I5)</f>
        <v>1477</v>
      </c>
      <c r="O5" s="8" t="s">
        <v>268</v>
      </c>
    </row>
    <row r="6" spans="1:15" ht="24" customHeight="1">
      <c r="A6" s="62" t="s">
        <v>91</v>
      </c>
      <c r="B6" s="63">
        <f>+B5</f>
        <v>1892</v>
      </c>
      <c r="C6" s="63">
        <f t="shared" ref="C6:E6" si="0">+C5</f>
        <v>0</v>
      </c>
      <c r="D6" s="63">
        <f t="shared" ref="D6" si="1">+D5</f>
        <v>-415</v>
      </c>
      <c r="E6" s="63">
        <f t="shared" si="0"/>
        <v>1477</v>
      </c>
      <c r="F6" s="63"/>
      <c r="G6" s="63">
        <f t="shared" ref="G6" si="2">+G5</f>
        <v>0</v>
      </c>
      <c r="H6" s="63">
        <f t="shared" ref="H6" si="3">+H5</f>
        <v>0</v>
      </c>
      <c r="I6" s="63">
        <f t="shared" ref="I6" si="4">+I5</f>
        <v>0</v>
      </c>
      <c r="J6" s="63">
        <f t="shared" ref="J6" si="5">+J5</f>
        <v>1477</v>
      </c>
      <c r="O6" s="8" t="s">
        <v>268</v>
      </c>
    </row>
    <row r="7" spans="1:15" ht="24" customHeight="1">
      <c r="A7" s="12"/>
      <c r="B7" s="25"/>
      <c r="C7" s="25"/>
      <c r="D7" s="25"/>
      <c r="E7" s="25"/>
      <c r="F7" s="25"/>
      <c r="G7" s="24"/>
      <c r="H7" s="24"/>
      <c r="I7" s="24"/>
      <c r="J7" s="24"/>
    </row>
    <row r="8" spans="1:15" ht="24" customHeight="1">
      <c r="A8" s="21" t="s">
        <v>269</v>
      </c>
      <c r="B8" s="25">
        <f>1960+33</f>
        <v>1993</v>
      </c>
      <c r="C8" s="25">
        <v>0</v>
      </c>
      <c r="D8" s="25">
        <f>-1436-12</f>
        <v>-1448</v>
      </c>
      <c r="E8" s="25">
        <f>SUM(B8:D8)</f>
        <v>545</v>
      </c>
      <c r="F8" s="24">
        <v>0</v>
      </c>
      <c r="G8" s="24">
        <v>0</v>
      </c>
      <c r="H8" s="24">
        <v>0</v>
      </c>
      <c r="I8" s="24">
        <v>-19</v>
      </c>
      <c r="J8" s="24">
        <f>SUM(E8:I8)</f>
        <v>526</v>
      </c>
    </row>
    <row r="9" spans="1:15" ht="24" customHeight="1">
      <c r="A9" s="12" t="s">
        <v>60</v>
      </c>
      <c r="B9" s="25">
        <f>22026+1039-309</f>
        <v>22756</v>
      </c>
      <c r="C9" s="25">
        <f>-122</f>
        <v>-122</v>
      </c>
      <c r="D9" s="25">
        <f>-13922-1395+236</f>
        <v>-15081</v>
      </c>
      <c r="E9" s="25">
        <f>SUM(B9:D9)</f>
        <v>7553</v>
      </c>
      <c r="F9" s="24">
        <v>73</v>
      </c>
      <c r="G9" s="24">
        <v>2754</v>
      </c>
      <c r="H9" s="24">
        <f>-3+9</f>
        <v>6</v>
      </c>
      <c r="I9" s="24">
        <v>-1521</v>
      </c>
      <c r="J9" s="24">
        <f>SUM(E9:I9)</f>
        <v>8865</v>
      </c>
      <c r="O9" s="8" t="s">
        <v>391</v>
      </c>
    </row>
    <row r="10" spans="1:15" ht="24" customHeight="1">
      <c r="A10" s="9" t="s">
        <v>92</v>
      </c>
      <c r="B10" s="27">
        <f>SUM(B8:B9)</f>
        <v>24749</v>
      </c>
      <c r="C10" s="27">
        <f t="shared" ref="C10:E10" si="6">SUM(C8:C9)</f>
        <v>-122</v>
      </c>
      <c r="D10" s="27">
        <f t="shared" ref="D10" si="7">SUM(D8:D9)</f>
        <v>-16529</v>
      </c>
      <c r="E10" s="27">
        <f t="shared" si="6"/>
        <v>8098</v>
      </c>
      <c r="F10" s="26">
        <f t="shared" ref="F10:G10" si="8">SUM(F8:F9)</f>
        <v>73</v>
      </c>
      <c r="G10" s="26">
        <f t="shared" si="8"/>
        <v>2754</v>
      </c>
      <c r="H10" s="26">
        <f t="shared" ref="H10" si="9">SUM(H8:H9)</f>
        <v>6</v>
      </c>
      <c r="I10" s="26">
        <f t="shared" ref="I10" si="10">SUM(I8:I9)</f>
        <v>-1540</v>
      </c>
      <c r="J10" s="26">
        <f t="shared" ref="J10" si="11">SUM(J8:J9)</f>
        <v>9391</v>
      </c>
      <c r="K10" s="28">
        <f>9391-J10</f>
        <v>0</v>
      </c>
    </row>
    <row r="11" spans="1:15" ht="24" customHeight="1">
      <c r="A11" s="62" t="s">
        <v>93</v>
      </c>
      <c r="B11" s="63">
        <f>42357+781</f>
        <v>43138</v>
      </c>
      <c r="C11" s="63">
        <v>-440</v>
      </c>
      <c r="D11" s="63">
        <f>-32091-3034</f>
        <v>-35125</v>
      </c>
      <c r="E11" s="63">
        <f>SUM(B11:D11)</f>
        <v>7573</v>
      </c>
      <c r="F11" s="63"/>
      <c r="G11" s="63">
        <v>0</v>
      </c>
      <c r="H11" s="63">
        <v>0</v>
      </c>
      <c r="I11" s="63">
        <v>0</v>
      </c>
      <c r="J11" s="63">
        <f>SUM(E11:I11)</f>
        <v>7573</v>
      </c>
      <c r="O11" s="8" t="s">
        <v>268</v>
      </c>
    </row>
    <row r="12" spans="1:15" ht="24" customHeight="1">
      <c r="A12" s="62" t="s">
        <v>94</v>
      </c>
      <c r="B12" s="63">
        <f>+B11</f>
        <v>43138</v>
      </c>
      <c r="C12" s="63">
        <f t="shared" ref="C12:J12" si="12">+C11</f>
        <v>-440</v>
      </c>
      <c r="D12" s="63">
        <f t="shared" ref="D12" si="13">+D11</f>
        <v>-35125</v>
      </c>
      <c r="E12" s="63">
        <f t="shared" si="12"/>
        <v>7573</v>
      </c>
      <c r="F12" s="63"/>
      <c r="G12" s="63">
        <f t="shared" si="12"/>
        <v>0</v>
      </c>
      <c r="H12" s="63">
        <f t="shared" si="12"/>
        <v>0</v>
      </c>
      <c r="I12" s="63">
        <f t="shared" si="12"/>
        <v>0</v>
      </c>
      <c r="J12" s="63">
        <f t="shared" si="12"/>
        <v>7573</v>
      </c>
      <c r="O12" s="8" t="s">
        <v>268</v>
      </c>
    </row>
    <row r="13" spans="1:15" ht="24" customHeight="1">
      <c r="A13" s="12"/>
      <c r="B13" s="25"/>
      <c r="C13" s="25"/>
      <c r="D13" s="25"/>
      <c r="E13" s="25"/>
      <c r="F13" s="25"/>
      <c r="G13" s="24"/>
      <c r="H13" s="24"/>
      <c r="I13" s="24"/>
      <c r="J13" s="24"/>
    </row>
    <row r="14" spans="1:15" ht="24" customHeight="1">
      <c r="A14" s="62" t="s">
        <v>95</v>
      </c>
      <c r="B14" s="63"/>
      <c r="C14" s="63"/>
      <c r="D14" s="63"/>
      <c r="E14" s="63"/>
      <c r="F14" s="63"/>
      <c r="G14" s="63"/>
      <c r="H14" s="63"/>
      <c r="I14" s="63"/>
      <c r="J14" s="63">
        <v>3030</v>
      </c>
      <c r="O14" s="8" t="s">
        <v>268</v>
      </c>
    </row>
    <row r="15" spans="1:15" ht="24" customHeight="1">
      <c r="A15" s="62" t="s">
        <v>96</v>
      </c>
      <c r="B15" s="63"/>
      <c r="C15" s="63"/>
      <c r="D15" s="63"/>
      <c r="E15" s="63"/>
      <c r="F15" s="63"/>
      <c r="G15" s="63"/>
      <c r="H15" s="63"/>
      <c r="I15" s="63"/>
      <c r="J15" s="63">
        <v>3304</v>
      </c>
      <c r="O15" s="8" t="s">
        <v>268</v>
      </c>
    </row>
    <row r="16" spans="1:15" ht="24" customHeight="1">
      <c r="A16" s="62" t="s">
        <v>97</v>
      </c>
      <c r="B16" s="63"/>
      <c r="C16" s="63"/>
      <c r="D16" s="63"/>
      <c r="E16" s="63"/>
      <c r="F16" s="63"/>
      <c r="G16" s="63"/>
      <c r="H16" s="63"/>
      <c r="I16" s="63"/>
      <c r="J16" s="63">
        <v>0</v>
      </c>
      <c r="O16" s="8" t="s">
        <v>268</v>
      </c>
    </row>
    <row r="19" spans="1:10" ht="39.75" customHeight="1">
      <c r="A19" s="241" t="s">
        <v>432</v>
      </c>
      <c r="B19" s="241"/>
      <c r="C19" s="241"/>
      <c r="D19" s="241"/>
      <c r="E19" s="241"/>
      <c r="F19" s="241"/>
      <c r="G19" s="241"/>
      <c r="H19" s="241"/>
      <c r="I19" s="241"/>
      <c r="J19" s="241"/>
    </row>
    <row r="20" spans="1:10" ht="19" customHeight="1">
      <c r="A20" s="192"/>
    </row>
    <row r="21" spans="1:10" ht="19" customHeight="1">
      <c r="A21" s="192"/>
    </row>
    <row r="22" spans="1:10" ht="19" customHeight="1">
      <c r="A22" s="192"/>
    </row>
    <row r="23" spans="1:10" ht="19" customHeight="1">
      <c r="A23" s="192"/>
    </row>
    <row r="24" spans="1:10" ht="19" customHeight="1">
      <c r="A24" s="192"/>
    </row>
    <row r="25" spans="1:10" ht="19" customHeight="1">
      <c r="A25" s="192"/>
    </row>
    <row r="26" spans="1:10" ht="19" customHeight="1">
      <c r="A26" s="192"/>
    </row>
    <row r="27" spans="1:10" ht="19" customHeight="1">
      <c r="A27" s="192"/>
    </row>
    <row r="28" spans="1:10" ht="19" customHeight="1">
      <c r="A28" s="192"/>
    </row>
    <row r="29" spans="1:10" ht="19" customHeight="1">
      <c r="A29" s="192"/>
    </row>
    <row r="30" spans="1:10" ht="19" customHeight="1">
      <c r="A30" s="192"/>
    </row>
    <row r="31" spans="1:10" ht="19" customHeight="1">
      <c r="A31" s="192"/>
    </row>
    <row r="32" spans="1:10" ht="19" customHeight="1">
      <c r="A32" s="192"/>
    </row>
    <row r="33" spans="1:1" ht="19" customHeight="1">
      <c r="A33" s="192"/>
    </row>
    <row r="34" spans="1:1" ht="19" customHeight="1">
      <c r="A34" s="192"/>
    </row>
    <row r="35" spans="1:1" ht="19" customHeight="1">
      <c r="A35" s="192"/>
    </row>
    <row r="36" spans="1:1" ht="19" customHeight="1">
      <c r="A36" s="192"/>
    </row>
    <row r="37" spans="1:1" ht="19" customHeight="1">
      <c r="A37" s="192"/>
    </row>
    <row r="38" spans="1:1" ht="19" customHeight="1">
      <c r="A38" s="192"/>
    </row>
    <row r="39" spans="1:1" ht="19" customHeight="1">
      <c r="A39" s="192"/>
    </row>
    <row r="40" spans="1:1" ht="19" customHeight="1">
      <c r="A40" s="192"/>
    </row>
    <row r="41" spans="1:1" ht="19" customHeight="1">
      <c r="A41" s="192"/>
    </row>
    <row r="42" spans="1:1" ht="19" customHeight="1">
      <c r="A42" s="192"/>
    </row>
    <row r="43" spans="1:1" ht="19" customHeight="1">
      <c r="A43" s="192"/>
    </row>
    <row r="44" spans="1:1" ht="19" customHeight="1">
      <c r="A44" s="192"/>
    </row>
    <row r="45" spans="1:1" ht="19" customHeight="1">
      <c r="A45" s="192"/>
    </row>
    <row r="46" spans="1:1" ht="19" customHeight="1">
      <c r="A46" s="192"/>
    </row>
    <row r="47" spans="1:1" ht="19" customHeight="1">
      <c r="A47" s="192"/>
    </row>
    <row r="48" spans="1:1" ht="19" customHeight="1">
      <c r="A48" s="192"/>
    </row>
    <row r="49" spans="1:1" ht="19" customHeight="1">
      <c r="A49" s="192"/>
    </row>
    <row r="50" spans="1:1" ht="19" customHeight="1">
      <c r="A50" s="192"/>
    </row>
    <row r="51" spans="1:1" ht="19" customHeight="1">
      <c r="A51" s="192"/>
    </row>
    <row r="52" spans="1:1" ht="19" customHeight="1">
      <c r="A52" s="192"/>
    </row>
    <row r="53" spans="1:1" ht="19" customHeight="1">
      <c r="A53" s="192"/>
    </row>
    <row r="54" spans="1:1" ht="19" customHeight="1">
      <c r="A54" s="192"/>
    </row>
    <row r="55" spans="1:1" ht="19" customHeight="1">
      <c r="A55" s="192"/>
    </row>
    <row r="56" spans="1:1" ht="19" customHeight="1">
      <c r="A56" s="192"/>
    </row>
    <row r="57" spans="1:1" ht="19" customHeight="1">
      <c r="A57" s="192"/>
    </row>
    <row r="58" spans="1:1" ht="19" customHeight="1">
      <c r="A58" s="192"/>
    </row>
    <row r="59" spans="1:1" ht="19" customHeight="1">
      <c r="A59" s="192"/>
    </row>
    <row r="60" spans="1:1" ht="19" customHeight="1">
      <c r="A60" s="192"/>
    </row>
    <row r="61" spans="1:1" ht="19" customHeight="1">
      <c r="A61" s="192"/>
    </row>
    <row r="62" spans="1:1" ht="19" customHeight="1">
      <c r="A62" s="192"/>
    </row>
    <row r="63" spans="1:1" ht="19" customHeight="1">
      <c r="A63" s="192"/>
    </row>
    <row r="64" spans="1:1" ht="19" customHeight="1">
      <c r="A64" s="192"/>
    </row>
    <row r="65" spans="1:1" ht="19" customHeight="1">
      <c r="A65" s="192"/>
    </row>
    <row r="66" spans="1:1" ht="19" customHeight="1">
      <c r="A66" s="192"/>
    </row>
    <row r="67" spans="1:1" ht="19" customHeight="1">
      <c r="A67" s="192"/>
    </row>
  </sheetData>
  <mergeCells count="2">
    <mergeCell ref="F3:J3"/>
    <mergeCell ref="A19:J19"/>
  </mergeCells>
  <pageMargins left="0.32" right="0.3" top="0.72" bottom="1" header="0.5" footer="0.5"/>
  <pageSetup paperSize="9" scale="60" orientation="portrait" horizontalDpi="1200" verticalDpi="1200"/>
  <ignoredErrors>
    <ignoredError sqref="E10 J10" formula="1"/>
  </ignoredErrors>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6"/>
  <sheetViews>
    <sheetView workbookViewId="0">
      <selection activeCell="E5" sqref="E5"/>
    </sheetView>
  </sheetViews>
  <sheetFormatPr baseColWidth="10" defaultColWidth="10.83203125" defaultRowHeight="19" customHeight="1" x14ac:dyDescent="0"/>
  <cols>
    <col min="1" max="1" width="35.33203125" style="11" customWidth="1"/>
    <col min="2" max="2" width="15.1640625" style="7" customWidth="1"/>
    <col min="3" max="3" width="10" style="7" customWidth="1"/>
    <col min="4" max="4" width="11.6640625" style="7" customWidth="1"/>
    <col min="5" max="5" width="15.83203125" style="7" customWidth="1"/>
    <col min="6" max="6" width="9.6640625" style="7" customWidth="1"/>
    <col min="7" max="7" width="12.1640625" style="7" customWidth="1"/>
    <col min="8" max="8" width="10.83203125" style="7" customWidth="1"/>
    <col min="9" max="9" width="12.33203125" style="7" customWidth="1"/>
    <col min="10" max="10" width="15.83203125" style="7" customWidth="1"/>
    <col min="11" max="14" width="10.83203125" style="8"/>
    <col min="15" max="15" width="15.6640625" style="8" bestFit="1" customWidth="1"/>
    <col min="16" max="16384" width="10.83203125" style="8"/>
  </cols>
  <sheetData>
    <row r="1" spans="1:11" ht="43" customHeight="1">
      <c r="A1" s="48" t="s">
        <v>68</v>
      </c>
      <c r="B1" s="17"/>
      <c r="C1" s="17"/>
      <c r="D1" s="17"/>
      <c r="E1" s="17"/>
      <c r="F1" s="17"/>
      <c r="G1" s="17"/>
      <c r="H1" s="17"/>
      <c r="I1" s="17"/>
      <c r="J1" s="17"/>
      <c r="K1" s="17"/>
    </row>
    <row r="2" spans="1:11" ht="24" customHeight="1">
      <c r="A2" s="110" t="s">
        <v>61</v>
      </c>
      <c r="B2" s="88"/>
      <c r="C2" s="88"/>
      <c r="D2" s="88"/>
      <c r="E2" s="88"/>
      <c r="F2" s="88"/>
      <c r="G2" s="88"/>
      <c r="H2" s="88"/>
      <c r="I2" s="88"/>
      <c r="J2" s="88"/>
    </row>
    <row r="3" spans="1:11" ht="24" customHeight="1">
      <c r="B3" s="111"/>
      <c r="C3" s="111"/>
      <c r="D3" s="111"/>
      <c r="E3" s="111"/>
      <c r="F3" s="242" t="s">
        <v>86</v>
      </c>
      <c r="G3" s="242"/>
      <c r="H3" s="242"/>
      <c r="I3" s="242"/>
      <c r="J3" s="242"/>
    </row>
    <row r="4" spans="1:11" ht="52.5" customHeight="1">
      <c r="A4" s="91"/>
      <c r="B4" s="112" t="s">
        <v>87</v>
      </c>
      <c r="C4" s="112" t="s">
        <v>395</v>
      </c>
      <c r="D4" s="112" t="s">
        <v>88</v>
      </c>
      <c r="E4" s="112" t="str">
        <f>"Valeur Comptable au 31.12."&amp;[2]_labels!$B$1-1</f>
        <v>Valeur Comptable au 31.12.2014</v>
      </c>
      <c r="F4" s="112" t="s">
        <v>172</v>
      </c>
      <c r="G4" s="113" t="s">
        <v>89</v>
      </c>
      <c r="H4" s="113" t="s">
        <v>396</v>
      </c>
      <c r="I4" s="113" t="s">
        <v>90</v>
      </c>
      <c r="J4" s="113" t="str">
        <f>"Valeur Comptable au 31.12."&amp;[2]_labels!$B$1</f>
        <v>Valeur Comptable au 31.12.2015</v>
      </c>
    </row>
    <row r="5" spans="1:11" ht="24" customHeight="1">
      <c r="A5" s="70" t="s">
        <v>93</v>
      </c>
      <c r="B5" s="71">
        <v>644</v>
      </c>
      <c r="C5" s="71">
        <v>0</v>
      </c>
      <c r="D5" s="71">
        <v>-644</v>
      </c>
      <c r="E5" s="71">
        <f>SUM(B5:D5)</f>
        <v>0</v>
      </c>
      <c r="F5" s="71">
        <v>2377</v>
      </c>
      <c r="G5" s="71">
        <f>1350+2497</f>
        <v>3847</v>
      </c>
      <c r="H5" s="71">
        <v>0</v>
      </c>
      <c r="I5" s="71">
        <v>-1350</v>
      </c>
      <c r="J5" s="71">
        <f>SUM(E5:I5)</f>
        <v>4874</v>
      </c>
    </row>
    <row r="6" spans="1:11" ht="24" customHeight="1">
      <c r="A6" s="72" t="s">
        <v>94</v>
      </c>
      <c r="B6" s="73">
        <f>+B5</f>
        <v>644</v>
      </c>
      <c r="C6" s="73">
        <f t="shared" ref="C6:J6" si="0">+C5</f>
        <v>0</v>
      </c>
      <c r="D6" s="73">
        <f t="shared" si="0"/>
        <v>-644</v>
      </c>
      <c r="E6" s="73">
        <f t="shared" si="0"/>
        <v>0</v>
      </c>
      <c r="F6" s="73">
        <f t="shared" si="0"/>
        <v>2377</v>
      </c>
      <c r="G6" s="73">
        <f t="shared" si="0"/>
        <v>3847</v>
      </c>
      <c r="H6" s="73">
        <f t="shared" si="0"/>
        <v>0</v>
      </c>
      <c r="I6" s="73">
        <f t="shared" si="0"/>
        <v>-1350</v>
      </c>
      <c r="J6" s="73">
        <f t="shared" si="0"/>
        <v>4874</v>
      </c>
      <c r="K6" s="28">
        <f>+C_Bilan!B12/1000-J6</f>
        <v>0.29399999999986903</v>
      </c>
    </row>
  </sheetData>
  <mergeCells count="1">
    <mergeCell ref="F3:J3"/>
  </mergeCells>
  <pageMargins left="0.32" right="0.3" top="0.72" bottom="1" header="0.5" footer="0.5"/>
  <pageSetup paperSize="9" scale="60" orientation="portrait" horizontalDpi="1200" verticalDpi="1200"/>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7"/>
  <sheetViews>
    <sheetView workbookViewId="0">
      <selection activeCell="A2" sqref="A2"/>
    </sheetView>
  </sheetViews>
  <sheetFormatPr baseColWidth="10" defaultColWidth="10.83203125" defaultRowHeight="19" customHeight="1" x14ac:dyDescent="0"/>
  <cols>
    <col min="1" max="1" width="56.5" style="11" customWidth="1"/>
    <col min="2" max="5" width="15.83203125" style="7" customWidth="1"/>
    <col min="6" max="7" width="10.83203125" style="8"/>
    <col min="8" max="8" width="12.83203125" style="8" customWidth="1"/>
    <col min="9" max="9" width="14.1640625" style="8" customWidth="1"/>
    <col min="10" max="10" width="16.5" style="8" bestFit="1" customWidth="1"/>
    <col min="11" max="16384" width="10.83203125" style="8"/>
  </cols>
  <sheetData>
    <row r="1" spans="1:10" ht="43" customHeight="1">
      <c r="A1" s="48" t="s">
        <v>68</v>
      </c>
      <c r="B1" s="17"/>
      <c r="C1" s="17"/>
      <c r="D1" s="17"/>
      <c r="E1" s="17"/>
      <c r="F1" s="17"/>
    </row>
    <row r="2" spans="1:10" ht="43" customHeight="1">
      <c r="A2" s="100" t="s">
        <v>164</v>
      </c>
      <c r="B2" s="17"/>
      <c r="C2" s="17"/>
      <c r="D2" s="17"/>
      <c r="E2" s="17"/>
      <c r="F2" s="99"/>
    </row>
    <row r="3" spans="1:10" ht="43" customHeight="1">
      <c r="B3" s="231" t="str">
        <f>"31.12."&amp;_labels!$B$1</f>
        <v>31.12.2016</v>
      </c>
      <c r="C3" s="231"/>
      <c r="D3" s="243" t="str">
        <f>"31.12."&amp;_labels!$B$1-1</f>
        <v>31.12.2015</v>
      </c>
      <c r="E3" s="243"/>
      <c r="F3" s="115" t="s">
        <v>283</v>
      </c>
      <c r="G3" s="115" t="s">
        <v>282</v>
      </c>
      <c r="H3" s="65" t="s">
        <v>169</v>
      </c>
      <c r="I3" s="65" t="s">
        <v>169</v>
      </c>
      <c r="J3" s="8" t="s">
        <v>255</v>
      </c>
    </row>
    <row r="4" spans="1:10" ht="24" customHeight="1">
      <c r="A4" s="19"/>
      <c r="B4" s="16" t="s">
        <v>81</v>
      </c>
      <c r="C4" s="16" t="s">
        <v>82</v>
      </c>
      <c r="D4" s="37" t="s">
        <v>81</v>
      </c>
      <c r="E4" s="37" t="s">
        <v>82</v>
      </c>
    </row>
    <row r="5" spans="1:10" ht="24" customHeight="1">
      <c r="A5" s="62" t="s">
        <v>83</v>
      </c>
      <c r="B5" s="63">
        <v>2898</v>
      </c>
      <c r="C5" s="63">
        <v>4462</v>
      </c>
      <c r="D5" s="63">
        <v>2898</v>
      </c>
      <c r="E5" s="63">
        <v>4462</v>
      </c>
      <c r="J5" s="8" t="s">
        <v>171</v>
      </c>
    </row>
    <row r="6" spans="1:10" ht="24" customHeight="1">
      <c r="A6" s="12" t="s">
        <v>344</v>
      </c>
      <c r="B6" s="24">
        <f>73+15</f>
        <v>88</v>
      </c>
      <c r="C6" s="24">
        <v>195</v>
      </c>
      <c r="D6" s="25">
        <v>61</v>
      </c>
      <c r="E6" s="25">
        <v>172</v>
      </c>
    </row>
    <row r="7" spans="1:10" ht="24" customHeight="1">
      <c r="A7" s="12" t="s">
        <v>345</v>
      </c>
      <c r="B7" s="24">
        <f>2607+165-3-19+5+105</f>
        <v>2860</v>
      </c>
      <c r="C7" s="24">
        <f>2551+10+2+55+29</f>
        <v>2647</v>
      </c>
      <c r="D7" s="25">
        <f>1404+584-3-19-61+5</f>
        <v>1910</v>
      </c>
      <c r="E7" s="25">
        <v>3674</v>
      </c>
    </row>
    <row r="8" spans="1:10" ht="24" customHeight="1">
      <c r="A8" s="12" t="s">
        <v>84</v>
      </c>
      <c r="B8" s="24">
        <f>+C_Bilan!B13/1000-B6-B7</f>
        <v>404.47800000000007</v>
      </c>
      <c r="C8" s="24">
        <f>+C_Bilan!B22/1000-C6-C7</f>
        <v>48.659999999999854</v>
      </c>
      <c r="D8" s="25">
        <f>ROUND(+C_Bilan!C13/1000,0)-D6-D7</f>
        <v>28</v>
      </c>
      <c r="E8" s="25">
        <f>3978-E6-E7</f>
        <v>132</v>
      </c>
      <c r="H8" s="8">
        <v>-2898</v>
      </c>
      <c r="I8" s="8">
        <v>-4462</v>
      </c>
    </row>
    <row r="9" spans="1:10" s="10" customFormat="1" ht="24" customHeight="1">
      <c r="A9" s="9" t="s">
        <v>29</v>
      </c>
      <c r="B9" s="26">
        <f>SUM(B6:B8)</f>
        <v>3352.4780000000001</v>
      </c>
      <c r="C9" s="26">
        <f>SUM(C6:C8)</f>
        <v>2890.66</v>
      </c>
      <c r="D9" s="27">
        <f>SUM(D6:D8)</f>
        <v>1999</v>
      </c>
      <c r="E9" s="27">
        <f>SUM(E6:E8)</f>
        <v>3978</v>
      </c>
      <c r="F9" s="119">
        <f>+C_Bilan!B13</f>
        <v>3352478</v>
      </c>
      <c r="G9" s="119">
        <f>+C_Bilan!C13</f>
        <v>1998597</v>
      </c>
    </row>
    <row r="10" spans="1:10" ht="43" customHeight="1">
      <c r="D10" s="16"/>
      <c r="E10" s="16"/>
      <c r="F10" s="28">
        <f>+C_Bilan!B22</f>
        <v>2890660</v>
      </c>
      <c r="G10" s="28">
        <f>+C_Bilan!C22</f>
        <v>3977914</v>
      </c>
    </row>
    <row r="11" spans="1:10" ht="39.75" customHeight="1">
      <c r="A11" s="244" t="s">
        <v>256</v>
      </c>
      <c r="B11" s="245"/>
      <c r="C11" s="245"/>
      <c r="D11" s="245"/>
      <c r="E11" s="245"/>
    </row>
    <row r="12" spans="1:10" ht="24" customHeight="1">
      <c r="A12" s="60"/>
      <c r="B12" s="231" t="str">
        <f>"31.12."&amp;_labels!$B$1</f>
        <v>31.12.2016</v>
      </c>
      <c r="C12" s="231"/>
      <c r="D12" s="243" t="str">
        <f>"31.12."&amp;_labels!$B$1-1</f>
        <v>31.12.2015</v>
      </c>
      <c r="E12" s="243"/>
    </row>
    <row r="13" spans="1:10" ht="32" customHeight="1">
      <c r="A13" s="109" t="s">
        <v>257</v>
      </c>
      <c r="B13" s="16" t="s">
        <v>462</v>
      </c>
      <c r="C13" s="16" t="s">
        <v>85</v>
      </c>
      <c r="D13" s="37" t="s">
        <v>462</v>
      </c>
      <c r="E13" s="37" t="s">
        <v>85</v>
      </c>
    </row>
    <row r="14" spans="1:10" ht="24" customHeight="1">
      <c r="A14" s="62" t="s">
        <v>13</v>
      </c>
      <c r="B14" s="63">
        <v>88846</v>
      </c>
      <c r="C14" s="63">
        <v>22346</v>
      </c>
      <c r="D14" s="63">
        <v>88846</v>
      </c>
      <c r="E14" s="63">
        <v>22346</v>
      </c>
      <c r="J14" s="8" t="s">
        <v>171</v>
      </c>
    </row>
    <row r="15" spans="1:10" ht="24" customHeight="1">
      <c r="A15" s="12" t="s">
        <v>14</v>
      </c>
      <c r="B15" s="24">
        <f>1800+1200</f>
        <v>3000</v>
      </c>
      <c r="C15" s="24">
        <f>1800+1200</f>
        <v>3000</v>
      </c>
      <c r="D15" s="25">
        <v>1044</v>
      </c>
      <c r="E15" s="25">
        <v>1044</v>
      </c>
    </row>
    <row r="16" spans="1:10" ht="24" customHeight="1">
      <c r="A16" s="12" t="s">
        <v>16</v>
      </c>
      <c r="B16" s="24">
        <v>92821</v>
      </c>
      <c r="C16" s="24">
        <v>30937</v>
      </c>
      <c r="D16" s="25">
        <f>26117+88846</f>
        <v>114963</v>
      </c>
      <c r="E16" s="25">
        <f>4190+22346</f>
        <v>26536</v>
      </c>
      <c r="H16" s="107">
        <v>88846</v>
      </c>
      <c r="I16" s="107">
        <v>22346</v>
      </c>
    </row>
    <row r="17" spans="1:5" s="10" customFormat="1" ht="24" customHeight="1">
      <c r="A17" s="9" t="s">
        <v>29</v>
      </c>
      <c r="B17" s="26">
        <f>SUM(B15:B16)</f>
        <v>95821</v>
      </c>
      <c r="C17" s="26">
        <f t="shared" ref="C17:E17" si="0">SUM(C15:C16)</f>
        <v>33937</v>
      </c>
      <c r="D17" s="27">
        <f t="shared" si="0"/>
        <v>116007</v>
      </c>
      <c r="E17" s="27">
        <f t="shared" si="0"/>
        <v>27580</v>
      </c>
    </row>
  </sheetData>
  <mergeCells count="5">
    <mergeCell ref="B3:C3"/>
    <mergeCell ref="D3:E3"/>
    <mergeCell ref="B12:C12"/>
    <mergeCell ref="D12:E12"/>
    <mergeCell ref="A11:E11"/>
  </mergeCells>
  <pageMargins left="0.43" right="0.4" top="1" bottom="1" header="0.5" footer="0.5"/>
  <pageSetup paperSize="9" scale="73" orientation="portrait" horizontalDpi="1200" verticalDpi="1200"/>
  <ignoredErrors>
    <ignoredError sqref="B17:E17" formulaRange="1"/>
  </ignoredErrors>
  <extLst>
    <ext xmlns:mx="http://schemas.microsoft.com/office/mac/excel/2008/main" uri="{64002731-A6B0-56B0-2670-7721B7C09600}">
      <mx:PLV Mode="0"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H13"/>
  <sheetViews>
    <sheetView workbookViewId="0">
      <selection activeCell="A4" sqref="A4"/>
    </sheetView>
  </sheetViews>
  <sheetFormatPr baseColWidth="10" defaultColWidth="10.83203125" defaultRowHeight="19" customHeight="1" x14ac:dyDescent="0"/>
  <cols>
    <col min="1" max="1" width="77.1640625" style="11" bestFit="1" customWidth="1"/>
    <col min="2" max="2" width="16.1640625" style="7" customWidth="1"/>
    <col min="3" max="3" width="15.6640625" style="7" customWidth="1"/>
    <col min="4" max="4" width="11.6640625" style="54" customWidth="1"/>
    <col min="5" max="6" width="12.33203125" style="8" customWidth="1"/>
    <col min="7" max="7" width="11.6640625" style="8" customWidth="1"/>
    <col min="8" max="8" width="11.1640625" style="8" customWidth="1"/>
    <col min="9" max="16384" width="10.83203125" style="8"/>
  </cols>
  <sheetData>
    <row r="1" spans="1:8" ht="43" customHeight="1">
      <c r="A1" s="48" t="s">
        <v>68</v>
      </c>
      <c r="B1" s="16"/>
      <c r="C1" s="16"/>
      <c r="E1" s="16"/>
    </row>
    <row r="2" spans="1:8" ht="28.5" customHeight="1">
      <c r="A2" s="6"/>
      <c r="C2" s="16"/>
    </row>
    <row r="3" spans="1:8" ht="45" customHeight="1">
      <c r="A3" s="246" t="s">
        <v>519</v>
      </c>
      <c r="B3" s="246"/>
      <c r="C3" s="246"/>
      <c r="D3" s="217"/>
      <c r="E3" s="217"/>
      <c r="F3" s="217"/>
      <c r="G3" s="217"/>
      <c r="H3" s="217"/>
    </row>
    <row r="4" spans="1:8" ht="32.25" customHeight="1">
      <c r="A4" s="201" t="s">
        <v>438</v>
      </c>
      <c r="B4" s="90" t="str">
        <f>"31.12."&amp;[3]_labels!$B$1</f>
        <v>31.12.2015</v>
      </c>
      <c r="C4" s="202" t="str">
        <f>"31.12."&amp;[3]_labels!$B$1-1</f>
        <v>31.12.2014</v>
      </c>
      <c r="D4" s="202"/>
      <c r="E4" s="200"/>
    </row>
    <row r="5" spans="1:8" ht="19" customHeight="1">
      <c r="B5" s="88"/>
      <c r="C5" s="88"/>
    </row>
    <row r="6" spans="1:8" ht="19" customHeight="1">
      <c r="A6" s="11" t="s">
        <v>280</v>
      </c>
      <c r="B6" s="24">
        <f>3481710/1000</f>
        <v>3481.71</v>
      </c>
      <c r="C6" s="25">
        <f>ROUND(2908800/1000,0)</f>
        <v>2909</v>
      </c>
    </row>
    <row r="7" spans="1:8" ht="31.5" customHeight="1">
      <c r="A7" s="203" t="s">
        <v>439</v>
      </c>
      <c r="B7" s="24">
        <v>0</v>
      </c>
      <c r="C7" s="25">
        <f>+ROUND(6.614,0)</f>
        <v>7</v>
      </c>
    </row>
    <row r="8" spans="1:8" ht="19" customHeight="1">
      <c r="A8" s="11" t="s">
        <v>440</v>
      </c>
      <c r="B8" s="24">
        <v>0</v>
      </c>
      <c r="C8" s="25">
        <v>0</v>
      </c>
    </row>
    <row r="9" spans="1:8" ht="19" customHeight="1">
      <c r="A9" s="9" t="s">
        <v>29</v>
      </c>
      <c r="B9" s="26">
        <f>SUM(B6:B8)</f>
        <v>3481.71</v>
      </c>
      <c r="C9" s="27">
        <f>SUM(C6:C8)</f>
        <v>2916</v>
      </c>
    </row>
    <row r="10" spans="1:8" ht="19" customHeight="1">
      <c r="B10" s="88"/>
      <c r="C10" s="88"/>
    </row>
    <row r="11" spans="1:8" ht="19" customHeight="1">
      <c r="A11" s="201" t="s">
        <v>463</v>
      </c>
      <c r="B11" s="88"/>
      <c r="C11" s="88"/>
    </row>
    <row r="12" spans="1:8" ht="12.75" customHeight="1">
      <c r="B12" s="88"/>
      <c r="C12" s="88"/>
    </row>
    <row r="13" spans="1:8" ht="19" customHeight="1">
      <c r="A13" s="11" t="s">
        <v>464</v>
      </c>
      <c r="B13" s="88"/>
      <c r="C13" s="88"/>
    </row>
  </sheetData>
  <mergeCells count="1">
    <mergeCell ref="A3:C3"/>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25"/>
  <sheetViews>
    <sheetView workbookViewId="0">
      <selection activeCell="B12" sqref="B12"/>
    </sheetView>
  </sheetViews>
  <sheetFormatPr baseColWidth="10" defaultColWidth="10.83203125" defaultRowHeight="19" customHeight="1" x14ac:dyDescent="0"/>
  <cols>
    <col min="1" max="1" width="48.33203125" style="11" customWidth="1"/>
    <col min="2" max="2" width="15.83203125" style="7" customWidth="1"/>
    <col min="3" max="3" width="11" style="7" customWidth="1"/>
    <col min="4" max="4" width="11.6640625" style="54" customWidth="1"/>
    <col min="5" max="6" width="12.33203125" style="8" customWidth="1"/>
    <col min="7" max="7" width="11.6640625" style="8" customWidth="1"/>
    <col min="8" max="8" width="11.1640625" style="8" customWidth="1"/>
    <col min="9" max="16384" width="10.83203125" style="8"/>
  </cols>
  <sheetData>
    <row r="1" spans="1:10" ht="43" customHeight="1">
      <c r="A1" s="48" t="s">
        <v>68</v>
      </c>
      <c r="B1" s="16"/>
      <c r="C1" s="16"/>
      <c r="E1" s="16"/>
    </row>
    <row r="2" spans="1:10" ht="28.5" customHeight="1">
      <c r="A2" s="6"/>
      <c r="C2" s="16"/>
    </row>
    <row r="3" spans="1:10" ht="18">
      <c r="A3" s="204" t="s">
        <v>398</v>
      </c>
      <c r="B3" s="138"/>
      <c r="C3" s="144"/>
      <c r="D3" s="199"/>
      <c r="E3" s="200"/>
      <c r="F3" s="200"/>
      <c r="G3" s="200"/>
      <c r="H3" s="200"/>
    </row>
    <row r="4" spans="1:10" ht="15">
      <c r="A4" s="196"/>
      <c r="B4" s="197"/>
      <c r="C4" s="198"/>
      <c r="D4" s="199"/>
      <c r="E4" s="200"/>
      <c r="F4" s="200"/>
      <c r="G4" s="200"/>
      <c r="H4" s="200"/>
    </row>
    <row r="5" spans="1:10" ht="15">
      <c r="A5" s="196" t="s">
        <v>441</v>
      </c>
      <c r="B5" s="197"/>
      <c r="C5" s="198"/>
      <c r="D5" s="199"/>
      <c r="E5" s="200"/>
      <c r="F5" s="200"/>
      <c r="G5" s="200"/>
      <c r="H5" s="200"/>
    </row>
    <row r="6" spans="1:10" ht="15">
      <c r="A6" s="196"/>
      <c r="B6" s="197"/>
      <c r="C6" s="198"/>
      <c r="D6" s="199"/>
      <c r="E6" s="200"/>
      <c r="F6" s="200"/>
      <c r="G6" s="200"/>
      <c r="H6" s="200"/>
    </row>
    <row r="7" spans="1:10" ht="15">
      <c r="A7" s="205" t="s">
        <v>451</v>
      </c>
      <c r="B7" s="138"/>
      <c r="C7" s="144"/>
      <c r="D7" s="199"/>
      <c r="E7" s="200"/>
      <c r="F7" s="200"/>
      <c r="G7" s="200"/>
      <c r="H7" s="200"/>
    </row>
    <row r="8" spans="1:10" ht="8.25" customHeight="1">
      <c r="A8" s="196"/>
      <c r="B8" s="197"/>
      <c r="C8" s="198"/>
    </row>
    <row r="9" spans="1:10" ht="123.75" customHeight="1">
      <c r="A9" s="206"/>
      <c r="B9" s="181" t="s">
        <v>469</v>
      </c>
      <c r="C9" s="247" t="s">
        <v>415</v>
      </c>
      <c r="D9" s="247"/>
      <c r="E9" s="181" t="s">
        <v>416</v>
      </c>
      <c r="F9" s="182" t="s">
        <v>470</v>
      </c>
      <c r="G9" s="247" t="s">
        <v>417</v>
      </c>
      <c r="H9" s="247"/>
    </row>
    <row r="10" spans="1:10" ht="19" customHeight="1">
      <c r="A10" s="207"/>
      <c r="B10" s="182" t="str">
        <f>"31.12."&amp;_labels!B1</f>
        <v>31.12.2016</v>
      </c>
      <c r="C10" s="183">
        <v>2015</v>
      </c>
      <c r="D10" s="183">
        <v>2014</v>
      </c>
      <c r="E10" s="184">
        <f>+_labels!B1</f>
        <v>2016</v>
      </c>
      <c r="F10" s="184">
        <f>+_labels!B1</f>
        <v>2016</v>
      </c>
      <c r="G10" s="183">
        <v>2015</v>
      </c>
      <c r="H10" s="183">
        <v>2014</v>
      </c>
    </row>
    <row r="11" spans="1:10" ht="19" customHeight="1">
      <c r="A11" s="208"/>
      <c r="B11" s="208"/>
      <c r="C11" s="208"/>
      <c r="D11" s="208"/>
      <c r="E11" s="208"/>
      <c r="F11" s="208"/>
      <c r="G11" s="208"/>
      <c r="H11" s="208"/>
    </row>
    <row r="12" spans="1:10" ht="19" customHeight="1">
      <c r="A12" s="209" t="s">
        <v>442</v>
      </c>
      <c r="B12" s="210">
        <f>1847809/1000</f>
        <v>1847.809</v>
      </c>
      <c r="C12" s="211">
        <v>0</v>
      </c>
      <c r="D12" s="212">
        <v>0</v>
      </c>
      <c r="E12" s="213">
        <v>0</v>
      </c>
      <c r="F12" s="214">
        <f>1864217/1000</f>
        <v>1864.2170000000001</v>
      </c>
      <c r="G12" s="214">
        <f>1864217/1000</f>
        <v>1864.2170000000001</v>
      </c>
      <c r="H12" s="215">
        <f>1439404/1000</f>
        <v>1439.404</v>
      </c>
      <c r="J12" s="8" t="s">
        <v>443</v>
      </c>
    </row>
    <row r="13" spans="1:10" ht="19" customHeight="1">
      <c r="A13" s="196"/>
      <c r="B13" s="197"/>
      <c r="C13" s="198"/>
    </row>
    <row r="14" spans="1:10" ht="19.5" customHeight="1">
      <c r="A14" s="196" t="s">
        <v>444</v>
      </c>
      <c r="B14" s="197"/>
      <c r="C14" s="198"/>
    </row>
    <row r="15" spans="1:10" ht="19.5" customHeight="1">
      <c r="A15" s="196"/>
      <c r="B15" s="197"/>
      <c r="C15" s="198"/>
    </row>
    <row r="16" spans="1:10" ht="19.5" customHeight="1">
      <c r="A16" s="216" t="s">
        <v>110</v>
      </c>
      <c r="B16" s="138"/>
      <c r="C16" s="138"/>
      <c r="D16" s="199"/>
      <c r="E16" s="200"/>
    </row>
    <row r="17" spans="1:8" ht="46.5" customHeight="1">
      <c r="A17" s="239" t="s">
        <v>448</v>
      </c>
      <c r="B17" s="239"/>
      <c r="C17" s="239"/>
      <c r="D17" s="239"/>
      <c r="E17" s="239"/>
      <c r="F17" s="239"/>
      <c r="G17" s="239"/>
      <c r="H17" s="239"/>
    </row>
    <row r="18" spans="1:8" ht="37.5" customHeight="1">
      <c r="A18" s="239" t="s">
        <v>445</v>
      </c>
      <c r="B18" s="239"/>
      <c r="C18" s="239"/>
      <c r="D18" s="239"/>
      <c r="E18" s="239"/>
      <c r="F18" s="239"/>
      <c r="G18" s="239"/>
      <c r="H18" s="239"/>
    </row>
    <row r="19" spans="1:8" ht="22.5" customHeight="1">
      <c r="A19" s="239" t="s">
        <v>446</v>
      </c>
      <c r="B19" s="239"/>
      <c r="C19" s="239"/>
      <c r="D19" s="239"/>
      <c r="E19" s="239"/>
      <c r="F19" s="239"/>
      <c r="G19" s="239"/>
      <c r="H19" s="239"/>
    </row>
    <row r="20" spans="1:8" ht="17.25" customHeight="1">
      <c r="A20" s="239" t="s">
        <v>447</v>
      </c>
      <c r="B20" s="239"/>
      <c r="C20" s="239"/>
      <c r="D20" s="239"/>
      <c r="E20" s="239"/>
      <c r="F20" s="239"/>
      <c r="G20" s="239"/>
      <c r="H20" s="239"/>
    </row>
    <row r="21" spans="1:8" ht="14.25" customHeight="1">
      <c r="A21" s="239"/>
      <c r="B21" s="239"/>
      <c r="C21" s="239"/>
      <c r="D21" s="239"/>
      <c r="E21" s="239"/>
      <c r="F21" s="239"/>
      <c r="G21" s="239"/>
      <c r="H21" s="239"/>
    </row>
    <row r="22" spans="1:8" ht="24.75" customHeight="1">
      <c r="A22" s="248" t="s">
        <v>399</v>
      </c>
      <c r="B22" s="248"/>
      <c r="C22" s="248"/>
      <c r="D22" s="248"/>
      <c r="E22" s="248"/>
      <c r="F22" s="248"/>
      <c r="G22" s="248"/>
      <c r="H22" s="248"/>
    </row>
    <row r="24" spans="1:8" ht="19" customHeight="1">
      <c r="A24" s="216" t="s">
        <v>449</v>
      </c>
    </row>
    <row r="25" spans="1:8" ht="63.75" customHeight="1">
      <c r="A25" s="249" t="s">
        <v>450</v>
      </c>
      <c r="B25" s="249"/>
      <c r="C25" s="249"/>
      <c r="D25" s="249"/>
      <c r="E25" s="249"/>
      <c r="F25" s="249"/>
      <c r="G25" s="249"/>
      <c r="H25" s="249"/>
    </row>
  </sheetData>
  <mergeCells count="9">
    <mergeCell ref="C9:D9"/>
    <mergeCell ref="G9:H9"/>
    <mergeCell ref="A22:H22"/>
    <mergeCell ref="A25:H25"/>
    <mergeCell ref="A17:H17"/>
    <mergeCell ref="A18:H18"/>
    <mergeCell ref="A19:H19"/>
    <mergeCell ref="A20:H20"/>
    <mergeCell ref="A21:H21"/>
  </mergeCells>
  <pageMargins left="0.37" right="0.42" top="0.81" bottom="1" header="0.5" footer="0.5"/>
  <pageSetup paperSize="9" scale="65" orientation="portrait"/>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2"/>
  <sheetViews>
    <sheetView workbookViewId="0">
      <selection activeCell="B8" sqref="B8"/>
    </sheetView>
  </sheetViews>
  <sheetFormatPr baseColWidth="10" defaultColWidth="10.83203125" defaultRowHeight="19" customHeight="1" x14ac:dyDescent="0"/>
  <cols>
    <col min="1" max="1" width="65.6640625" style="11" customWidth="1"/>
    <col min="2" max="2" width="15.1640625" style="7" customWidth="1"/>
    <col min="3" max="3" width="13.33203125" style="8" customWidth="1"/>
    <col min="4" max="5" width="12.83203125" style="8" customWidth="1"/>
    <col min="6" max="7" width="16.6640625" style="8" customWidth="1"/>
    <col min="8" max="8" width="14" style="8" customWidth="1"/>
    <col min="9" max="9" width="14.6640625" style="10" customWidth="1"/>
    <col min="10" max="12" width="10.83203125" style="8"/>
    <col min="13" max="13" width="13.33203125" style="8" customWidth="1"/>
    <col min="14" max="16384" width="10.83203125" style="8"/>
  </cols>
  <sheetData>
    <row r="1" spans="1:15" ht="43" customHeight="1">
      <c r="A1" s="48" t="s">
        <v>270</v>
      </c>
    </row>
    <row r="2" spans="1:15" ht="64" customHeight="1">
      <c r="A2" s="19"/>
      <c r="B2" s="38" t="str">
        <f>"État au 31.12."&amp;_labels!$B$1-1</f>
        <v>État au 31.12.2015</v>
      </c>
      <c r="C2" s="39" t="s">
        <v>271</v>
      </c>
      <c r="D2" s="39" t="s">
        <v>272</v>
      </c>
      <c r="E2" s="114" t="s">
        <v>273</v>
      </c>
      <c r="F2" s="39" t="s">
        <v>392</v>
      </c>
      <c r="G2" s="39" t="s">
        <v>274</v>
      </c>
      <c r="H2" s="39" t="s">
        <v>275</v>
      </c>
      <c r="I2" s="40" t="str">
        <f>"État au 31.12."&amp;_labels!$B$1</f>
        <v>État au 31.12.2016</v>
      </c>
      <c r="L2" s="64" t="s">
        <v>168</v>
      </c>
      <c r="M2" s="65" t="s">
        <v>169</v>
      </c>
      <c r="N2" s="65" t="s">
        <v>172</v>
      </c>
      <c r="O2" s="64" t="s">
        <v>170</v>
      </c>
    </row>
    <row r="3" spans="1:15" ht="24" customHeight="1">
      <c r="A3" s="12" t="s">
        <v>98</v>
      </c>
      <c r="B3" s="25">
        <v>5789</v>
      </c>
      <c r="C3" s="41">
        <v>0</v>
      </c>
      <c r="D3" s="41">
        <v>0</v>
      </c>
      <c r="E3" s="41">
        <v>0</v>
      </c>
      <c r="F3" s="41">
        <v>0</v>
      </c>
      <c r="G3" s="41">
        <v>1788</v>
      </c>
      <c r="H3" s="41">
        <v>0</v>
      </c>
      <c r="I3" s="26">
        <f>SUM(B3:H3)</f>
        <v>7577</v>
      </c>
    </row>
    <row r="4" spans="1:15" ht="24" customHeight="1">
      <c r="A4" s="62" t="s">
        <v>99</v>
      </c>
      <c r="B4" s="63">
        <f>4458*0</f>
        <v>0</v>
      </c>
      <c r="C4" s="63">
        <v>0</v>
      </c>
      <c r="D4" s="63">
        <v>0</v>
      </c>
      <c r="E4" s="63">
        <v>0</v>
      </c>
      <c r="F4" s="63">
        <v>0</v>
      </c>
      <c r="G4" s="63">
        <v>0</v>
      </c>
      <c r="H4" s="63">
        <v>0</v>
      </c>
      <c r="I4" s="82">
        <f t="shared" ref="I4:I10" si="0">SUM(B4:H4)</f>
        <v>0</v>
      </c>
      <c r="M4" s="8">
        <f>+C_Bilan!G23/1000</f>
        <v>-502.44084999999995</v>
      </c>
    </row>
    <row r="5" spans="1:15" ht="24" customHeight="1">
      <c r="A5" s="12" t="s">
        <v>100</v>
      </c>
      <c r="B5" s="25">
        <v>220</v>
      </c>
      <c r="C5" s="41">
        <v>0</v>
      </c>
      <c r="D5" s="41">
        <v>0</v>
      </c>
      <c r="E5" s="41">
        <v>0</v>
      </c>
      <c r="F5" s="41">
        <v>0</v>
      </c>
      <c r="G5" s="41">
        <v>1500</v>
      </c>
      <c r="H5" s="41">
        <v>0</v>
      </c>
      <c r="I5" s="26">
        <f t="shared" si="0"/>
        <v>1720</v>
      </c>
    </row>
    <row r="6" spans="1:15" s="10" customFormat="1" ht="24" customHeight="1">
      <c r="A6" s="102" t="s">
        <v>276</v>
      </c>
      <c r="B6" s="27">
        <f t="shared" ref="B6:H6" si="1">SUM(B3:B5)</f>
        <v>6009</v>
      </c>
      <c r="C6" s="43">
        <f t="shared" si="1"/>
        <v>0</v>
      </c>
      <c r="D6" s="43">
        <f t="shared" si="1"/>
        <v>0</v>
      </c>
      <c r="E6" s="43">
        <f t="shared" si="1"/>
        <v>0</v>
      </c>
      <c r="F6" s="43">
        <f t="shared" si="1"/>
        <v>0</v>
      </c>
      <c r="G6" s="43">
        <f t="shared" si="1"/>
        <v>3288</v>
      </c>
      <c r="H6" s="43">
        <f t="shared" si="1"/>
        <v>0</v>
      </c>
      <c r="I6" s="26">
        <f t="shared" si="0"/>
        <v>9297</v>
      </c>
      <c r="J6" s="10">
        <f>+C_Bilan!B23/1000-I6</f>
        <v>-2.4999999999636202E-2</v>
      </c>
    </row>
    <row r="7" spans="1:15" s="10" customFormat="1" ht="24" customHeight="1">
      <c r="A7" s="9" t="s">
        <v>57</v>
      </c>
      <c r="B7" s="27">
        <v>18160</v>
      </c>
      <c r="C7" s="43">
        <v>0</v>
      </c>
      <c r="D7" s="43">
        <v>0</v>
      </c>
      <c r="E7" s="43">
        <v>0</v>
      </c>
      <c r="F7" s="43">
        <v>0</v>
      </c>
      <c r="G7" s="43">
        <v>5609</v>
      </c>
      <c r="H7" s="43">
        <v>0</v>
      </c>
      <c r="I7" s="26">
        <f>SUM(B7:H7)</f>
        <v>23769</v>
      </c>
      <c r="J7" s="10">
        <f>+C_Bilan!B24/1000-I7</f>
        <v>0.20500000000174623</v>
      </c>
    </row>
    <row r="8" spans="1:15" s="10" customFormat="1" ht="24" customHeight="1">
      <c r="A8" s="9" t="s">
        <v>277</v>
      </c>
      <c r="B8" s="25">
        <f>3955+503</f>
        <v>4458</v>
      </c>
      <c r="C8" s="41">
        <v>0</v>
      </c>
      <c r="D8" s="41">
        <v>0</v>
      </c>
      <c r="E8" s="41">
        <v>7</v>
      </c>
      <c r="F8" s="41">
        <v>14</v>
      </c>
      <c r="G8" s="41">
        <v>960</v>
      </c>
      <c r="H8" s="41">
        <v>-3</v>
      </c>
      <c r="I8" s="26">
        <f t="shared" ref="I8" si="2">SUM(B8:H8)</f>
        <v>5436</v>
      </c>
    </row>
    <row r="9" spans="1:15" ht="32.25" customHeight="1">
      <c r="A9" s="221" t="s">
        <v>278</v>
      </c>
      <c r="B9" s="137">
        <f>3955+503</f>
        <v>4458</v>
      </c>
      <c r="C9" s="222">
        <v>0</v>
      </c>
      <c r="D9" s="222">
        <v>0</v>
      </c>
      <c r="E9" s="222">
        <v>7</v>
      </c>
      <c r="F9" s="222">
        <v>14</v>
      </c>
      <c r="G9" s="222">
        <v>960</v>
      </c>
      <c r="H9" s="222">
        <v>-3</v>
      </c>
      <c r="I9" s="223">
        <f t="shared" si="0"/>
        <v>5436</v>
      </c>
      <c r="M9" s="8">
        <f>-C_Bilan!G23/1000</f>
        <v>502.44084999999995</v>
      </c>
    </row>
    <row r="10" spans="1:15" s="10" customFormat="1" ht="24" customHeight="1">
      <c r="A10" s="81" t="s">
        <v>101</v>
      </c>
      <c r="B10" s="82">
        <f>+B6-B9</f>
        <v>1551</v>
      </c>
      <c r="C10" s="82">
        <f t="shared" ref="C10:H10" si="3">+C6-C9</f>
        <v>0</v>
      </c>
      <c r="D10" s="82">
        <f t="shared" ref="D10" si="4">+D6-D9</f>
        <v>0</v>
      </c>
      <c r="E10" s="82">
        <f t="shared" si="3"/>
        <v>-7</v>
      </c>
      <c r="F10" s="82">
        <f t="shared" si="3"/>
        <v>-14</v>
      </c>
      <c r="G10" s="82">
        <f t="shared" si="3"/>
        <v>2328</v>
      </c>
      <c r="H10" s="82">
        <f t="shared" si="3"/>
        <v>3</v>
      </c>
      <c r="I10" s="82">
        <f t="shared" si="0"/>
        <v>3861</v>
      </c>
    </row>
    <row r="12" spans="1:15" ht="19" customHeight="1">
      <c r="A12" s="11" t="s">
        <v>423</v>
      </c>
    </row>
  </sheetData>
  <pageMargins left="0.4" right="0.17" top="1" bottom="1" header="0.5" footer="0.5"/>
  <pageSetup paperSize="9" scale="50" orientation="portrait" horizontalDpi="1200" verticalDpi="1200"/>
  <extLst>
    <ext xmlns:mx="http://schemas.microsoft.com/office/mac/excel/2008/main" uri="{64002731-A6B0-56B0-2670-7721B7C09600}">
      <mx:PLV Mode="0"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7" sqref="A7"/>
    </sheetView>
  </sheetViews>
  <sheetFormatPr baseColWidth="10" defaultColWidth="10.83203125" defaultRowHeight="19" customHeight="1" x14ac:dyDescent="0"/>
  <cols>
    <col min="1" max="1" width="39.33203125" style="11" customWidth="1"/>
    <col min="2" max="2" width="15.6640625" style="7" customWidth="1"/>
    <col min="3" max="5" width="15.83203125" style="7" customWidth="1"/>
    <col min="6" max="16384" width="10.83203125" style="8"/>
  </cols>
  <sheetData>
    <row r="1" spans="1:5" ht="43" customHeight="1">
      <c r="A1" s="148" t="s">
        <v>346</v>
      </c>
      <c r="B1" s="17"/>
      <c r="C1" s="17"/>
      <c r="D1" s="17"/>
      <c r="E1" s="17"/>
    </row>
    <row r="2" spans="1:5" ht="36.75" customHeight="1">
      <c r="A2" s="244" t="s">
        <v>520</v>
      </c>
      <c r="B2" s="244"/>
      <c r="C2" s="244"/>
      <c r="D2" s="244"/>
      <c r="E2" s="244"/>
    </row>
    <row r="3" spans="1:5" ht="28.5" customHeight="1">
      <c r="B3" s="233" t="s">
        <v>348</v>
      </c>
      <c r="C3" s="233"/>
      <c r="D3" s="250" t="s">
        <v>349</v>
      </c>
      <c r="E3" s="250"/>
    </row>
    <row r="4" spans="1:5" ht="28.5" customHeight="1">
      <c r="B4" s="153" t="str">
        <f>"31.12."&amp;[1]_labels!$B$1</f>
        <v>31.12.2015</v>
      </c>
      <c r="C4" s="154" t="str">
        <f>"31.12."&amp;[1]_labels!$B$1-1</f>
        <v>31.12.2014</v>
      </c>
      <c r="D4" s="153" t="str">
        <f>"31.12."&amp;[1]_labels!$B$1</f>
        <v>31.12.2015</v>
      </c>
      <c r="E4" s="154" t="str">
        <f>"31.12."&amp;[1]_labels!$B$1-1</f>
        <v>31.12.2014</v>
      </c>
    </row>
    <row r="5" spans="1:5" ht="24" customHeight="1">
      <c r="A5" s="12" t="s">
        <v>521</v>
      </c>
      <c r="B5" s="156">
        <f>(10+10+10+577)*0</f>
        <v>0</v>
      </c>
      <c r="C5" s="157">
        <f>(30+354+577)*0</f>
        <v>0</v>
      </c>
      <c r="D5" s="29">
        <f>+B5*100/1000</f>
        <v>0</v>
      </c>
      <c r="E5" s="158">
        <f>+C5*100/1000</f>
        <v>0</v>
      </c>
    </row>
    <row r="6" spans="1:5" ht="24" customHeight="1">
      <c r="A6" s="12" t="s">
        <v>522</v>
      </c>
      <c r="B6" s="156">
        <f>800*0</f>
        <v>0</v>
      </c>
      <c r="C6" s="157">
        <f>2571*0</f>
        <v>0</v>
      </c>
      <c r="D6" s="29">
        <f>+B6*100/1000</f>
        <v>0</v>
      </c>
      <c r="E6" s="158">
        <f t="shared" ref="E6:E7" si="0">+C6*100/1000</f>
        <v>0</v>
      </c>
    </row>
    <row r="7" spans="1:5" ht="24" customHeight="1">
      <c r="A7" s="12" t="s">
        <v>350</v>
      </c>
      <c r="B7" s="156">
        <f>122*0</f>
        <v>0</v>
      </c>
      <c r="C7" s="157">
        <f>122*0</f>
        <v>0</v>
      </c>
      <c r="D7" s="29">
        <f>+B7*100/1000</f>
        <v>0</v>
      </c>
      <c r="E7" s="158">
        <f t="shared" si="0"/>
        <v>0</v>
      </c>
    </row>
    <row r="8" spans="1:5" ht="24" customHeight="1">
      <c r="A8" s="9" t="s">
        <v>29</v>
      </c>
      <c r="B8" s="156">
        <f>SUM(B5:B7)</f>
        <v>0</v>
      </c>
      <c r="C8" s="157">
        <f t="shared" ref="C8:E8" si="1">SUM(C5:C7)</f>
        <v>0</v>
      </c>
      <c r="D8" s="29">
        <f t="shared" si="1"/>
        <v>0</v>
      </c>
      <c r="E8" s="158">
        <f t="shared" si="1"/>
        <v>0</v>
      </c>
    </row>
    <row r="9" spans="1:5" ht="15"/>
    <row r="10" spans="1:5" ht="15"/>
    <row r="11" spans="1:5" ht="15"/>
    <row r="12" spans="1:5" ht="15"/>
    <row r="13" spans="1:5" ht="15"/>
    <row r="14" spans="1:5" ht="15"/>
    <row r="15" spans="1:5" ht="15"/>
    <row r="16" spans="1:5" ht="15"/>
    <row r="17" spans="1:5" ht="15">
      <c r="A17" s="8"/>
      <c r="B17" s="8"/>
      <c r="C17" s="8"/>
      <c r="D17" s="8"/>
      <c r="E17" s="8"/>
    </row>
    <row r="18" spans="1:5" ht="15">
      <c r="A18" s="8"/>
      <c r="B18" s="8"/>
      <c r="C18" s="8"/>
      <c r="D18" s="8"/>
      <c r="E18" s="8"/>
    </row>
    <row r="19" spans="1:5" ht="15">
      <c r="A19" s="8"/>
      <c r="B19" s="8"/>
      <c r="C19" s="8"/>
      <c r="D19" s="8"/>
      <c r="E19" s="8"/>
    </row>
    <row r="20" spans="1:5" ht="15">
      <c r="A20" s="8"/>
      <c r="B20" s="8"/>
      <c r="C20" s="8"/>
      <c r="D20" s="8"/>
      <c r="E20" s="8"/>
    </row>
    <row r="21" spans="1:5" ht="15">
      <c r="A21" s="8"/>
      <c r="B21" s="8"/>
      <c r="C21" s="8"/>
      <c r="D21" s="8"/>
      <c r="E21" s="8"/>
    </row>
    <row r="22" spans="1:5" ht="15">
      <c r="A22" s="8"/>
      <c r="B22" s="8"/>
      <c r="C22" s="8"/>
      <c r="D22" s="8"/>
      <c r="E22" s="8"/>
    </row>
    <row r="23" spans="1:5" ht="15">
      <c r="A23" s="8"/>
      <c r="B23" s="8"/>
      <c r="C23" s="8"/>
      <c r="D23" s="8"/>
      <c r="E23" s="8"/>
    </row>
  </sheetData>
  <mergeCells count="3">
    <mergeCell ref="A2:E2"/>
    <mergeCell ref="B3:C3"/>
    <mergeCell ref="D3:E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1"/>
  <sheetViews>
    <sheetView workbookViewId="0">
      <selection activeCell="A25" sqref="A25"/>
    </sheetView>
  </sheetViews>
  <sheetFormatPr baseColWidth="10" defaultColWidth="10.83203125" defaultRowHeight="19" customHeight="1" x14ac:dyDescent="0"/>
  <cols>
    <col min="1" max="1" width="64" style="11" customWidth="1"/>
    <col min="2" max="2" width="17.33203125" style="7" customWidth="1"/>
    <col min="3" max="3" width="17.83203125" style="7" customWidth="1"/>
    <col min="4" max="5" width="10.83203125" style="8"/>
    <col min="6" max="8" width="13.1640625" style="8" customWidth="1"/>
    <col min="9" max="16384" width="10.83203125" style="8"/>
  </cols>
  <sheetData>
    <row r="1" spans="1:8" ht="43" customHeight="1">
      <c r="A1" s="48" t="s">
        <v>23</v>
      </c>
      <c r="B1" s="17"/>
      <c r="C1" s="18"/>
    </row>
    <row r="2" spans="1:8" ht="43" customHeight="1">
      <c r="A2" s="6"/>
      <c r="B2" s="17" t="str">
        <f>"31.12."&amp;_labels!$B$1</f>
        <v>31.12.2016</v>
      </c>
      <c r="C2" s="22" t="str">
        <f>"31.12."&amp;_labels!$B$1-1</f>
        <v>31.12.2015</v>
      </c>
      <c r="F2" s="64" t="s">
        <v>168</v>
      </c>
      <c r="G2" s="65" t="s">
        <v>169</v>
      </c>
      <c r="H2" s="64" t="s">
        <v>170</v>
      </c>
    </row>
    <row r="3" spans="1:8" ht="24" customHeight="1">
      <c r="A3" s="12" t="s">
        <v>9</v>
      </c>
      <c r="B3" s="24">
        <v>5256140</v>
      </c>
      <c r="C3" s="25">
        <v>27464607</v>
      </c>
    </row>
    <row r="4" spans="1:8" ht="24" customHeight="1">
      <c r="A4" s="12" t="s">
        <v>24</v>
      </c>
      <c r="B4" s="24">
        <v>2342000</v>
      </c>
      <c r="C4" s="25">
        <v>1898000</v>
      </c>
    </row>
    <row r="5" spans="1:8" ht="24" customHeight="1">
      <c r="A5" s="70" t="s">
        <v>183</v>
      </c>
      <c r="B5" s="71">
        <v>0</v>
      </c>
      <c r="C5" s="71">
        <v>0</v>
      </c>
      <c r="H5" s="8" t="s">
        <v>178</v>
      </c>
    </row>
    <row r="6" spans="1:8" ht="24" customHeight="1">
      <c r="A6" s="70" t="s">
        <v>184</v>
      </c>
      <c r="B6" s="71">
        <v>0</v>
      </c>
      <c r="C6" s="71">
        <v>0</v>
      </c>
      <c r="H6" s="8" t="s">
        <v>178</v>
      </c>
    </row>
    <row r="7" spans="1:8" ht="24" customHeight="1">
      <c r="A7" s="62" t="s">
        <v>25</v>
      </c>
      <c r="B7" s="75"/>
      <c r="C7" s="63"/>
      <c r="H7" s="8" t="s">
        <v>171</v>
      </c>
    </row>
    <row r="8" spans="1:8" ht="24" customHeight="1">
      <c r="A8" s="76" t="s">
        <v>10</v>
      </c>
      <c r="B8" s="63">
        <v>314339816</v>
      </c>
      <c r="C8" s="63">
        <v>314339816</v>
      </c>
      <c r="H8" s="8" t="s">
        <v>171</v>
      </c>
    </row>
    <row r="9" spans="1:8" ht="24" customHeight="1">
      <c r="A9" s="76" t="s">
        <v>11</v>
      </c>
      <c r="B9" s="63">
        <v>2896387</v>
      </c>
      <c r="C9" s="63">
        <v>2896387</v>
      </c>
      <c r="H9" s="8" t="s">
        <v>171</v>
      </c>
    </row>
    <row r="10" spans="1:8" ht="24" customHeight="1">
      <c r="A10" s="76" t="s">
        <v>26</v>
      </c>
      <c r="B10" s="63">
        <v>4461071</v>
      </c>
      <c r="C10" s="63">
        <v>4461071</v>
      </c>
      <c r="H10" s="8" t="s">
        <v>171</v>
      </c>
    </row>
    <row r="11" spans="1:8" ht="24" customHeight="1">
      <c r="A11" s="62" t="s">
        <v>27</v>
      </c>
      <c r="B11" s="63">
        <v>735678796</v>
      </c>
      <c r="C11" s="63">
        <v>735678796</v>
      </c>
      <c r="H11" s="8" t="s">
        <v>171</v>
      </c>
    </row>
  </sheetData>
  <pageMargins left="0.46" right="0.75000000000000011" top="1" bottom="1" header="0.5" footer="0.5"/>
  <pageSetup paperSize="9" scale="83" orientation="portrait"/>
  <extLst>
    <ext xmlns:mx="http://schemas.microsoft.com/office/mac/excel/2008/main" uri="{64002731-A6B0-56B0-2670-7721B7C09600}">
      <mx:PLV Mode="0"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9"/>
  <sheetViews>
    <sheetView workbookViewId="0">
      <selection activeCell="A4" sqref="A4"/>
    </sheetView>
  </sheetViews>
  <sheetFormatPr baseColWidth="10" defaultColWidth="10.83203125" defaultRowHeight="19" customHeight="1" x14ac:dyDescent="0"/>
  <cols>
    <col min="1" max="1" width="50.1640625" style="11" customWidth="1"/>
    <col min="2" max="2" width="13.6640625" style="88" customWidth="1"/>
    <col min="3" max="3" width="13" style="88" customWidth="1"/>
    <col min="4" max="4" width="14.1640625" style="88" customWidth="1"/>
    <col min="5" max="5" width="14" style="88" customWidth="1"/>
    <col min="6" max="7" width="10.83203125" style="8"/>
    <col min="8" max="8" width="12.83203125" style="8" customWidth="1"/>
    <col min="9" max="9" width="14.1640625" style="8" customWidth="1"/>
    <col min="10" max="10" width="16.5" style="8" bestFit="1" customWidth="1"/>
    <col min="11" max="16384" width="10.83203125" style="8"/>
  </cols>
  <sheetData>
    <row r="1" spans="1:10" ht="43" customHeight="1">
      <c r="A1" s="180" t="s">
        <v>353</v>
      </c>
      <c r="B1" s="90"/>
      <c r="C1" s="90"/>
      <c r="D1" s="90"/>
      <c r="E1" s="90"/>
      <c r="F1" s="90"/>
    </row>
    <row r="2" spans="1:10" ht="43" customHeight="1">
      <c r="A2" s="108"/>
      <c r="B2" s="251" t="s">
        <v>354</v>
      </c>
      <c r="C2" s="251"/>
      <c r="D2" s="251" t="s">
        <v>355</v>
      </c>
      <c r="E2" s="251"/>
      <c r="H2" s="65" t="s">
        <v>169</v>
      </c>
      <c r="I2" s="65" t="s">
        <v>169</v>
      </c>
      <c r="J2" s="8" t="s">
        <v>255</v>
      </c>
    </row>
    <row r="3" spans="1:10" ht="43" customHeight="1">
      <c r="A3" s="19"/>
      <c r="B3" s="162" t="s">
        <v>401</v>
      </c>
      <c r="C3" s="163" t="s">
        <v>402</v>
      </c>
      <c r="D3" s="162" t="s">
        <v>401</v>
      </c>
      <c r="E3" s="163" t="s">
        <v>402</v>
      </c>
    </row>
    <row r="4" spans="1:10" ht="24" customHeight="1">
      <c r="A4" s="12" t="s">
        <v>356</v>
      </c>
      <c r="B4" s="24">
        <f>1654+486</f>
        <v>2140</v>
      </c>
      <c r="C4" s="25">
        <f>2615-33+301</f>
        <v>2883</v>
      </c>
      <c r="D4" s="24">
        <f>34818-758</f>
        <v>34060</v>
      </c>
      <c r="E4" s="25">
        <f>3330-1175-330</f>
        <v>1825</v>
      </c>
    </row>
    <row r="5" spans="1:10" ht="19" customHeight="1">
      <c r="A5" s="12" t="s">
        <v>366</v>
      </c>
      <c r="B5" s="24">
        <v>3</v>
      </c>
      <c r="C5" s="25">
        <v>9</v>
      </c>
      <c r="D5" s="24">
        <f>1260+3+47</f>
        <v>1310</v>
      </c>
      <c r="E5" s="25">
        <f>166+142+70</f>
        <v>378</v>
      </c>
    </row>
    <row r="6" spans="1:10" ht="19" customHeight="1">
      <c r="A6" s="12" t="s">
        <v>357</v>
      </c>
      <c r="B6" s="24">
        <f>363+5</f>
        <v>368</v>
      </c>
      <c r="C6" s="25">
        <f>33+80</f>
        <v>113</v>
      </c>
      <c r="D6" s="24">
        <f>517+758</f>
        <v>1275</v>
      </c>
      <c r="E6" s="25">
        <v>2800</v>
      </c>
    </row>
    <row r="7" spans="1:10" ht="19" customHeight="1">
      <c r="A7" s="12" t="s">
        <v>358</v>
      </c>
      <c r="B7" s="24"/>
      <c r="C7" s="24"/>
      <c r="D7" s="25"/>
      <c r="E7" s="25"/>
    </row>
    <row r="8" spans="1:10" s="10" customFormat="1" ht="19" customHeight="1">
      <c r="A8" s="9" t="s">
        <v>29</v>
      </c>
      <c r="B8" s="26">
        <f>SUM(B4:B7)</f>
        <v>2511</v>
      </c>
      <c r="C8" s="27">
        <f t="shared" ref="C8:E8" si="0">SUM(C4:C7)</f>
        <v>3005</v>
      </c>
      <c r="D8" s="26">
        <f t="shared" si="0"/>
        <v>36645</v>
      </c>
      <c r="E8" s="27">
        <f t="shared" si="0"/>
        <v>5003</v>
      </c>
    </row>
    <row r="9" spans="1:10" s="10" customFormat="1" ht="19" customHeight="1">
      <c r="A9" s="9"/>
      <c r="B9" s="26"/>
      <c r="C9" s="27"/>
      <c r="D9" s="26"/>
      <c r="E9" s="27"/>
    </row>
    <row r="10" spans="1:10" s="10" customFormat="1" ht="19" customHeight="1">
      <c r="A10" s="12" t="s">
        <v>359</v>
      </c>
      <c r="B10" s="26"/>
      <c r="C10" s="27"/>
      <c r="D10" s="26"/>
      <c r="E10" s="27"/>
    </row>
    <row r="11" spans="1:10" ht="19" customHeight="1">
      <c r="D11" s="89"/>
      <c r="E11" s="89"/>
    </row>
    <row r="12" spans="1:10" ht="19" customHeight="1">
      <c r="A12" s="165" t="s">
        <v>360</v>
      </c>
      <c r="B12" s="252" t="s">
        <v>401</v>
      </c>
      <c r="C12" s="253"/>
      <c r="D12" s="254" t="s">
        <v>402</v>
      </c>
      <c r="E12" s="255"/>
    </row>
    <row r="13" spans="1:10" ht="19" customHeight="1">
      <c r="A13" s="166" t="s">
        <v>361</v>
      </c>
      <c r="B13" s="167" t="s">
        <v>362</v>
      </c>
      <c r="C13" s="167" t="s">
        <v>117</v>
      </c>
      <c r="D13" s="168" t="s">
        <v>362</v>
      </c>
      <c r="E13" s="168" t="s">
        <v>117</v>
      </c>
    </row>
    <row r="14" spans="1:10" ht="19" customHeight="1">
      <c r="A14" s="166" t="s">
        <v>363</v>
      </c>
      <c r="B14" s="167"/>
      <c r="C14" s="167"/>
      <c r="D14" s="168"/>
      <c r="E14" s="168"/>
    </row>
    <row r="15" spans="1:10" ht="19" customHeight="1">
      <c r="A15" s="169" t="s">
        <v>364</v>
      </c>
      <c r="B15" s="170">
        <v>30404</v>
      </c>
      <c r="C15" s="171">
        <v>0.95009999999999994</v>
      </c>
      <c r="D15" s="170">
        <v>25086</v>
      </c>
      <c r="E15" s="171">
        <v>0.78390000000000004</v>
      </c>
    </row>
    <row r="16" spans="1:10" ht="19" customHeight="1">
      <c r="A16" s="172" t="s">
        <v>365</v>
      </c>
      <c r="B16" s="170"/>
      <c r="C16" s="173"/>
      <c r="D16" s="170"/>
      <c r="E16" s="173"/>
    </row>
    <row r="17" spans="1:5" ht="19" customHeight="1">
      <c r="A17" s="174" t="s">
        <v>351</v>
      </c>
      <c r="B17" s="175">
        <v>25719</v>
      </c>
      <c r="C17" s="176">
        <v>0.67879999999999996</v>
      </c>
      <c r="D17" s="175">
        <v>23767</v>
      </c>
      <c r="E17" s="176">
        <v>0.51749999999999996</v>
      </c>
    </row>
    <row r="18" spans="1:5" ht="19" customHeight="1">
      <c r="A18" s="174" t="s">
        <v>352</v>
      </c>
      <c r="B18" s="175">
        <v>4196</v>
      </c>
      <c r="C18" s="176">
        <v>0.1108</v>
      </c>
      <c r="D18" s="175">
        <v>4886</v>
      </c>
      <c r="E18" s="176">
        <v>0.10639999999999999</v>
      </c>
    </row>
    <row r="19" spans="1:5" ht="19" customHeight="1">
      <c r="B19" s="26"/>
      <c r="C19" s="27"/>
      <c r="D19" s="26"/>
      <c r="E19" s="27"/>
    </row>
  </sheetData>
  <mergeCells count="4">
    <mergeCell ref="B2:C2"/>
    <mergeCell ref="D2:E2"/>
    <mergeCell ref="B12:C12"/>
    <mergeCell ref="D12:E12"/>
  </mergeCells>
  <pageMargins left="0.49" right="0.4" top="0.71" bottom="0.77" header="0.5" footer="0.5"/>
  <pageSetup paperSize="9" scale="83" orientation="portrait" horizontalDpi="1200" verticalDpi="1200"/>
  <extLst>
    <ext xmlns:mx="http://schemas.microsoft.com/office/mac/excel/2008/main" uri="{64002731-A6B0-56B0-2670-7721B7C09600}">
      <mx:PLV Mode="0"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0"/>
  <sheetViews>
    <sheetView workbookViewId="0">
      <selection activeCell="A20" sqref="A20"/>
    </sheetView>
  </sheetViews>
  <sheetFormatPr baseColWidth="10" defaultColWidth="10.83203125" defaultRowHeight="19" customHeight="1" x14ac:dyDescent="0"/>
  <cols>
    <col min="1" max="1" width="55.83203125" style="11" customWidth="1"/>
    <col min="2" max="2" width="15.83203125" style="7" customWidth="1"/>
    <col min="3" max="8" width="15.83203125" style="8" customWidth="1"/>
    <col min="9" max="11" width="10.83203125" style="8"/>
    <col min="12" max="12" width="14" style="8" bestFit="1" customWidth="1"/>
    <col min="13" max="13" width="14" style="8" customWidth="1"/>
    <col min="14" max="14" width="15.6640625" style="8" bestFit="1" customWidth="1"/>
    <col min="15" max="16384" width="10.83203125" style="8"/>
  </cols>
  <sheetData>
    <row r="1" spans="1:14" ht="43" customHeight="1">
      <c r="A1" s="117" t="s">
        <v>508</v>
      </c>
      <c r="B1" s="17"/>
      <c r="C1" s="17"/>
      <c r="D1" s="17"/>
      <c r="E1" s="17"/>
      <c r="F1" s="17"/>
      <c r="G1" s="17"/>
      <c r="H1" s="17"/>
      <c r="N1" s="8" t="s">
        <v>177</v>
      </c>
    </row>
    <row r="2" spans="1:14" ht="36" customHeight="1">
      <c r="B2" s="16"/>
      <c r="C2" s="16"/>
      <c r="D2" s="256" t="s">
        <v>103</v>
      </c>
      <c r="E2" s="256"/>
      <c r="F2" s="256"/>
      <c r="G2" s="256"/>
      <c r="H2" s="16"/>
      <c r="N2" s="8" t="s">
        <v>177</v>
      </c>
    </row>
    <row r="3" spans="1:14" ht="36" customHeight="1">
      <c r="A3" s="19"/>
      <c r="B3" s="39" t="s">
        <v>104</v>
      </c>
      <c r="C3" s="39" t="s">
        <v>105</v>
      </c>
      <c r="D3" s="39" t="s">
        <v>106</v>
      </c>
      <c r="E3" s="39" t="s">
        <v>107</v>
      </c>
      <c r="F3" s="39" t="s">
        <v>108</v>
      </c>
      <c r="G3" s="39" t="s">
        <v>109</v>
      </c>
      <c r="H3" s="39" t="s">
        <v>29</v>
      </c>
      <c r="J3" s="115" t="s">
        <v>279</v>
      </c>
      <c r="K3" s="64" t="s">
        <v>168</v>
      </c>
      <c r="L3" s="65" t="s">
        <v>169</v>
      </c>
      <c r="M3" s="65" t="s">
        <v>172</v>
      </c>
      <c r="N3" s="64" t="s">
        <v>170</v>
      </c>
    </row>
    <row r="4" spans="1:14" ht="36" customHeight="1">
      <c r="A4" s="80" t="s">
        <v>506</v>
      </c>
      <c r="B4" s="39"/>
      <c r="C4" s="39"/>
      <c r="D4" s="39"/>
      <c r="E4" s="39"/>
      <c r="F4" s="39"/>
      <c r="G4" s="39"/>
      <c r="H4" s="39"/>
      <c r="J4" s="115"/>
      <c r="K4" s="64"/>
      <c r="L4" s="230"/>
      <c r="M4" s="230"/>
      <c r="N4" s="64"/>
    </row>
    <row r="5" spans="1:14" ht="36" customHeight="1">
      <c r="A5" s="12" t="s">
        <v>12</v>
      </c>
      <c r="B5" s="41">
        <v>220734</v>
      </c>
      <c r="C5" s="41">
        <v>0</v>
      </c>
      <c r="D5" s="24">
        <v>0</v>
      </c>
      <c r="E5" s="24">
        <v>0</v>
      </c>
      <c r="F5" s="24">
        <v>0</v>
      </c>
      <c r="G5" s="24">
        <v>0</v>
      </c>
      <c r="H5" s="41">
        <f>SUM(B5:G5)</f>
        <v>220734</v>
      </c>
      <c r="J5" s="28">
        <f>ROUND((+C_Bilan!B3/1000),0)-H5</f>
        <v>766920</v>
      </c>
      <c r="L5" s="67"/>
      <c r="M5" s="67"/>
    </row>
    <row r="6" spans="1:14" ht="24" customHeight="1">
      <c r="A6" s="62" t="s">
        <v>13</v>
      </c>
      <c r="B6" s="63">
        <v>0</v>
      </c>
      <c r="C6" s="63">
        <v>0</v>
      </c>
      <c r="D6" s="63">
        <f>185764-185764</f>
        <v>0</v>
      </c>
      <c r="E6" s="63">
        <f>195480-195480</f>
        <v>0</v>
      </c>
      <c r="F6" s="63">
        <v>0</v>
      </c>
      <c r="G6" s="63">
        <v>0</v>
      </c>
      <c r="H6" s="63">
        <f>SUM(B6:G6)</f>
        <v>0</v>
      </c>
      <c r="L6" s="67">
        <f>-249776994.7-131467290.35</f>
        <v>-381244285.04999995</v>
      </c>
      <c r="M6" s="67"/>
      <c r="N6" s="8" t="s">
        <v>171</v>
      </c>
    </row>
    <row r="7" spans="1:14" ht="24" customHeight="1">
      <c r="A7" s="12" t="s">
        <v>14</v>
      </c>
      <c r="B7" s="41">
        <v>310717</v>
      </c>
      <c r="C7" s="41">
        <v>70725</v>
      </c>
      <c r="D7" s="24">
        <v>188795</v>
      </c>
      <c r="E7" s="24">
        <v>6432</v>
      </c>
      <c r="F7" s="24">
        <v>0</v>
      </c>
      <c r="G7" s="24">
        <v>0</v>
      </c>
      <c r="H7" s="41">
        <f>SUM(B7:G7)</f>
        <v>576669</v>
      </c>
      <c r="J7" s="28">
        <f>ROUND((+C_Bilan!B5/1000),0)-H7</f>
        <v>0</v>
      </c>
      <c r="L7" s="67"/>
      <c r="M7" s="67">
        <f>-358690.43+574659.92</f>
        <v>215969.49000000005</v>
      </c>
    </row>
    <row r="8" spans="1:14" ht="24" customHeight="1">
      <c r="A8" s="12" t="s">
        <v>15</v>
      </c>
      <c r="B8" s="41">
        <v>0</v>
      </c>
      <c r="C8" s="41">
        <f>264042+K8</f>
        <v>264043</v>
      </c>
      <c r="D8" s="24">
        <v>377620</v>
      </c>
      <c r="E8" s="24">
        <v>244062</v>
      </c>
      <c r="F8" s="24">
        <v>24900</v>
      </c>
      <c r="G8" s="24">
        <v>0</v>
      </c>
      <c r="H8" s="41">
        <f t="shared" ref="H8:H10" si="0">SUM(B8:G8)</f>
        <v>910625</v>
      </c>
      <c r="J8" s="28">
        <f>ROUND((+C_Bilan!B6/1000),0)-H8</f>
        <v>0</v>
      </c>
      <c r="K8" s="8">
        <v>1</v>
      </c>
      <c r="L8" s="67">
        <v>-502440.85</v>
      </c>
      <c r="M8" s="67">
        <f>-3927294.16+1668494.53</f>
        <v>-2258799.63</v>
      </c>
    </row>
    <row r="9" spans="1:14" ht="24" customHeight="1">
      <c r="A9" s="12" t="s">
        <v>173</v>
      </c>
      <c r="B9" s="41">
        <v>3447</v>
      </c>
      <c r="C9" s="41">
        <v>0</v>
      </c>
      <c r="D9" s="24">
        <v>0</v>
      </c>
      <c r="E9" s="24">
        <v>0</v>
      </c>
      <c r="F9" s="24">
        <v>0</v>
      </c>
      <c r="G9" s="24">
        <v>0</v>
      </c>
      <c r="H9" s="41">
        <f t="shared" si="0"/>
        <v>3447</v>
      </c>
      <c r="J9" s="28">
        <f>ROUND((+C_Bilan!B7/1000),0)-H9</f>
        <v>0</v>
      </c>
      <c r="K9" s="30"/>
      <c r="L9" s="67">
        <f>2914486.47+1573555.9-1589655.45</f>
        <v>2898386.92</v>
      </c>
      <c r="M9" s="68"/>
      <c r="N9" s="30"/>
    </row>
    <row r="10" spans="1:14" ht="24" customHeight="1">
      <c r="A10" s="12" t="s">
        <v>16</v>
      </c>
      <c r="B10" s="41">
        <v>530</v>
      </c>
      <c r="C10" s="41">
        <v>0</v>
      </c>
      <c r="D10" s="24">
        <v>134421</v>
      </c>
      <c r="E10" s="24">
        <v>345676</v>
      </c>
      <c r="F10" s="24">
        <v>214859</v>
      </c>
      <c r="G10" s="24">
        <v>0</v>
      </c>
      <c r="H10" s="41">
        <f t="shared" si="0"/>
        <v>695486</v>
      </c>
      <c r="J10" s="28">
        <f>ROUND((+C_Bilan!B8/1000),0)-H10</f>
        <v>0</v>
      </c>
      <c r="L10" s="67">
        <f>-L6</f>
        <v>381244285.04999995</v>
      </c>
      <c r="M10" s="67"/>
    </row>
    <row r="11" spans="1:14" ht="36" customHeight="1">
      <c r="A11" s="9" t="s">
        <v>29</v>
      </c>
    </row>
    <row r="12" spans="1:14" s="10" customFormat="1" ht="24" customHeight="1">
      <c r="A12" s="49" t="str">
        <f>"31.12."&amp;_labels!$B$1</f>
        <v>31.12.2016</v>
      </c>
      <c r="B12" s="43">
        <f>SUM(B5:B11)</f>
        <v>535428</v>
      </c>
      <c r="C12" s="43">
        <f t="shared" ref="C12:H12" si="1">SUM(C5:C11)</f>
        <v>334768</v>
      </c>
      <c r="D12" s="26">
        <f t="shared" si="1"/>
        <v>700836</v>
      </c>
      <c r="E12" s="26">
        <f t="shared" si="1"/>
        <v>596170</v>
      </c>
      <c r="F12" s="26">
        <f t="shared" si="1"/>
        <v>239759</v>
      </c>
      <c r="G12" s="26">
        <f t="shared" si="1"/>
        <v>0</v>
      </c>
      <c r="H12" s="43">
        <f t="shared" si="1"/>
        <v>2406961</v>
      </c>
      <c r="J12" s="116">
        <f>ROUND(SUM(C_Bilan!B3:B8)/1000,0)-H12</f>
        <v>766920</v>
      </c>
    </row>
    <row r="13" spans="1:14" ht="24" customHeight="1">
      <c r="A13" s="50" t="str">
        <f>"31.12."&amp;_labels!$B$1-1</f>
        <v>31.12.2015</v>
      </c>
      <c r="B13" s="42">
        <f>561038+2898-359+575</f>
        <v>564152</v>
      </c>
      <c r="C13" s="42">
        <f>360167-502-3927+1668</f>
        <v>357406</v>
      </c>
      <c r="D13" s="42">
        <v>779771</v>
      </c>
      <c r="E13" s="42">
        <v>357838</v>
      </c>
      <c r="F13" s="42">
        <v>201208</v>
      </c>
      <c r="G13" s="42">
        <v>0</v>
      </c>
      <c r="H13" s="42">
        <f>SUM(B13:G13)</f>
        <v>2260375</v>
      </c>
      <c r="J13" s="28">
        <f>ROUND(SUM(C_Bilan!C3:C8)/1000,0)-H13</f>
        <v>-40775</v>
      </c>
      <c r="L13" s="67">
        <f>+L8+L9</f>
        <v>2395946.0699999998</v>
      </c>
    </row>
    <row r="14" spans="1:14" ht="39" customHeight="1">
      <c r="A14" s="80" t="s">
        <v>281</v>
      </c>
      <c r="B14" s="42"/>
      <c r="C14" s="42"/>
      <c r="D14" s="42"/>
      <c r="E14" s="42"/>
      <c r="F14" s="42"/>
      <c r="G14" s="42"/>
      <c r="H14" s="42"/>
      <c r="J14" s="28"/>
      <c r="L14" s="67"/>
      <c r="N14" s="8" t="s">
        <v>177</v>
      </c>
    </row>
    <row r="15" spans="1:14" ht="36" customHeight="1">
      <c r="A15" s="12" t="s">
        <v>64</v>
      </c>
      <c r="B15" s="41">
        <v>58570</v>
      </c>
      <c r="C15" s="41">
        <v>0</v>
      </c>
      <c r="D15" s="24">
        <v>0</v>
      </c>
      <c r="E15" s="24">
        <v>0</v>
      </c>
      <c r="F15" s="24">
        <v>0</v>
      </c>
      <c r="G15" s="24">
        <v>0</v>
      </c>
      <c r="H15" s="41">
        <f>SUM(B15:G15)</f>
        <v>58570</v>
      </c>
      <c r="J15" s="28">
        <f>ROUND((+C_Bilan!B18/1000),0)-H15</f>
        <v>0</v>
      </c>
      <c r="L15" s="67"/>
      <c r="M15" s="67">
        <f>-1668494.53-575162.62+2243154.45</f>
        <v>-502.6999999997206</v>
      </c>
    </row>
    <row r="16" spans="1:14" ht="24" customHeight="1">
      <c r="A16" s="61" t="s">
        <v>280</v>
      </c>
      <c r="B16" s="41">
        <f>2178740+K16</f>
        <v>2178741</v>
      </c>
      <c r="C16" s="41">
        <v>0</v>
      </c>
      <c r="D16" s="24">
        <v>8240</v>
      </c>
      <c r="E16" s="24">
        <v>0</v>
      </c>
      <c r="F16" s="24">
        <v>0</v>
      </c>
      <c r="G16" s="24">
        <v>0</v>
      </c>
      <c r="H16" s="41">
        <f>SUM(B16:G16)</f>
        <v>2186981</v>
      </c>
      <c r="J16" s="28">
        <f>ROUND((+C_Bilan!B19/1000),0)-H16</f>
        <v>-1</v>
      </c>
      <c r="K16" s="8">
        <v>1</v>
      </c>
      <c r="L16" s="67"/>
      <c r="M16" s="67">
        <v>-3954343.72</v>
      </c>
      <c r="N16" s="8" t="s">
        <v>177</v>
      </c>
    </row>
    <row r="17" spans="1:14" ht="24" customHeight="1">
      <c r="A17" s="70" t="s">
        <v>176</v>
      </c>
      <c r="B17" s="41">
        <v>2795</v>
      </c>
      <c r="C17" s="41">
        <v>0</v>
      </c>
      <c r="D17" s="24">
        <v>0</v>
      </c>
      <c r="E17" s="24">
        <v>0</v>
      </c>
      <c r="F17" s="24">
        <v>0</v>
      </c>
      <c r="G17" s="24">
        <v>0</v>
      </c>
      <c r="H17" s="41">
        <f>SUM(B17:G17)</f>
        <v>2795</v>
      </c>
      <c r="J17" s="28">
        <f>ROUND((+C_Bilan!B20/1000),0)-H17</f>
        <v>0</v>
      </c>
      <c r="L17" s="67">
        <f>4648306+1404420.55-1589655.45</f>
        <v>4463071.0999999996</v>
      </c>
      <c r="M17" s="67"/>
      <c r="N17" s="8" t="s">
        <v>178</v>
      </c>
    </row>
    <row r="18" spans="1:14" ht="36" customHeight="1">
      <c r="A18" s="9" t="s">
        <v>29</v>
      </c>
    </row>
    <row r="19" spans="1:14" s="10" customFormat="1" ht="24" customHeight="1">
      <c r="A19" s="49" t="str">
        <f>"31.12."&amp;_labels!$B$1</f>
        <v>31.12.2016</v>
      </c>
      <c r="B19" s="43">
        <f>SUM(B15:B18)</f>
        <v>2240106</v>
      </c>
      <c r="C19" s="43">
        <f t="shared" ref="C19:H19" si="2">SUM(C15:C18)</f>
        <v>0</v>
      </c>
      <c r="D19" s="26">
        <f t="shared" si="2"/>
        <v>8240</v>
      </c>
      <c r="E19" s="26">
        <f t="shared" si="2"/>
        <v>0</v>
      </c>
      <c r="F19" s="26">
        <f t="shared" si="2"/>
        <v>0</v>
      </c>
      <c r="G19" s="26">
        <f t="shared" si="2"/>
        <v>0</v>
      </c>
      <c r="H19" s="43">
        <f t="shared" si="2"/>
        <v>2248346</v>
      </c>
      <c r="J19" s="116">
        <f>ROUND(SUM(C_Bilan!B18:B20)/1000,0)-H19</f>
        <v>0</v>
      </c>
    </row>
    <row r="20" spans="1:14" ht="24" customHeight="1">
      <c r="A20" s="50" t="str">
        <f>"31.12."&amp;_labels!$B$1-1</f>
        <v>31.12.2015</v>
      </c>
      <c r="B20" s="42">
        <f>2094274+4463-1-3954</f>
        <v>2094782</v>
      </c>
      <c r="C20" s="42">
        <v>0</v>
      </c>
      <c r="D20" s="42">
        <v>5558</v>
      </c>
      <c r="E20" s="42">
        <v>12297</v>
      </c>
      <c r="F20" s="42">
        <v>0</v>
      </c>
      <c r="G20" s="42">
        <v>0</v>
      </c>
      <c r="H20" s="42">
        <f>SUM(B20:G20)</f>
        <v>2112637</v>
      </c>
      <c r="J20" s="28">
        <f>ROUND(SUM(C_Bilan!C18:C20)/1000,0)-H20</f>
        <v>0</v>
      </c>
    </row>
  </sheetData>
  <mergeCells count="1">
    <mergeCell ref="D2:G2"/>
  </mergeCells>
  <pageMargins left="0.44" right="0.4" top="1" bottom="1" header="0.5" footer="0.5"/>
  <pageSetup paperSize="9" scale="52" orientation="portrait" horizontalDpi="1200" verticalDpi="1200"/>
  <extLst>
    <ext xmlns:mx="http://schemas.microsoft.com/office/mac/excel/2008/main" uri="{64002731-A6B0-56B0-2670-7721B7C09600}">
      <mx:PLV Mode="0"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4"/>
  <sheetViews>
    <sheetView workbookViewId="0">
      <selection activeCell="A4" sqref="A4:XFD4"/>
    </sheetView>
  </sheetViews>
  <sheetFormatPr baseColWidth="10" defaultColWidth="10.83203125" defaultRowHeight="19" customHeight="1" x14ac:dyDescent="0"/>
  <cols>
    <col min="1" max="1" width="46.1640625" style="11" customWidth="1"/>
    <col min="2" max="5" width="20.83203125" style="7" customWidth="1"/>
    <col min="6" max="8" width="10.83203125" style="8"/>
    <col min="9" max="9" width="15.6640625" style="8" customWidth="1"/>
    <col min="10" max="10" width="14.1640625" style="8" customWidth="1"/>
    <col min="11" max="11" width="14.6640625" style="8" customWidth="1"/>
    <col min="12" max="12" width="12" style="8" bestFit="1" customWidth="1"/>
    <col min="13" max="13" width="13.83203125" style="8" bestFit="1" customWidth="1"/>
    <col min="14" max="16384" width="10.83203125" style="8"/>
  </cols>
  <sheetData>
    <row r="1" spans="1:11" ht="43" customHeight="1">
      <c r="A1" s="48" t="s">
        <v>509</v>
      </c>
      <c r="D1" s="16"/>
      <c r="E1" s="16"/>
    </row>
    <row r="2" spans="1:11" ht="42.75" customHeight="1">
      <c r="B2" s="231" t="str">
        <f>"31.12."&amp;_labels!$B$1</f>
        <v>31.12.2016</v>
      </c>
      <c r="C2" s="231"/>
      <c r="D2" s="257" t="str">
        <f>"31.12."&amp;_labels!$B$1-1</f>
        <v>31.12.2015</v>
      </c>
      <c r="E2" s="257"/>
      <c r="H2" s="64"/>
      <c r="I2" s="65"/>
      <c r="J2" s="65"/>
      <c r="K2" s="64"/>
    </row>
    <row r="3" spans="1:11" ht="49.5" customHeight="1">
      <c r="A3" s="19" t="s">
        <v>0</v>
      </c>
      <c r="B3" s="16" t="s">
        <v>110</v>
      </c>
      <c r="C3" s="16" t="s">
        <v>111</v>
      </c>
      <c r="D3" s="37" t="s">
        <v>110</v>
      </c>
      <c r="E3" s="37" t="s">
        <v>111</v>
      </c>
      <c r="F3" s="115" t="s">
        <v>283</v>
      </c>
      <c r="G3" s="115" t="s">
        <v>282</v>
      </c>
      <c r="H3" s="64" t="s">
        <v>168</v>
      </c>
      <c r="I3" s="65" t="s">
        <v>169</v>
      </c>
      <c r="J3" s="65" t="s">
        <v>172</v>
      </c>
      <c r="K3" s="64" t="s">
        <v>170</v>
      </c>
    </row>
    <row r="4" spans="1:11" ht="24" customHeight="1">
      <c r="A4" s="20" t="s">
        <v>12</v>
      </c>
      <c r="B4" s="24">
        <v>176777</v>
      </c>
      <c r="C4" s="24">
        <v>43957</v>
      </c>
      <c r="D4" s="25">
        <v>158226</v>
      </c>
      <c r="E4" s="25">
        <v>6005</v>
      </c>
      <c r="F4" s="119">
        <f>ROUND(+C_Bilan!B3/1000,0)-SUM(B4:C4)</f>
        <v>766920</v>
      </c>
      <c r="G4" s="119">
        <f>ROUND(+C_Bilan!C3/1000,0)-SUM(D4:E4)</f>
        <v>-40774</v>
      </c>
      <c r="I4" s="67"/>
      <c r="J4" s="67"/>
    </row>
    <row r="5" spans="1:11" ht="24" customHeight="1">
      <c r="A5" s="76" t="s">
        <v>13</v>
      </c>
      <c r="B5" s="63">
        <v>0</v>
      </c>
      <c r="C5" s="63">
        <v>0</v>
      </c>
      <c r="D5" s="63">
        <v>0</v>
      </c>
      <c r="E5" s="63">
        <f>381244-381244</f>
        <v>0</v>
      </c>
      <c r="F5" s="119">
        <f>ROUND(+C_Bilan!B4/1000,0)-SUM(B5:C5)</f>
        <v>0</v>
      </c>
      <c r="G5" s="119">
        <f>ROUND(+C_Bilan!C4/1000,0)-SUM(D5:E5)</f>
        <v>0</v>
      </c>
      <c r="I5" s="67">
        <f>-249776994.7-131467290.35</f>
        <v>-381244285.04999995</v>
      </c>
      <c r="J5" s="67"/>
      <c r="K5" s="8" t="s">
        <v>171</v>
      </c>
    </row>
    <row r="6" spans="1:11" ht="24" customHeight="1">
      <c r="A6" s="20" t="s">
        <v>14</v>
      </c>
      <c r="B6" s="24">
        <v>97309</v>
      </c>
      <c r="C6" s="24">
        <v>479360</v>
      </c>
      <c r="D6" s="25">
        <v>61234</v>
      </c>
      <c r="E6" s="25">
        <f>867576+216</f>
        <v>867792</v>
      </c>
      <c r="F6" s="119">
        <f>ROUND(+C_Bilan!B5/1000,0)-SUM(B6:C6)</f>
        <v>0</v>
      </c>
      <c r="G6" s="119">
        <f>ROUND(+C_Bilan!C5/1000,0)-SUM(D6:E6)</f>
        <v>0</v>
      </c>
      <c r="I6" s="67"/>
      <c r="J6" s="67">
        <f>-358690.43+574659.92</f>
        <v>215969.49000000005</v>
      </c>
    </row>
    <row r="7" spans="1:11" ht="24" customHeight="1">
      <c r="A7" s="20" t="s">
        <v>15</v>
      </c>
      <c r="B7" s="24">
        <v>62857</v>
      </c>
      <c r="C7" s="24">
        <f>847767+H7</f>
        <v>847768</v>
      </c>
      <c r="D7" s="25">
        <f>31581-3+1668</f>
        <v>33246</v>
      </c>
      <c r="E7" s="25">
        <f>534870-499-3928</f>
        <v>530443</v>
      </c>
      <c r="F7" s="119">
        <f>ROUND(+C_Bilan!B6/1000,0)-SUM(B7:C7)</f>
        <v>0</v>
      </c>
      <c r="G7" s="119">
        <f>ROUND(+C_Bilan!C6/1000,0)-SUM(D7:E7)</f>
        <v>0</v>
      </c>
      <c r="H7" s="8">
        <v>1</v>
      </c>
      <c r="I7" s="67">
        <v>-502440.85</v>
      </c>
      <c r="J7" s="67">
        <f>-3927294.16+1668494.53</f>
        <v>-2258799.63</v>
      </c>
    </row>
    <row r="8" spans="1:11" ht="30.75" customHeight="1">
      <c r="A8" s="118" t="s">
        <v>173</v>
      </c>
      <c r="B8" s="24">
        <v>1566</v>
      </c>
      <c r="C8" s="24">
        <v>1881</v>
      </c>
      <c r="D8" s="25">
        <f>1346+6</f>
        <v>1352</v>
      </c>
      <c r="E8" s="25">
        <f>2898-1352</f>
        <v>1546</v>
      </c>
      <c r="F8" s="119">
        <f>ROUND(+C_Bilan!B7/1000,0)-SUM(B8:C8)</f>
        <v>0</v>
      </c>
      <c r="G8" s="119">
        <f>ROUND(+C_Bilan!C7/1000,0)-SUM(D8:E8)</f>
        <v>0</v>
      </c>
      <c r="H8" s="30"/>
      <c r="I8" s="67">
        <f>2914486.47+1573555.9-1589655.45</f>
        <v>2898386.92</v>
      </c>
      <c r="J8" s="68"/>
      <c r="K8" s="30"/>
    </row>
    <row r="9" spans="1:11" ht="24" customHeight="1">
      <c r="A9" s="20" t="s">
        <v>16</v>
      </c>
      <c r="B9" s="24">
        <v>0</v>
      </c>
      <c r="C9" s="24">
        <v>695486</v>
      </c>
      <c r="D9" s="25">
        <v>0</v>
      </c>
      <c r="E9" s="25">
        <f>219286+381244</f>
        <v>600530</v>
      </c>
      <c r="F9" s="119">
        <f>ROUND(+C_Bilan!B8/1000,0)-SUM(B9:C9)</f>
        <v>0</v>
      </c>
      <c r="G9" s="119">
        <f>ROUND(+C_Bilan!C8/1000,0)-SUM(D9:E9)</f>
        <v>0</v>
      </c>
      <c r="I9" s="67">
        <f>-I5</f>
        <v>381244285.04999995</v>
      </c>
      <c r="J9" s="67"/>
    </row>
    <row r="10" spans="1:11" ht="24" customHeight="1">
      <c r="A10" s="20" t="s">
        <v>465</v>
      </c>
      <c r="B10" s="24">
        <v>6113</v>
      </c>
      <c r="C10" s="24">
        <f>1767+H10</f>
        <v>1767</v>
      </c>
      <c r="D10" s="25">
        <v>3489</v>
      </c>
      <c r="E10" s="25">
        <f>2668-2-848</f>
        <v>1818</v>
      </c>
      <c r="F10" s="119">
        <f>ROUND(+C_Bilan!B9/1000,0)-SUM(B10:C10)</f>
        <v>-1</v>
      </c>
      <c r="G10" s="119">
        <f>ROUND(+C_Bilan!C9/1000,0)-SUM(D10:E10)</f>
        <v>0</v>
      </c>
      <c r="I10" s="67">
        <v>-2112.8000000000002</v>
      </c>
      <c r="J10" s="67">
        <v>-848005.35</v>
      </c>
    </row>
    <row r="11" spans="1:11" ht="24" customHeight="1">
      <c r="A11" s="20" t="s">
        <v>79</v>
      </c>
      <c r="B11" s="24">
        <v>1200</v>
      </c>
      <c r="C11" s="24">
        <v>219</v>
      </c>
      <c r="D11" s="25">
        <v>1200</v>
      </c>
      <c r="E11" s="25">
        <f>229-147</f>
        <v>82</v>
      </c>
      <c r="F11" s="119">
        <f>ROUND(+C_Bilan!B10/1000,0)-SUM(B11:C11)</f>
        <v>0</v>
      </c>
      <c r="G11" s="119">
        <f>ROUND(+C_Bilan!C10/1000,0)-SUM(D11:E11)</f>
        <v>0</v>
      </c>
      <c r="I11" s="67"/>
      <c r="J11" s="67">
        <f>-82027023.1-147696+82027023.1</f>
        <v>-147696</v>
      </c>
    </row>
    <row r="12" spans="1:11" ht="24" customHeight="1">
      <c r="A12" s="20" t="s">
        <v>112</v>
      </c>
      <c r="B12" s="24">
        <v>7985</v>
      </c>
      <c r="C12" s="24">
        <v>1406</v>
      </c>
      <c r="D12" s="25">
        <v>6845</v>
      </c>
      <c r="E12" s="25">
        <f>1326-73</f>
        <v>1253</v>
      </c>
      <c r="F12" s="119">
        <f>ROUND(+C_Bilan!B11/1000,0)-SUM(B12:C12)</f>
        <v>0</v>
      </c>
      <c r="G12" s="119">
        <f>ROUND(+C_Bilan!C11/1000,0)-SUM(D12:E12)</f>
        <v>0</v>
      </c>
      <c r="I12" s="67"/>
      <c r="J12" s="67">
        <v>-73428.39</v>
      </c>
    </row>
    <row r="13" spans="1:11" ht="24" customHeight="1">
      <c r="A13" s="20" t="s">
        <v>61</v>
      </c>
      <c r="B13" s="24">
        <v>0</v>
      </c>
      <c r="C13" s="24">
        <v>4874</v>
      </c>
      <c r="D13" s="25">
        <f>7573-7573</f>
        <v>0</v>
      </c>
      <c r="E13" s="25">
        <v>0</v>
      </c>
      <c r="F13" s="119">
        <f>ROUND(+C_Bilan!B12/1000,0)-SUM(B13:C13)</f>
        <v>0</v>
      </c>
      <c r="G13" s="119">
        <f>ROUND(+C_Bilan!C12/1000,0)-SUM(D13:E13)</f>
        <v>0</v>
      </c>
      <c r="I13" s="67"/>
      <c r="J13" s="67">
        <v>-7573002.0599999996</v>
      </c>
    </row>
    <row r="14" spans="1:11" ht="24" customHeight="1">
      <c r="A14" s="20" t="s">
        <v>81</v>
      </c>
      <c r="B14" s="24">
        <v>2796</v>
      </c>
      <c r="C14" s="24">
        <v>556</v>
      </c>
      <c r="D14" s="25">
        <f>3354-1352-52</f>
        <v>1950</v>
      </c>
      <c r="E14" s="25">
        <f>1755-1546+2-162</f>
        <v>49</v>
      </c>
      <c r="F14" s="119">
        <f>ROUND(+C_Bilan!B13/1000,0)-SUM(B14:C14)</f>
        <v>0</v>
      </c>
      <c r="G14" s="119">
        <f>ROUND(+C_Bilan!C13/1000,0)-SUM(D14:E14)</f>
        <v>0</v>
      </c>
      <c r="I14" s="67">
        <f>-2912373.67-1573555.9+1589655.45</f>
        <v>-2896274.12</v>
      </c>
      <c r="J14" s="67">
        <f>-52160-162500.57</f>
        <v>-214660.57</v>
      </c>
    </row>
    <row r="15" spans="1:11" s="10" customFormat="1" ht="24" customHeight="1">
      <c r="A15" s="9" t="s">
        <v>113</v>
      </c>
      <c r="B15" s="26">
        <f t="shared" ref="B15:C15" si="0">SUM(B4:B14)</f>
        <v>356603</v>
      </c>
      <c r="C15" s="26">
        <f t="shared" si="0"/>
        <v>2077274</v>
      </c>
      <c r="D15" s="27">
        <f>SUM(D4:D14)</f>
        <v>267542</v>
      </c>
      <c r="E15" s="27">
        <f>SUM(E4:E14)</f>
        <v>2009518</v>
      </c>
      <c r="F15" s="120">
        <f>ROUND(+C_Bilan!B14/1000,0)-SUM(B15:C15)</f>
        <v>766920</v>
      </c>
      <c r="G15" s="120">
        <f>ROUND(+C_Bilan!C14/1000,0)-SUM(D15:E15)</f>
        <v>-40775</v>
      </c>
      <c r="I15" s="69">
        <f>SUM(I4:I14)</f>
        <v>-502440.85000000708</v>
      </c>
      <c r="J15" s="69">
        <f>SUM(J4:J14)</f>
        <v>-10899622.51</v>
      </c>
    </row>
    <row r="16" spans="1:11" s="10" customFormat="1" ht="36" customHeight="1">
      <c r="A16" s="19" t="s">
        <v>114</v>
      </c>
      <c r="B16" s="26"/>
      <c r="C16" s="26"/>
      <c r="D16" s="27"/>
      <c r="E16" s="27"/>
    </row>
    <row r="17" spans="1:13" ht="24" customHeight="1">
      <c r="A17" s="20" t="s">
        <v>64</v>
      </c>
      <c r="B17" s="24">
        <v>2</v>
      </c>
      <c r="C17" s="24">
        <f>58569+H17</f>
        <v>58569</v>
      </c>
      <c r="D17" s="25">
        <v>5300</v>
      </c>
      <c r="E17" s="25">
        <v>59956</v>
      </c>
      <c r="F17" s="119">
        <f>ROUND(+C_Bilan!B18/1000,0)-SUM(B17:C17)</f>
        <v>-1</v>
      </c>
      <c r="G17" s="119">
        <f>ROUND(+C_Bilan!C18/1000,0)-SUM(D17:E17)</f>
        <v>0</v>
      </c>
      <c r="I17" s="67"/>
      <c r="J17" s="67">
        <f>-1668494.53-575162.62+2243154.45</f>
        <v>-502.6999999997206</v>
      </c>
      <c r="L17" s="66"/>
      <c r="M17" s="66"/>
    </row>
    <row r="18" spans="1:13" ht="24" customHeight="1">
      <c r="A18" s="74" t="s">
        <v>280</v>
      </c>
      <c r="B18" s="24">
        <v>165834</v>
      </c>
      <c r="C18" s="24">
        <v>2021146</v>
      </c>
      <c r="D18" s="25">
        <v>119631</v>
      </c>
      <c r="E18" s="25">
        <f>1927242-3954</f>
        <v>1923288</v>
      </c>
      <c r="F18" s="119">
        <f>ROUND(+C_Bilan!B19/1000,0)-SUM(B18:C18)</f>
        <v>0</v>
      </c>
      <c r="G18" s="119">
        <f>ROUND(+C_Bilan!C19/1000,0)-SUM(D18:E18)</f>
        <v>0</v>
      </c>
      <c r="I18" s="67"/>
      <c r="J18" s="67">
        <v>-3954343.72</v>
      </c>
      <c r="K18" s="8" t="s">
        <v>177</v>
      </c>
      <c r="L18" s="66"/>
      <c r="M18" s="66"/>
    </row>
    <row r="19" spans="1:13" ht="30" customHeight="1">
      <c r="A19" s="118" t="s">
        <v>176</v>
      </c>
      <c r="B19" s="24">
        <v>730</v>
      </c>
      <c r="C19" s="24">
        <v>2065</v>
      </c>
      <c r="D19" s="25">
        <f>823+7</f>
        <v>830</v>
      </c>
      <c r="E19" s="25">
        <f>4463-830</f>
        <v>3633</v>
      </c>
      <c r="F19" s="119">
        <f>ROUND(+C_Bilan!B20/1000,0)-SUM(B19:C19)</f>
        <v>0</v>
      </c>
      <c r="G19" s="119">
        <f>ROUND(+C_Bilan!C20/1000,0)-SUM(D19:E19)</f>
        <v>0</v>
      </c>
      <c r="I19" s="67">
        <f>4648306+1404420.55-1589655.45</f>
        <v>4463071.0999999996</v>
      </c>
      <c r="J19" s="67"/>
      <c r="K19" s="8" t="s">
        <v>178</v>
      </c>
      <c r="L19" s="66"/>
      <c r="M19" s="66"/>
    </row>
    <row r="20" spans="1:13" ht="24" customHeight="1">
      <c r="A20" s="20" t="s">
        <v>466</v>
      </c>
      <c r="B20" s="24">
        <v>11586</v>
      </c>
      <c r="C20" s="24">
        <f>2295+H20</f>
        <v>2296</v>
      </c>
      <c r="D20" s="25">
        <f>13235-77</f>
        <v>13158</v>
      </c>
      <c r="E20" s="25">
        <f>1618-94</f>
        <v>1524</v>
      </c>
      <c r="F20" s="119">
        <f>ROUND(+C_Bilan!B21/1000,0)-SUM(B20:C20)</f>
        <v>-1</v>
      </c>
      <c r="G20" s="119">
        <f>ROUND(+C_Bilan!C21/1000,0)-SUM(D20:E20)</f>
        <v>-1</v>
      </c>
      <c r="H20" s="8">
        <v>1</v>
      </c>
      <c r="I20" s="67">
        <v>-12.65</v>
      </c>
      <c r="J20" s="67">
        <f>-77340-93836.62</f>
        <v>-171176.62</v>
      </c>
      <c r="L20" s="66"/>
      <c r="M20" s="66"/>
    </row>
    <row r="21" spans="1:13" ht="24" customHeight="1">
      <c r="A21" s="20" t="s">
        <v>82</v>
      </c>
      <c r="B21" s="24">
        <v>2746</v>
      </c>
      <c r="C21" s="24">
        <v>145</v>
      </c>
      <c r="D21" s="25">
        <f>4784-2-830</f>
        <v>3952</v>
      </c>
      <c r="E21" s="25">
        <f>3745-86-3633</f>
        <v>26</v>
      </c>
      <c r="F21" s="119">
        <f>ROUND(+C_Bilan!B22/1000,0)-SUM(B21:C21)</f>
        <v>0</v>
      </c>
      <c r="G21" s="119">
        <f>ROUND(+C_Bilan!C22/1000,0)-SUM(D21:E21)</f>
        <v>0</v>
      </c>
      <c r="I21" s="67">
        <f>-I19-I20</f>
        <v>-4463058.4499999993</v>
      </c>
      <c r="J21" s="67">
        <f>-1469-85818.53</f>
        <v>-87287.53</v>
      </c>
      <c r="L21" s="66"/>
      <c r="M21" s="66"/>
    </row>
    <row r="22" spans="1:13" ht="24" customHeight="1">
      <c r="A22" s="74" t="s">
        <v>284</v>
      </c>
      <c r="B22" s="24">
        <v>7797</v>
      </c>
      <c r="C22" s="24">
        <v>1500</v>
      </c>
      <c r="D22" s="25">
        <f>6512-502+H22</f>
        <v>6009</v>
      </c>
      <c r="E22" s="25">
        <v>0</v>
      </c>
      <c r="F22" s="119">
        <f>ROUND(+C_Bilan!B23/1000,0)-SUM(B22:C22)</f>
        <v>0</v>
      </c>
      <c r="G22" s="119">
        <f>ROUND(+C_Bilan!C23/1000,0)-SUM(D22:E22)</f>
        <v>0</v>
      </c>
      <c r="H22" s="8">
        <v>-1</v>
      </c>
      <c r="I22" s="67">
        <v>-502440.85</v>
      </c>
      <c r="J22" s="67"/>
      <c r="K22" s="8" t="s">
        <v>177</v>
      </c>
      <c r="L22" s="66"/>
      <c r="M22" s="66"/>
    </row>
    <row r="23" spans="1:13" ht="24" customHeight="1">
      <c r="A23" s="20" t="s">
        <v>57</v>
      </c>
      <c r="B23" s="24">
        <v>23769</v>
      </c>
      <c r="C23" s="24">
        <v>0</v>
      </c>
      <c r="D23" s="25">
        <v>18160</v>
      </c>
      <c r="E23" s="25">
        <v>0</v>
      </c>
      <c r="F23" s="119">
        <f>ROUND(+C_Bilan!B24/1000,0)-SUM(B23:C23)</f>
        <v>0</v>
      </c>
      <c r="G23" s="119">
        <f>ROUND(+C_Bilan!C24/1000,0)-SUM(D23:E23)</f>
        <v>0</v>
      </c>
      <c r="I23" s="67"/>
      <c r="J23" s="67"/>
      <c r="L23" s="66"/>
      <c r="M23" s="66"/>
    </row>
    <row r="24" spans="1:13" ht="24" customHeight="1">
      <c r="A24" s="20" t="s">
        <v>167</v>
      </c>
      <c r="B24" s="24">
        <v>32000</v>
      </c>
      <c r="C24" s="24">
        <v>0</v>
      </c>
      <c r="D24" s="25">
        <f>36000-4000</f>
        <v>32000</v>
      </c>
      <c r="E24" s="25">
        <v>0</v>
      </c>
      <c r="F24" s="119">
        <f>ROUND(+C_Bilan!B26/1000,0)-SUM(B24:C24)</f>
        <v>0</v>
      </c>
      <c r="G24" s="119">
        <f>ROUND(+C_Bilan!C26/1000,0)-SUM(D24:E24)</f>
        <v>0</v>
      </c>
      <c r="I24" s="67"/>
      <c r="J24" s="67">
        <f>-36000000-4615500+36615500</f>
        <v>-4000000</v>
      </c>
      <c r="L24" s="66"/>
      <c r="M24" s="66"/>
    </row>
    <row r="25" spans="1:13" ht="24" customHeight="1">
      <c r="A25" s="20" t="s">
        <v>200</v>
      </c>
      <c r="B25" s="24">
        <v>7661</v>
      </c>
      <c r="C25" s="24">
        <v>0</v>
      </c>
      <c r="D25" s="25">
        <v>7661</v>
      </c>
      <c r="E25" s="25"/>
      <c r="F25" s="119">
        <f>ROUND(+C_Bilan!B27/1000,0)-SUM(B25:C25)</f>
        <v>0</v>
      </c>
      <c r="G25" s="119">
        <f>ROUND(+C_Bilan!C27/1000,0)-SUM(D25:E25)</f>
        <v>0</v>
      </c>
      <c r="I25" s="67">
        <v>7661301</v>
      </c>
      <c r="J25" s="67">
        <v>0</v>
      </c>
      <c r="L25" s="66"/>
      <c r="M25" s="66"/>
    </row>
    <row r="26" spans="1:13" ht="24" customHeight="1">
      <c r="A26" s="20" t="s">
        <v>286</v>
      </c>
      <c r="B26" s="24">
        <f>75615-29</f>
        <v>75586</v>
      </c>
      <c r="C26" s="24">
        <v>5364</v>
      </c>
      <c r="D26" s="25">
        <f>52405-7661+23398-4486-1832</f>
        <v>61824</v>
      </c>
      <c r="E26" s="25">
        <f>4993+3286-2719</f>
        <v>5560</v>
      </c>
      <c r="F26" s="119">
        <f>ROUND(+C_Bilan!B28/1000,0)-SUM(B26:C26)</f>
        <v>0</v>
      </c>
      <c r="G26" s="119">
        <f>ROUND(+C_Bilan!C28/1000,0)-SUM(D26:E26)</f>
        <v>0</v>
      </c>
      <c r="I26" s="67">
        <v>-7661301</v>
      </c>
      <c r="J26" s="67">
        <f>1250000-43583554.51+3285786.07+56738316.82-43999.7</f>
        <v>17646548.680000003</v>
      </c>
      <c r="L26" s="66"/>
      <c r="M26" s="66"/>
    </row>
    <row r="27" spans="1:13" ht="24" customHeight="1">
      <c r="A27" s="20" t="s">
        <v>404</v>
      </c>
      <c r="B27" s="24">
        <v>29</v>
      </c>
      <c r="C27" s="24">
        <v>0</v>
      </c>
      <c r="D27" s="25">
        <v>0</v>
      </c>
      <c r="E27" s="25">
        <v>0</v>
      </c>
      <c r="F27" s="119">
        <f>ROUND(+C_Bilan!B29/1000,0)-SUM(B27:C27)</f>
        <v>0</v>
      </c>
      <c r="G27" s="119">
        <f>ROUND(+C_Bilan!C29/1000,0)-SUM(D27:E27)</f>
        <v>0</v>
      </c>
      <c r="I27" s="67"/>
      <c r="J27" s="67"/>
      <c r="L27" s="66"/>
      <c r="M27" s="66"/>
    </row>
    <row r="28" spans="1:13" ht="24" customHeight="1">
      <c r="A28" s="76" t="s">
        <v>102</v>
      </c>
      <c r="B28" s="63">
        <v>0</v>
      </c>
      <c r="C28" s="63">
        <v>0</v>
      </c>
      <c r="D28" s="63">
        <f>23398-23398</f>
        <v>0</v>
      </c>
      <c r="E28" s="63">
        <v>0</v>
      </c>
      <c r="F28" s="119">
        <f>ROUND(+C_Bilan!B30/1000,0)-SUM(B28:C28)</f>
        <v>0</v>
      </c>
      <c r="G28" s="119">
        <f>ROUND(+C_Bilan!C30/1000,0)-SUM(D28:E28)</f>
        <v>0</v>
      </c>
      <c r="I28" s="67"/>
      <c r="J28" s="67">
        <v>-23398344.780000001</v>
      </c>
      <c r="L28" s="121"/>
      <c r="M28" s="66"/>
    </row>
    <row r="29" spans="1:13" ht="24" customHeight="1">
      <c r="A29" s="20" t="s">
        <v>400</v>
      </c>
      <c r="B29" s="24">
        <f>6812</f>
        <v>6812</v>
      </c>
      <c r="C29" s="24">
        <f>9590-1350</f>
        <v>8240</v>
      </c>
      <c r="D29" s="25">
        <f>2199-748+903+2390</f>
        <v>4744</v>
      </c>
      <c r="E29" s="25">
        <f>9283+521</f>
        <v>9804</v>
      </c>
      <c r="F29" s="119">
        <f>ROUND(+C_Bilan!B31/1000,0)-SUM(B29:C29)</f>
        <v>0</v>
      </c>
      <c r="G29" s="119">
        <f>ROUND(+C_Bilan!C31/1000,0)-SUM(D29:E29)</f>
        <v>0</v>
      </c>
      <c r="I29" s="67"/>
      <c r="J29" s="67">
        <f>-748325.04+521260.52+3292548.7</f>
        <v>3065484.18</v>
      </c>
      <c r="M29" s="121"/>
    </row>
    <row r="30" spans="1:13" s="10" customFormat="1" ht="24" customHeight="1">
      <c r="A30" s="9" t="s">
        <v>115</v>
      </c>
      <c r="B30" s="26">
        <f>SUM(B17:B29)</f>
        <v>334552</v>
      </c>
      <c r="C30" s="26">
        <f t="shared" ref="C30:E30" si="1">SUM(C17:C29)</f>
        <v>2099325</v>
      </c>
      <c r="D30" s="27">
        <f t="shared" si="1"/>
        <v>273269</v>
      </c>
      <c r="E30" s="27">
        <f t="shared" si="1"/>
        <v>2003791</v>
      </c>
      <c r="F30" s="120">
        <f>ROUND(+C_Bilan!B34/1000,0)-SUM(B30:C30)</f>
        <v>0</v>
      </c>
      <c r="G30" s="120">
        <f>ROUND(+C_Bilan!C34/1000,0)-SUM(D30:E30)</f>
        <v>-1</v>
      </c>
      <c r="H30" s="8"/>
      <c r="I30" s="69">
        <f>SUM(I17:I29)</f>
        <v>-502440.84999999963</v>
      </c>
      <c r="J30" s="69">
        <f>SUM(J17:J29)</f>
        <v>-10899622.489999998</v>
      </c>
      <c r="L30" s="8"/>
      <c r="M30" s="66"/>
    </row>
    <row r="34" spans="8:8" ht="19" customHeight="1">
      <c r="H34" s="10"/>
    </row>
  </sheetData>
  <mergeCells count="2">
    <mergeCell ref="B2:C2"/>
    <mergeCell ref="D2:E2"/>
  </mergeCells>
  <pageMargins left="0.33" right="0.35" top="1" bottom="1" header="0.5" footer="0.5"/>
  <pageSetup paperSize="9" scale="69" orientation="portrait" horizontalDpi="1200" verticalDpi="1200"/>
  <ignoredErrors>
    <ignoredError sqref="F28:G29 F17:G26" formulaRange="1"/>
  </ignoredErrors>
  <extLst>
    <ext xmlns:mx="http://schemas.microsoft.com/office/mac/excel/2008/main" uri="{64002731-A6B0-56B0-2670-7721B7C09600}">
      <mx:PLV Mode="0" OnePage="0" WScale="10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10"/>
  <sheetViews>
    <sheetView workbookViewId="0">
      <selection activeCell="A4" sqref="A4:XFD4"/>
    </sheetView>
  </sheetViews>
  <sheetFormatPr baseColWidth="10" defaultColWidth="10.83203125" defaultRowHeight="19" customHeight="1" x14ac:dyDescent="0"/>
  <cols>
    <col min="1" max="1" width="22.6640625" style="11" customWidth="1"/>
    <col min="2" max="5" width="15.83203125" style="7" customWidth="1"/>
    <col min="6" max="8" width="10.83203125" style="8"/>
    <col min="9" max="9" width="15.5" style="8" customWidth="1"/>
    <col min="10" max="16384" width="10.83203125" style="8"/>
  </cols>
  <sheetData>
    <row r="1" spans="1:13" ht="43" customHeight="1">
      <c r="A1" s="48" t="s">
        <v>510</v>
      </c>
      <c r="D1" s="16"/>
      <c r="E1" s="16"/>
    </row>
    <row r="2" spans="1:13" ht="43" customHeight="1">
      <c r="B2" s="231" t="str">
        <f>"31.12."&amp;_labels!$B$1</f>
        <v>31.12.2016</v>
      </c>
      <c r="C2" s="231"/>
      <c r="D2" s="257" t="str">
        <f>"31.12."&amp;_labels!$B$1-1</f>
        <v>31.12.2015</v>
      </c>
      <c r="E2" s="257"/>
      <c r="I2" s="65" t="s">
        <v>169</v>
      </c>
    </row>
    <row r="3" spans="1:13" ht="24" customHeight="1">
      <c r="A3" s="19" t="s">
        <v>0</v>
      </c>
      <c r="B3" s="16" t="s">
        <v>116</v>
      </c>
      <c r="C3" s="16" t="s">
        <v>117</v>
      </c>
      <c r="D3" s="37" t="s">
        <v>116</v>
      </c>
      <c r="E3" s="37" t="s">
        <v>117</v>
      </c>
      <c r="J3" s="8" t="s">
        <v>287</v>
      </c>
      <c r="K3" s="8" t="s">
        <v>110</v>
      </c>
      <c r="L3" s="8" t="s">
        <v>118</v>
      </c>
      <c r="M3" s="8" t="s">
        <v>288</v>
      </c>
    </row>
    <row r="4" spans="1:13" ht="24" customHeight="1">
      <c r="A4" s="12" t="s">
        <v>110</v>
      </c>
      <c r="B4" s="24">
        <f>361478-4874-1</f>
        <v>356603</v>
      </c>
      <c r="C4" s="13">
        <f t="shared" ref="C4" si="0">+B4*$C$10/$B$10</f>
        <v>14.651644269615925</v>
      </c>
      <c r="D4" s="25">
        <f>273508-3-5957</f>
        <v>267548</v>
      </c>
      <c r="E4" s="14">
        <f t="shared" ref="E4:E9" si="1">+D4*$E$10/$D$10</f>
        <v>11.749712348379051</v>
      </c>
      <c r="I4" s="122">
        <f>-502440.85/1000</f>
        <v>-502.44084999999995</v>
      </c>
      <c r="J4" s="8">
        <f>-156.9655-233.56085-0.04945-0.0439-108.3737</f>
        <v>-498.99339999999995</v>
      </c>
      <c r="K4" s="8">
        <f>-3.2-0.24745</f>
        <v>-3.4474500000000003</v>
      </c>
      <c r="L4" s="8">
        <f>-156.9655-233.56085-0.04945</f>
        <v>-390.57579999999996</v>
      </c>
      <c r="M4" s="8">
        <f>-0.0439-108.3737</f>
        <v>-108.41759999999999</v>
      </c>
    </row>
    <row r="5" spans="1:13" ht="24" customHeight="1">
      <c r="A5" s="12" t="s">
        <v>118</v>
      </c>
      <c r="B5" s="24">
        <f>988586+85+2377</f>
        <v>991048</v>
      </c>
      <c r="C5" s="13">
        <f>+B5*$C$10/$B$10</f>
        <v>40.718902393177636</v>
      </c>
      <c r="D5" s="25">
        <f>1170280-391-4941</f>
        <v>1164948</v>
      </c>
      <c r="E5" s="14">
        <f t="shared" si="1"/>
        <v>51.16018023240494</v>
      </c>
    </row>
    <row r="6" spans="1:13" ht="24" customHeight="1">
      <c r="A6" s="12" t="s">
        <v>119</v>
      </c>
      <c r="B6" s="24">
        <f>430908+2498</f>
        <v>433406</v>
      </c>
      <c r="C6" s="13">
        <f>+B6*$C$10/$B$10</f>
        <v>17.807226905878974</v>
      </c>
      <c r="D6" s="25">
        <v>404417</v>
      </c>
      <c r="E6" s="14">
        <f t="shared" si="1"/>
        <v>17.760489403002119</v>
      </c>
      <c r="I6" s="258" t="s">
        <v>289</v>
      </c>
      <c r="J6" s="258"/>
      <c r="K6" s="258"/>
      <c r="L6" s="258"/>
      <c r="M6" s="258"/>
    </row>
    <row r="7" spans="1:13" ht="24" customHeight="1">
      <c r="A7" s="12" t="s">
        <v>121</v>
      </c>
      <c r="B7" s="24">
        <v>236781</v>
      </c>
      <c r="C7" s="13">
        <f>+B7*$C$10/$B$10</f>
        <v>9.7285524289025282</v>
      </c>
      <c r="D7" s="25">
        <v>67320</v>
      </c>
      <c r="E7" s="14">
        <f t="shared" si="1"/>
        <v>2.9564438354720561</v>
      </c>
      <c r="I7" s="122">
        <f>-10899622.51/1000</f>
        <v>-10899.622509999999</v>
      </c>
      <c r="J7" s="107">
        <f>216-3928+1-848-147-73-162</f>
        <v>-4941</v>
      </c>
      <c r="K7" s="107">
        <f>1668-52-7573</f>
        <v>-5957</v>
      </c>
    </row>
    <row r="8" spans="1:13" ht="24" customHeight="1">
      <c r="A8" s="12" t="s">
        <v>120</v>
      </c>
      <c r="B8" s="24">
        <f>70003+162767</f>
        <v>232770</v>
      </c>
      <c r="C8" s="13">
        <f>+B8*$C$10/$B$10</f>
        <v>9.5637536325788037</v>
      </c>
      <c r="D8" s="25">
        <f>263917-108</f>
        <v>263809</v>
      </c>
      <c r="E8" s="14">
        <f t="shared" si="1"/>
        <v>11.58550938490861</v>
      </c>
    </row>
    <row r="9" spans="1:13" ht="24" customHeight="1">
      <c r="A9" s="12" t="s">
        <v>122</v>
      </c>
      <c r="B9" s="24">
        <f>173379+9890</f>
        <v>183269</v>
      </c>
      <c r="C9" s="13">
        <f>+B9*$C$10/$B$10</f>
        <v>7.5299203698461348</v>
      </c>
      <c r="D9" s="25">
        <f>109018</f>
        <v>109018</v>
      </c>
      <c r="E9" s="14">
        <f t="shared" si="1"/>
        <v>4.7876647958332237</v>
      </c>
    </row>
    <row r="10" spans="1:13" s="10" customFormat="1" ht="24" customHeight="1">
      <c r="A10" s="9" t="s">
        <v>113</v>
      </c>
      <c r="B10" s="26">
        <f>SUM(B4:B9)</f>
        <v>2433877</v>
      </c>
      <c r="C10" s="15">
        <v>100</v>
      </c>
      <c r="D10" s="27">
        <f>SUM(D4:D9)</f>
        <v>2277060</v>
      </c>
      <c r="E10" s="52">
        <v>100</v>
      </c>
      <c r="G10" s="10">
        <f>+B10-C_Bilan!B14/1000</f>
        <v>-766919.64600000018</v>
      </c>
    </row>
  </sheetData>
  <sortState ref="A5:E9">
    <sortCondition descending="1" ref="C5:C9"/>
  </sortState>
  <mergeCells count="3">
    <mergeCell ref="B2:C2"/>
    <mergeCell ref="D2:E2"/>
    <mergeCell ref="I6:M6"/>
  </mergeCells>
  <pageMargins left="0.56000000000000005" right="0.28999999999999998" top="1" bottom="1" header="0.5" footer="0.5"/>
  <pageSetup paperSize="9" orientation="portrait" horizontalDpi="1200" verticalDpi="1200"/>
  <legacyDrawing r:id="rId1"/>
  <extLst>
    <ext xmlns:mx="http://schemas.microsoft.com/office/mac/excel/2008/main" uri="{64002731-A6B0-56B0-2670-7721B7C09600}">
      <mx:PLV Mode="0" OnePage="0" WScale="10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pageSetUpPr fitToPage="1"/>
  </sheetPr>
  <dimension ref="A1:N21"/>
  <sheetViews>
    <sheetView workbookViewId="0">
      <selection activeCell="A18" sqref="A18"/>
    </sheetView>
  </sheetViews>
  <sheetFormatPr baseColWidth="10" defaultColWidth="8.83203125" defaultRowHeight="15" x14ac:dyDescent="0"/>
  <cols>
    <col min="1" max="1" width="21.1640625" customWidth="1"/>
    <col min="2" max="2" width="20.33203125" customWidth="1"/>
    <col min="3" max="3" width="15.5" customWidth="1"/>
    <col min="4" max="4" width="19.1640625" customWidth="1"/>
    <col min="5" max="5" width="18.83203125" customWidth="1"/>
    <col min="6" max="6" width="16.1640625" customWidth="1"/>
    <col min="10" max="10" width="11.1640625" customWidth="1"/>
  </cols>
  <sheetData>
    <row r="1" spans="1:14" ht="23">
      <c r="A1" s="48" t="s">
        <v>290</v>
      </c>
      <c r="B1" s="48"/>
      <c r="C1" s="88"/>
      <c r="D1" s="88"/>
      <c r="E1" s="89"/>
      <c r="F1" s="89"/>
    </row>
    <row r="2" spans="1:14" ht="21" customHeight="1">
      <c r="A2" s="48"/>
      <c r="B2" s="48"/>
      <c r="C2" s="261"/>
      <c r="D2" s="261"/>
      <c r="E2" s="89"/>
      <c r="F2" s="89"/>
    </row>
    <row r="3" spans="1:14" ht="18.75" customHeight="1">
      <c r="A3" s="19"/>
      <c r="B3" s="19"/>
      <c r="C3" s="262" t="s">
        <v>291</v>
      </c>
      <c r="D3" s="262"/>
      <c r="E3" s="262"/>
      <c r="F3" s="262"/>
      <c r="J3" s="260" t="s">
        <v>169</v>
      </c>
    </row>
    <row r="4" spans="1:14" ht="18.75" customHeight="1">
      <c r="A4" s="19"/>
      <c r="B4" s="19"/>
      <c r="C4" s="261" t="str">
        <f>"31.12."&amp;[2]_labels!$B$1</f>
        <v>31.12.2015</v>
      </c>
      <c r="D4" s="261"/>
      <c r="E4" s="257" t="str">
        <f>"31.12."&amp;[2]_labels!$B$1-1</f>
        <v>31.12.2014</v>
      </c>
      <c r="F4" s="257"/>
      <c r="J4" s="260"/>
    </row>
    <row r="5" spans="1:14" ht="16">
      <c r="A5" s="123" t="s">
        <v>292</v>
      </c>
      <c r="B5" s="123" t="s">
        <v>293</v>
      </c>
      <c r="C5" s="89" t="s">
        <v>116</v>
      </c>
      <c r="D5" s="89" t="s">
        <v>117</v>
      </c>
      <c r="E5" s="124" t="s">
        <v>116</v>
      </c>
      <c r="F5" s="124" t="s">
        <v>117</v>
      </c>
      <c r="J5" s="260"/>
    </row>
    <row r="6" spans="1:14" ht="24" customHeight="1">
      <c r="A6" s="12" t="s">
        <v>294</v>
      </c>
      <c r="B6" s="12" t="s">
        <v>295</v>
      </c>
      <c r="C6" s="24">
        <v>1141995</v>
      </c>
      <c r="D6" s="13">
        <f t="shared" ref="D6:D11" si="0">+C6*$D$14/$C$14</f>
        <v>75.922795087999688</v>
      </c>
      <c r="E6" s="25">
        <f>1786308-367391-3</f>
        <v>1418914</v>
      </c>
      <c r="F6" s="14">
        <f>+E6*$F$14/$E$14</f>
        <v>69.974213013625331</v>
      </c>
      <c r="J6" s="8"/>
      <c r="K6" s="8" t="s">
        <v>287</v>
      </c>
      <c r="L6" s="189" t="s">
        <v>110</v>
      </c>
      <c r="M6" s="8" t="s">
        <v>118</v>
      </c>
      <c r="N6" s="8" t="s">
        <v>288</v>
      </c>
    </row>
    <row r="7" spans="1:14" ht="16">
      <c r="A7" s="12" t="s">
        <v>296</v>
      </c>
      <c r="B7" s="12" t="s">
        <v>297</v>
      </c>
      <c r="C7" s="24">
        <v>33053</v>
      </c>
      <c r="D7" s="13">
        <f t="shared" si="0"/>
        <v>2.197449328625479</v>
      </c>
      <c r="E7" s="25">
        <v>90738</v>
      </c>
      <c r="F7" s="14">
        <f t="shared" ref="F7:F13" si="1">+E7*$F$14/$E$14</f>
        <v>4.4747744686642994</v>
      </c>
      <c r="J7" s="122">
        <f>-502440.85/1000</f>
        <v>-502.44084999999995</v>
      </c>
      <c r="K7" s="8">
        <f>-156.9655-233.56085-0.04945-0.0439-108.3737</f>
        <v>-498.99339999999995</v>
      </c>
      <c r="L7" s="189">
        <f>-3.2-0.24745</f>
        <v>-3.4474500000000003</v>
      </c>
      <c r="M7" s="8">
        <f>-156.9655-233.56085-0.04945</f>
        <v>-390.57579999999996</v>
      </c>
      <c r="N7" s="8">
        <f>-0.0439-108.3737</f>
        <v>-108.41759999999999</v>
      </c>
    </row>
    <row r="8" spans="1:14" ht="16">
      <c r="A8" s="12" t="s">
        <v>298</v>
      </c>
      <c r="B8" s="12" t="s">
        <v>299</v>
      </c>
      <c r="C8" s="24">
        <v>2841</v>
      </c>
      <c r="D8" s="13">
        <f t="shared" si="0"/>
        <v>0.18887706237330909</v>
      </c>
      <c r="E8" s="25">
        <v>2773</v>
      </c>
      <c r="F8" s="14">
        <f t="shared" si="1"/>
        <v>0.13675141177462696</v>
      </c>
    </row>
    <row r="9" spans="1:14" ht="16">
      <c r="A9" s="12" t="s">
        <v>300</v>
      </c>
      <c r="B9" s="12" t="s">
        <v>301</v>
      </c>
      <c r="C9" s="24">
        <v>87425</v>
      </c>
      <c r="D9" s="13">
        <f t="shared" si="0"/>
        <v>5.8122411749336669</v>
      </c>
      <c r="E9" s="25">
        <v>385420</v>
      </c>
      <c r="F9" s="14">
        <f t="shared" si="1"/>
        <v>19.007114722746746</v>
      </c>
    </row>
    <row r="10" spans="1:14" ht="16">
      <c r="A10" s="12" t="s">
        <v>302</v>
      </c>
      <c r="B10" s="12" t="s">
        <v>303</v>
      </c>
      <c r="C10" s="24">
        <v>177942</v>
      </c>
      <c r="D10" s="13">
        <f t="shared" si="0"/>
        <v>11.830046544467219</v>
      </c>
      <c r="E10" s="25">
        <v>26164</v>
      </c>
      <c r="F10" s="14">
        <f t="shared" si="1"/>
        <v>1.290286310014908</v>
      </c>
    </row>
    <row r="11" spans="1:14" ht="16">
      <c r="A11" s="12" t="s">
        <v>304</v>
      </c>
      <c r="B11" s="12" t="s">
        <v>305</v>
      </c>
      <c r="C11" s="24">
        <v>19452</v>
      </c>
      <c r="D11" s="13">
        <f t="shared" si="0"/>
        <v>1.293219506260334</v>
      </c>
      <c r="E11" s="25">
        <v>31056</v>
      </c>
      <c r="F11" s="14">
        <f t="shared" si="1"/>
        <v>1.5315369073468501</v>
      </c>
    </row>
    <row r="12" spans="1:14" ht="16">
      <c r="A12" s="12" t="s">
        <v>306</v>
      </c>
      <c r="B12" s="12" t="s">
        <v>307</v>
      </c>
      <c r="C12" s="24">
        <v>11626</v>
      </c>
      <c r="D12" s="13">
        <f t="shared" ref="D12:D13" si="2">+C12*$D$14/$C$14</f>
        <v>0.77292669030344652</v>
      </c>
      <c r="E12" s="25">
        <f>7113</f>
        <v>7113</v>
      </c>
      <c r="F12" s="14">
        <f t="shared" si="1"/>
        <v>0.35077994661122308</v>
      </c>
    </row>
    <row r="13" spans="1:14" ht="16">
      <c r="A13" s="12" t="s">
        <v>308</v>
      </c>
      <c r="B13" s="12"/>
      <c r="C13" s="24">
        <v>29819</v>
      </c>
      <c r="D13" s="13">
        <f t="shared" si="2"/>
        <v>1.9824446050368547</v>
      </c>
      <c r="E13" s="25">
        <v>65589</v>
      </c>
      <c r="F13" s="14">
        <f t="shared" si="1"/>
        <v>3.2345432192160146</v>
      </c>
    </row>
    <row r="14" spans="1:14" ht="16">
      <c r="A14" s="9" t="s">
        <v>29</v>
      </c>
      <c r="B14" s="9"/>
      <c r="C14" s="26">
        <f>SUM(C6:C13)</f>
        <v>1504153</v>
      </c>
      <c r="D14" s="15">
        <v>100</v>
      </c>
      <c r="E14" s="27">
        <f>SUM(E6:E13)</f>
        <v>2027767</v>
      </c>
      <c r="F14" s="52">
        <v>100</v>
      </c>
    </row>
    <row r="17" spans="1:6" ht="31.5" customHeight="1">
      <c r="A17" s="259" t="s">
        <v>523</v>
      </c>
      <c r="B17" s="259"/>
      <c r="C17" s="259"/>
      <c r="D17" s="259"/>
      <c r="E17" s="259"/>
      <c r="F17" s="259"/>
    </row>
    <row r="19" spans="1:6">
      <c r="E19" s="190"/>
    </row>
    <row r="20" spans="1:6">
      <c r="C20" s="228">
        <f>SUM(C_ActifsRepartisPays!B5:B9)</f>
        <v>2077274</v>
      </c>
    </row>
    <row r="21" spans="1:6">
      <c r="C21" s="228">
        <f>+C20-C14</f>
        <v>573121</v>
      </c>
    </row>
  </sheetData>
  <mergeCells count="6">
    <mergeCell ref="A17:F17"/>
    <mergeCell ref="J3:J5"/>
    <mergeCell ref="C2:D2"/>
    <mergeCell ref="C3:F3"/>
    <mergeCell ref="C4:D4"/>
    <mergeCell ref="E4:F4"/>
  </mergeCells>
  <pageMargins left="0.36" right="0.27" top="0.74803149606299213" bottom="0.74803149606299213" header="0.31496062992125984" footer="0.31496062992125984"/>
  <pageSetup paperSize="9" scale="80" orientation="portrait"/>
  <ignoredErrors>
    <ignoredError sqref="A6:A12" numberStoredAsText="1"/>
  </ignoredErrors>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6"/>
  <sheetViews>
    <sheetView workbookViewId="0">
      <pane xSplit="1" ySplit="2" topLeftCell="B3" activePane="bottomRight" state="frozen"/>
      <selection pane="topRight" activeCell="B1" sqref="B1"/>
      <selection pane="bottomLeft" activeCell="A3" sqref="A3"/>
      <selection pane="bottomRight" activeCell="A3" sqref="A3:XFD3"/>
    </sheetView>
  </sheetViews>
  <sheetFormatPr baseColWidth="10" defaultColWidth="10.83203125" defaultRowHeight="19" customHeight="1" x14ac:dyDescent="0"/>
  <cols>
    <col min="1" max="1" width="61.5" style="11" bestFit="1" customWidth="1"/>
    <col min="2" max="7" width="16.6640625" style="7" customWidth="1"/>
    <col min="8" max="11" width="10.83203125" style="8"/>
    <col min="12" max="12" width="14.5" style="8" customWidth="1"/>
    <col min="13" max="13" width="18" style="8" customWidth="1"/>
    <col min="14" max="14" width="16" style="8" customWidth="1"/>
    <col min="15" max="16384" width="10.83203125" style="8"/>
  </cols>
  <sheetData>
    <row r="1" spans="1:14" ht="43" customHeight="1">
      <c r="A1" s="48" t="s">
        <v>309</v>
      </c>
    </row>
    <row r="2" spans="1:14" ht="43" customHeight="1">
      <c r="A2" s="19" t="s">
        <v>0</v>
      </c>
      <c r="B2" s="16" t="s">
        <v>123</v>
      </c>
      <c r="C2" s="16" t="s">
        <v>124</v>
      </c>
      <c r="D2" s="16" t="s">
        <v>125</v>
      </c>
      <c r="E2" s="16" t="s">
        <v>310</v>
      </c>
      <c r="F2" s="16" t="s">
        <v>84</v>
      </c>
      <c r="G2" s="16" t="s">
        <v>29</v>
      </c>
      <c r="J2" s="125" t="s">
        <v>279</v>
      </c>
      <c r="K2" s="64" t="s">
        <v>168</v>
      </c>
      <c r="L2" s="65" t="s">
        <v>169</v>
      </c>
      <c r="M2" s="65" t="s">
        <v>172</v>
      </c>
      <c r="N2" s="64" t="s">
        <v>170</v>
      </c>
    </row>
    <row r="3" spans="1:14" ht="24" customHeight="1">
      <c r="A3" s="20" t="s">
        <v>12</v>
      </c>
      <c r="B3" s="24">
        <v>175170</v>
      </c>
      <c r="C3" s="24">
        <v>282</v>
      </c>
      <c r="D3" s="24">
        <v>45071</v>
      </c>
      <c r="E3" s="24">
        <v>151</v>
      </c>
      <c r="F3" s="24">
        <v>60</v>
      </c>
      <c r="G3" s="24">
        <f>SUM(B3:F3)</f>
        <v>220734</v>
      </c>
      <c r="J3" s="28">
        <f>ROUND((+C_Bilan!B3/1000),0)-G3</f>
        <v>766920</v>
      </c>
    </row>
    <row r="4" spans="1:14" ht="24" customHeight="1">
      <c r="A4" s="76" t="s">
        <v>13</v>
      </c>
      <c r="B4" s="63">
        <v>0</v>
      </c>
      <c r="C4" s="63">
        <f>302440-302440</f>
        <v>0</v>
      </c>
      <c r="D4" s="63">
        <f>78804-78804</f>
        <v>0</v>
      </c>
      <c r="E4" s="63">
        <v>0</v>
      </c>
      <c r="F4" s="63">
        <v>0</v>
      </c>
      <c r="G4" s="63">
        <f t="shared" ref="G4:G13" si="0">SUM(B4:F4)</f>
        <v>0</v>
      </c>
      <c r="J4" s="28">
        <f>ROUND((+C_Bilan!B4/1000),0)-G4</f>
        <v>0</v>
      </c>
      <c r="L4" s="67">
        <f>(-249776994.7-131467290.35)/1000</f>
        <v>-381244.28504999995</v>
      </c>
    </row>
    <row r="5" spans="1:14" ht="24" customHeight="1">
      <c r="A5" s="20" t="s">
        <v>14</v>
      </c>
      <c r="B5" s="24">
        <v>66369</v>
      </c>
      <c r="C5" s="24">
        <v>248812</v>
      </c>
      <c r="D5" s="24">
        <v>175597</v>
      </c>
      <c r="E5" s="24">
        <v>26462</v>
      </c>
      <c r="F5" s="24">
        <f>11+59418</f>
        <v>59429</v>
      </c>
      <c r="G5" s="24">
        <f t="shared" si="0"/>
        <v>576669</v>
      </c>
      <c r="J5" s="28">
        <f>ROUND((+C_Bilan!B5/1000),0)-G5</f>
        <v>0</v>
      </c>
      <c r="L5" s="67"/>
    </row>
    <row r="6" spans="1:14" ht="24" customHeight="1">
      <c r="A6" s="20" t="s">
        <v>15</v>
      </c>
      <c r="B6" s="24">
        <v>115040</v>
      </c>
      <c r="C6" s="24">
        <v>597001</v>
      </c>
      <c r="D6" s="24">
        <v>102156</v>
      </c>
      <c r="E6" s="24">
        <v>88550</v>
      </c>
      <c r="F6" s="24">
        <f>2764+5113+1</f>
        <v>7878</v>
      </c>
      <c r="G6" s="24">
        <f t="shared" si="0"/>
        <v>910625</v>
      </c>
      <c r="J6" s="28">
        <f>ROUND((+C_Bilan!B6/1000),0)-G6</f>
        <v>0</v>
      </c>
      <c r="L6" s="67">
        <f>-502440.85/1000</f>
        <v>-502.44084999999995</v>
      </c>
    </row>
    <row r="7" spans="1:14" ht="24" customHeight="1">
      <c r="A7" s="20" t="s">
        <v>397</v>
      </c>
      <c r="B7" s="24">
        <v>3447</v>
      </c>
      <c r="C7" s="24">
        <v>0</v>
      </c>
      <c r="D7" s="24">
        <v>0</v>
      </c>
      <c r="E7" s="24">
        <v>0</v>
      </c>
      <c r="F7" s="24">
        <v>0</v>
      </c>
      <c r="G7" s="24">
        <f t="shared" si="0"/>
        <v>3447</v>
      </c>
      <c r="J7" s="28">
        <f>ROUND((+C_Bilan!B7/1000),0)-G7</f>
        <v>0</v>
      </c>
      <c r="L7" s="67">
        <f>(2914486.47+1573555.9-1589655.45)/1000</f>
        <v>2898.3869199999999</v>
      </c>
    </row>
    <row r="8" spans="1:14" ht="24" customHeight="1">
      <c r="A8" s="20" t="s">
        <v>16</v>
      </c>
      <c r="B8" s="24">
        <v>39060</v>
      </c>
      <c r="C8" s="24">
        <v>513455</v>
      </c>
      <c r="D8" s="24">
        <v>142971</v>
      </c>
      <c r="E8" s="24">
        <v>0</v>
      </c>
      <c r="F8" s="24">
        <v>0</v>
      </c>
      <c r="G8" s="24">
        <f t="shared" ref="G8" si="1">SUM(B8:F8)</f>
        <v>695486</v>
      </c>
      <c r="J8" s="28">
        <f>ROUND((+C_Bilan!B8/1000),0)-G8</f>
        <v>0</v>
      </c>
      <c r="L8" s="67">
        <f>-L4</f>
        <v>381244.28504999995</v>
      </c>
    </row>
    <row r="9" spans="1:14" ht="24" customHeight="1">
      <c r="A9" s="20" t="s">
        <v>465</v>
      </c>
      <c r="B9" s="24">
        <v>3350</v>
      </c>
      <c r="C9" s="24">
        <v>2332</v>
      </c>
      <c r="D9" s="24">
        <v>1385</v>
      </c>
      <c r="E9" s="24">
        <v>661</v>
      </c>
      <c r="F9" s="24">
        <f>152</f>
        <v>152</v>
      </c>
      <c r="G9" s="24">
        <f t="shared" si="0"/>
        <v>7880</v>
      </c>
      <c r="J9" s="28">
        <f>ROUND((+C_Bilan!B9/1000),0)-G9</f>
        <v>-1</v>
      </c>
      <c r="L9" s="67">
        <f>-2112.8/1000</f>
        <v>-2.1128</v>
      </c>
    </row>
    <row r="10" spans="1:14" ht="24" customHeight="1">
      <c r="A10" s="20" t="s">
        <v>79</v>
      </c>
      <c r="B10" s="24">
        <v>1278</v>
      </c>
      <c r="C10" s="24">
        <v>0</v>
      </c>
      <c r="D10" s="24">
        <v>0</v>
      </c>
      <c r="E10" s="24">
        <v>141</v>
      </c>
      <c r="F10" s="24">
        <v>0</v>
      </c>
      <c r="G10" s="24">
        <f t="shared" si="0"/>
        <v>1419</v>
      </c>
      <c r="J10" s="28">
        <f>ROUND((+C_Bilan!B10/1000),0)-G10</f>
        <v>0</v>
      </c>
      <c r="L10" s="67"/>
    </row>
    <row r="11" spans="1:14" ht="24" customHeight="1">
      <c r="A11" s="20" t="s">
        <v>112</v>
      </c>
      <c r="B11" s="24">
        <v>8653</v>
      </c>
      <c r="C11" s="24">
        <v>0</v>
      </c>
      <c r="D11" s="24">
        <v>0</v>
      </c>
      <c r="E11" s="24">
        <v>518</v>
      </c>
      <c r="F11" s="24">
        <f>219+1</f>
        <v>220</v>
      </c>
      <c r="G11" s="24">
        <f t="shared" si="0"/>
        <v>9391</v>
      </c>
      <c r="J11" s="28">
        <f>ROUND((+C_Bilan!B11/1000),0)-G11</f>
        <v>0</v>
      </c>
      <c r="L11" s="67"/>
    </row>
    <row r="12" spans="1:14" ht="24" customHeight="1">
      <c r="A12" s="20" t="s">
        <v>61</v>
      </c>
      <c r="B12" s="24">
        <v>4874</v>
      </c>
      <c r="C12" s="24">
        <v>0</v>
      </c>
      <c r="D12" s="24">
        <v>0</v>
      </c>
      <c r="E12" s="24">
        <v>0</v>
      </c>
      <c r="F12" s="24">
        <v>0</v>
      </c>
      <c r="G12" s="24">
        <f t="shared" si="0"/>
        <v>4874</v>
      </c>
      <c r="J12" s="28">
        <f>ROUND((+C_Bilan!B12/1000),0)-G12</f>
        <v>0</v>
      </c>
      <c r="L12" s="67"/>
    </row>
    <row r="13" spans="1:14" ht="24" customHeight="1">
      <c r="A13" s="20" t="s">
        <v>81</v>
      </c>
      <c r="B13" s="24">
        <v>2729</v>
      </c>
      <c r="C13" s="24">
        <v>75</v>
      </c>
      <c r="D13" s="24">
        <v>38</v>
      </c>
      <c r="E13" s="24">
        <v>130</v>
      </c>
      <c r="F13" s="24">
        <f>381-1</f>
        <v>380</v>
      </c>
      <c r="G13" s="24">
        <f t="shared" si="0"/>
        <v>3352</v>
      </c>
      <c r="J13" s="28">
        <f>ROUND((+C_Bilan!B13/1000),0)-G13</f>
        <v>0</v>
      </c>
      <c r="L13" s="67">
        <f>(-2912373.67-1573555.9+1589655.45)/1000</f>
        <v>-2896.27412</v>
      </c>
    </row>
    <row r="14" spans="1:14" s="10" customFormat="1" ht="24" customHeight="1">
      <c r="A14" s="51" t="s">
        <v>311</v>
      </c>
      <c r="B14" s="26">
        <f t="shared" ref="B14:G14" si="2">SUM(B3:B13)</f>
        <v>419970</v>
      </c>
      <c r="C14" s="26">
        <f t="shared" si="2"/>
        <v>1361957</v>
      </c>
      <c r="D14" s="26">
        <f t="shared" si="2"/>
        <v>467218</v>
      </c>
      <c r="E14" s="26">
        <f t="shared" si="2"/>
        <v>116613</v>
      </c>
      <c r="F14" s="26">
        <f t="shared" si="2"/>
        <v>68119</v>
      </c>
      <c r="G14" s="26">
        <f t="shared" si="2"/>
        <v>2433877</v>
      </c>
      <c r="J14" s="28">
        <f>ROUND((+C_Bilan!B14/1000),0)-G14</f>
        <v>766920</v>
      </c>
      <c r="L14" s="69">
        <f>SUM(L3:L13)</f>
        <v>-502.4408499999945</v>
      </c>
    </row>
    <row r="15" spans="1:14" ht="31.5" customHeight="1">
      <c r="A15" s="126" t="s">
        <v>312</v>
      </c>
      <c r="B15" s="24">
        <v>34177</v>
      </c>
      <c r="C15" s="24">
        <v>219103</v>
      </c>
      <c r="D15" s="24">
        <v>165659</v>
      </c>
      <c r="E15" s="24">
        <v>9715</v>
      </c>
      <c r="F15" s="24">
        <f>862+17270</f>
        <v>18132</v>
      </c>
      <c r="G15" s="24">
        <f>SUM(B15:F15)</f>
        <v>446786</v>
      </c>
    </row>
    <row r="16" spans="1:14" s="10" customFormat="1" ht="24" customHeight="1">
      <c r="A16" s="9" t="s">
        <v>313</v>
      </c>
      <c r="B16" s="26">
        <f t="shared" ref="B16:F16" si="3">SUM(B14:B15)</f>
        <v>454147</v>
      </c>
      <c r="C16" s="26">
        <f t="shared" si="3"/>
        <v>1581060</v>
      </c>
      <c r="D16" s="26">
        <f t="shared" si="3"/>
        <v>632877</v>
      </c>
      <c r="E16" s="26">
        <f t="shared" si="3"/>
        <v>126328</v>
      </c>
      <c r="F16" s="26">
        <f t="shared" si="3"/>
        <v>86251</v>
      </c>
      <c r="G16" s="26">
        <f>SUM(G14:G15)</f>
        <v>2880663</v>
      </c>
    </row>
  </sheetData>
  <pageMargins left="0.46" right="0.39" top="1" bottom="1" header="0.5" footer="0.5"/>
  <pageSetup paperSize="9" scale="54" orientation="portrait" horizontalDpi="1200" verticalDpi="1200"/>
  <extLst>
    <ext xmlns:mx="http://schemas.microsoft.com/office/mac/excel/2008/main" uri="{64002731-A6B0-56B0-2670-7721B7C09600}">
      <mx:PLV Mode="0"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9"/>
  <sheetViews>
    <sheetView workbookViewId="0">
      <selection activeCell="A3" sqref="A3:XFD3"/>
    </sheetView>
  </sheetViews>
  <sheetFormatPr baseColWidth="10" defaultColWidth="10.83203125" defaultRowHeight="19" customHeight="1" x14ac:dyDescent="0"/>
  <cols>
    <col min="1" max="1" width="67.5" style="11" customWidth="1"/>
    <col min="2" max="7" width="17" style="7" customWidth="1"/>
    <col min="8" max="16384" width="10.83203125" style="8"/>
  </cols>
  <sheetData>
    <row r="1" spans="1:14" ht="43" customHeight="1">
      <c r="A1" s="48" t="s">
        <v>309</v>
      </c>
    </row>
    <row r="2" spans="1:14" ht="43" customHeight="1">
      <c r="A2" s="19" t="s">
        <v>114</v>
      </c>
      <c r="B2" s="16" t="s">
        <v>123</v>
      </c>
      <c r="C2" s="16" t="s">
        <v>124</v>
      </c>
      <c r="D2" s="16" t="s">
        <v>125</v>
      </c>
      <c r="E2" s="16" t="s">
        <v>310</v>
      </c>
      <c r="F2" s="16" t="s">
        <v>84</v>
      </c>
      <c r="G2" s="16" t="s">
        <v>29</v>
      </c>
      <c r="J2" s="125" t="s">
        <v>279</v>
      </c>
      <c r="K2" s="64" t="s">
        <v>168</v>
      </c>
      <c r="L2" s="65" t="s">
        <v>169</v>
      </c>
      <c r="M2" s="65" t="s">
        <v>172</v>
      </c>
      <c r="N2" s="64" t="s">
        <v>170</v>
      </c>
    </row>
    <row r="3" spans="1:14" ht="24" customHeight="1">
      <c r="A3" s="20" t="s">
        <v>64</v>
      </c>
      <c r="B3" s="24">
        <v>0</v>
      </c>
      <c r="C3" s="24">
        <v>8793</v>
      </c>
      <c r="D3" s="24">
        <f>49286+1</f>
        <v>49287</v>
      </c>
      <c r="E3" s="24">
        <v>480</v>
      </c>
      <c r="F3" s="24">
        <f>10</f>
        <v>10</v>
      </c>
      <c r="G3" s="24">
        <f>SUM(B3:F3)</f>
        <v>58570</v>
      </c>
      <c r="J3" s="28">
        <f>ROUND((+C_Bilan!B18/1000),0)-G3</f>
        <v>0</v>
      </c>
    </row>
    <row r="4" spans="1:14" ht="24" customHeight="1">
      <c r="A4" s="20" t="s">
        <v>280</v>
      </c>
      <c r="B4" s="24">
        <v>238996</v>
      </c>
      <c r="C4" s="24">
        <f>1368948+1</f>
        <v>1368949</v>
      </c>
      <c r="D4" s="24">
        <f>408133+K4</f>
        <v>408134</v>
      </c>
      <c r="E4" s="24">
        <v>109000</v>
      </c>
      <c r="F4" s="24">
        <f>162+61740</f>
        <v>61902</v>
      </c>
      <c r="G4" s="24">
        <f t="shared" ref="G4:G15" si="0">SUM(B4:F4)</f>
        <v>2186981</v>
      </c>
      <c r="J4" s="28">
        <f>ROUND((+C_Bilan!B19/1000),0)-G4</f>
        <v>-1</v>
      </c>
      <c r="K4" s="8">
        <v>1</v>
      </c>
    </row>
    <row r="5" spans="1:14" ht="24" customHeight="1">
      <c r="A5" s="20" t="s">
        <v>176</v>
      </c>
      <c r="B5" s="24">
        <v>2795</v>
      </c>
      <c r="C5" s="24">
        <v>0</v>
      </c>
      <c r="D5" s="24">
        <v>0</v>
      </c>
      <c r="E5" s="24">
        <v>0</v>
      </c>
      <c r="F5" s="24">
        <v>0</v>
      </c>
      <c r="G5" s="24">
        <f t="shared" ref="G5" si="1">SUM(B5:F5)</f>
        <v>2795</v>
      </c>
      <c r="J5" s="28">
        <f>ROUND((+C_Bilan!B20/1000),0)-G5</f>
        <v>0</v>
      </c>
    </row>
    <row r="6" spans="1:14" ht="24" customHeight="1">
      <c r="A6" s="20" t="s">
        <v>466</v>
      </c>
      <c r="B6" s="24">
        <v>13198</v>
      </c>
      <c r="C6" s="24">
        <v>174</v>
      </c>
      <c r="D6" s="24">
        <v>17</v>
      </c>
      <c r="E6" s="24">
        <v>89</v>
      </c>
      <c r="F6" s="24">
        <v>403</v>
      </c>
      <c r="G6" s="24">
        <f t="shared" si="0"/>
        <v>13881</v>
      </c>
      <c r="J6" s="28">
        <f>ROUND((+C_Bilan!B21/1000),0)-G6</f>
        <v>0</v>
      </c>
    </row>
    <row r="7" spans="1:14" ht="24" customHeight="1">
      <c r="A7" s="20" t="s">
        <v>82</v>
      </c>
      <c r="B7" s="24">
        <v>1930</v>
      </c>
      <c r="C7" s="24">
        <v>782</v>
      </c>
      <c r="D7" s="24">
        <v>68</v>
      </c>
      <c r="E7" s="24">
        <v>88</v>
      </c>
      <c r="F7" s="24">
        <f>23+K7</f>
        <v>24</v>
      </c>
      <c r="G7" s="24">
        <f t="shared" si="0"/>
        <v>2892</v>
      </c>
      <c r="J7" s="28">
        <f>ROUND((+C_Bilan!B22/1000),0)-G7</f>
        <v>-1</v>
      </c>
      <c r="K7" s="8">
        <v>1</v>
      </c>
    </row>
    <row r="8" spans="1:14" ht="24" customHeight="1">
      <c r="A8" s="20" t="s">
        <v>284</v>
      </c>
      <c r="B8" s="24">
        <v>9297</v>
      </c>
      <c r="C8" s="24">
        <v>0</v>
      </c>
      <c r="D8" s="24">
        <v>0</v>
      </c>
      <c r="E8" s="24">
        <v>0</v>
      </c>
      <c r="F8" s="24">
        <v>0</v>
      </c>
      <c r="G8" s="24">
        <f t="shared" si="0"/>
        <v>9297</v>
      </c>
      <c r="J8" s="28">
        <f>ROUND((+C_Bilan!B23/1000),0)-G8</f>
        <v>0</v>
      </c>
    </row>
    <row r="9" spans="1:14" ht="24" customHeight="1">
      <c r="A9" s="20" t="s">
        <v>57</v>
      </c>
      <c r="B9" s="24">
        <v>23769</v>
      </c>
      <c r="C9" s="24">
        <v>0</v>
      </c>
      <c r="D9" s="24">
        <v>0</v>
      </c>
      <c r="E9" s="24">
        <v>0</v>
      </c>
      <c r="F9" s="24">
        <v>0</v>
      </c>
      <c r="G9" s="24">
        <f t="shared" si="0"/>
        <v>23769</v>
      </c>
      <c r="J9" s="28">
        <f>ROUND((+C_Bilan!B24/1000),0)-G9</f>
        <v>0</v>
      </c>
    </row>
    <row r="10" spans="1:14" ht="24" customHeight="1">
      <c r="A10" s="20" t="s">
        <v>167</v>
      </c>
      <c r="B10" s="24">
        <v>32000</v>
      </c>
      <c r="C10" s="24">
        <v>0</v>
      </c>
      <c r="D10" s="24">
        <v>0</v>
      </c>
      <c r="E10" s="24">
        <v>0</v>
      </c>
      <c r="F10" s="24">
        <v>0</v>
      </c>
      <c r="G10" s="24">
        <f t="shared" si="0"/>
        <v>32000</v>
      </c>
      <c r="J10" s="28">
        <f>ROUND((+C_Bilan!B26/1000),0)-G10</f>
        <v>0</v>
      </c>
    </row>
    <row r="11" spans="1:14" ht="24" customHeight="1">
      <c r="A11" s="20" t="s">
        <v>200</v>
      </c>
      <c r="B11" s="24">
        <v>7661</v>
      </c>
      <c r="C11" s="24">
        <v>0</v>
      </c>
      <c r="D11" s="24">
        <v>0</v>
      </c>
      <c r="E11" s="24">
        <v>0</v>
      </c>
      <c r="F11" s="24">
        <v>0</v>
      </c>
      <c r="G11" s="24">
        <f t="shared" ref="G11" si="2">SUM(B11:F11)</f>
        <v>7661</v>
      </c>
      <c r="J11" s="28">
        <f>ROUND((+C_Bilan!B27/1000),0)-G11</f>
        <v>0</v>
      </c>
    </row>
    <row r="12" spans="1:14" ht="24" customHeight="1">
      <c r="A12" s="20" t="s">
        <v>286</v>
      </c>
      <c r="B12" s="24">
        <f>80979-29</f>
        <v>80950</v>
      </c>
      <c r="C12" s="24">
        <v>0</v>
      </c>
      <c r="D12" s="24">
        <v>0</v>
      </c>
      <c r="E12" s="24">
        <v>0</v>
      </c>
      <c r="F12" s="24">
        <v>0</v>
      </c>
      <c r="G12" s="24">
        <f t="shared" si="0"/>
        <v>80950</v>
      </c>
      <c r="J12" s="28">
        <f>ROUND((+C_Bilan!B28/1000),0)-G12</f>
        <v>0</v>
      </c>
    </row>
    <row r="13" spans="1:14" ht="24" customHeight="1">
      <c r="A13" s="20" t="s">
        <v>404</v>
      </c>
      <c r="B13" s="24">
        <v>29</v>
      </c>
      <c r="C13" s="24">
        <v>0</v>
      </c>
      <c r="D13" s="24">
        <v>0</v>
      </c>
      <c r="E13" s="24">
        <v>0</v>
      </c>
      <c r="F13" s="24">
        <v>0</v>
      </c>
      <c r="G13" s="24">
        <f t="shared" ref="G13" si="3">SUM(B13:F13)</f>
        <v>29</v>
      </c>
      <c r="J13" s="28"/>
    </row>
    <row r="14" spans="1:14" ht="24" customHeight="1">
      <c r="A14" s="76" t="s">
        <v>126</v>
      </c>
      <c r="B14" s="63">
        <f>23398-23398</f>
        <v>0</v>
      </c>
      <c r="C14" s="63">
        <v>0</v>
      </c>
      <c r="D14" s="63">
        <v>0</v>
      </c>
      <c r="E14" s="63">
        <v>0</v>
      </c>
      <c r="F14" s="63">
        <v>0</v>
      </c>
      <c r="G14" s="63">
        <f t="shared" si="0"/>
        <v>0</v>
      </c>
      <c r="J14" s="28">
        <f>ROUND((+C_Bilan!B30/1000),0)-G14</f>
        <v>0</v>
      </c>
    </row>
    <row r="15" spans="1:14" ht="24" customHeight="1">
      <c r="A15" s="20" t="s">
        <v>400</v>
      </c>
      <c r="B15" s="24">
        <v>15052</v>
      </c>
      <c r="C15" s="24">
        <v>0</v>
      </c>
      <c r="D15" s="24">
        <v>0</v>
      </c>
      <c r="E15" s="24">
        <v>0</v>
      </c>
      <c r="F15" s="24">
        <v>0</v>
      </c>
      <c r="G15" s="24">
        <f t="shared" si="0"/>
        <v>15052</v>
      </c>
      <c r="J15" s="28">
        <f>ROUND((+C_Bilan!B31/1000),0)-G15</f>
        <v>0</v>
      </c>
    </row>
    <row r="16" spans="1:14" s="10" customFormat="1" ht="24" customHeight="1">
      <c r="A16" s="51" t="s">
        <v>314</v>
      </c>
      <c r="B16" s="26">
        <f t="shared" ref="B16:F16" si="4">SUM(B3:B15)</f>
        <v>425677</v>
      </c>
      <c r="C16" s="26">
        <f t="shared" si="4"/>
        <v>1378698</v>
      </c>
      <c r="D16" s="26">
        <f t="shared" si="4"/>
        <v>457506</v>
      </c>
      <c r="E16" s="26">
        <f t="shared" si="4"/>
        <v>109657</v>
      </c>
      <c r="F16" s="26">
        <f t="shared" si="4"/>
        <v>62339</v>
      </c>
      <c r="G16" s="26">
        <f>SUM(G3:G15)</f>
        <v>2433877</v>
      </c>
      <c r="J16" s="28">
        <f>ROUND((+C_Bilan!B34/1000),0)-G16</f>
        <v>0</v>
      </c>
    </row>
    <row r="17" spans="1:7" ht="32.25" customHeight="1">
      <c r="A17" s="126" t="s">
        <v>315</v>
      </c>
      <c r="B17" s="24">
        <v>32062</v>
      </c>
      <c r="C17" s="24">
        <v>201837</v>
      </c>
      <c r="D17" s="24">
        <v>175159</v>
      </c>
      <c r="E17" s="24">
        <v>14676</v>
      </c>
      <c r="F17" s="24">
        <f>3470+18895-1</f>
        <v>22364</v>
      </c>
      <c r="G17" s="24">
        <f>SUM(B17:F17)</f>
        <v>446098</v>
      </c>
    </row>
    <row r="18" spans="1:7" s="10" customFormat="1" ht="24" customHeight="1">
      <c r="A18" s="9" t="s">
        <v>115</v>
      </c>
      <c r="B18" s="26">
        <f t="shared" ref="B18:F18" si="5">SUM(B16:B17)</f>
        <v>457739</v>
      </c>
      <c r="C18" s="26">
        <f t="shared" si="5"/>
        <v>1580535</v>
      </c>
      <c r="D18" s="26">
        <f t="shared" si="5"/>
        <v>632665</v>
      </c>
      <c r="E18" s="26">
        <f t="shared" si="5"/>
        <v>124333</v>
      </c>
      <c r="F18" s="26">
        <f t="shared" si="5"/>
        <v>84703</v>
      </c>
      <c r="G18" s="26">
        <f>SUM(G16:G17)</f>
        <v>2879975</v>
      </c>
    </row>
    <row r="19" spans="1:7" s="10" customFormat="1" ht="48" customHeight="1">
      <c r="A19" s="9" t="s">
        <v>127</v>
      </c>
      <c r="B19" s="26">
        <f>+C_BilanMonnaiesActifs!B16-C_BilanMonnaiesPassifs!B18</f>
        <v>-3592</v>
      </c>
      <c r="C19" s="26">
        <f>+C_BilanMonnaiesActifs!C16-C_BilanMonnaiesPassifs!C18</f>
        <v>525</v>
      </c>
      <c r="D19" s="26">
        <f>+C_BilanMonnaiesActifs!D16-C_BilanMonnaiesPassifs!D18</f>
        <v>212</v>
      </c>
      <c r="E19" s="26">
        <f>+C_BilanMonnaiesActifs!E16-C_BilanMonnaiesPassifs!E18</f>
        <v>1995</v>
      </c>
      <c r="F19" s="26">
        <f>+C_BilanMonnaiesActifs!F16-C_BilanMonnaiesPassifs!F18</f>
        <v>1548</v>
      </c>
      <c r="G19" s="26">
        <f>SUM(B19:F19)</f>
        <v>688</v>
      </c>
    </row>
  </sheetData>
  <pageMargins left="0.31" right="0.33" top="1" bottom="1" header="0.5" footer="0.5"/>
  <pageSetup paperSize="9" scale="52" orientation="portrait"/>
  <extLst>
    <ext xmlns:mx="http://schemas.microsoft.com/office/mac/excel/2008/main" uri="{64002731-A6B0-56B0-2670-7721B7C09600}">
      <mx:PLV Mode="0"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8"/>
  <sheetViews>
    <sheetView workbookViewId="0">
      <selection activeCell="C3" sqref="C3"/>
    </sheetView>
  </sheetViews>
  <sheetFormatPr baseColWidth="10" defaultColWidth="10.83203125" defaultRowHeight="19" customHeight="1" x14ac:dyDescent="0"/>
  <cols>
    <col min="1" max="1" width="53.83203125" style="11" customWidth="1"/>
    <col min="2" max="3" width="20.83203125" style="7" customWidth="1"/>
    <col min="4" max="16384" width="10.83203125" style="8"/>
  </cols>
  <sheetData>
    <row r="1" spans="1:3" ht="43" customHeight="1">
      <c r="A1" s="48" t="s">
        <v>316</v>
      </c>
      <c r="C1" s="16"/>
    </row>
    <row r="2" spans="1:3" ht="43" customHeight="1">
      <c r="A2" s="127" t="s">
        <v>9</v>
      </c>
      <c r="B2" s="17" t="str">
        <f>"31.12."&amp;_labels!$B$1</f>
        <v>31.12.2016</v>
      </c>
      <c r="C2" s="22" t="str">
        <f>"31.12."&amp;_labels!$B$1-1</f>
        <v>31.12.2015</v>
      </c>
    </row>
    <row r="3" spans="1:3" ht="24" customHeight="1">
      <c r="A3" s="12" t="s">
        <v>317</v>
      </c>
      <c r="B3" s="24">
        <f>5256140/1000</f>
        <v>5256.14</v>
      </c>
      <c r="C3" s="25">
        <f>27464607/1000</f>
        <v>27464.607</v>
      </c>
    </row>
    <row r="4" spans="1:3" s="10" customFormat="1" ht="24" customHeight="1">
      <c r="A4" s="9" t="s">
        <v>318</v>
      </c>
      <c r="B4" s="26">
        <f>SUM(B3)</f>
        <v>5256.14</v>
      </c>
      <c r="C4" s="27">
        <f>SUM(C3)</f>
        <v>27464.607</v>
      </c>
    </row>
    <row r="5" spans="1:3" s="10" customFormat="1" ht="24" customHeight="1">
      <c r="A5" s="9"/>
      <c r="B5" s="26"/>
      <c r="C5" s="27"/>
    </row>
    <row r="6" spans="1:3" ht="43" customHeight="1">
      <c r="A6" s="128" t="s">
        <v>24</v>
      </c>
      <c r="B6" s="129" t="str">
        <f>"31.12."&amp;_labels!$B$1</f>
        <v>31.12.2016</v>
      </c>
      <c r="C6" s="130" t="str">
        <f>"31.12."&amp;_labels!$B$1-1</f>
        <v>31.12.2015</v>
      </c>
    </row>
    <row r="7" spans="1:3" ht="24" customHeight="1">
      <c r="A7" s="62" t="s">
        <v>128</v>
      </c>
      <c r="B7" s="63">
        <v>1898000</v>
      </c>
      <c r="C7" s="63">
        <v>1898000</v>
      </c>
    </row>
    <row r="8" spans="1:3" s="10" customFormat="1" ht="24" customHeight="1">
      <c r="A8" s="81" t="s">
        <v>29</v>
      </c>
      <c r="B8" s="82">
        <v>1898000</v>
      </c>
      <c r="C8" s="82">
        <v>1898000</v>
      </c>
    </row>
  </sheetData>
  <pageMargins left="0.66" right="0.38" top="1" bottom="1" header="0.5" footer="0.5"/>
  <pageSetup paperSize="9" scale="89" orientation="portrait" horizontalDpi="1200" verticalDpi="1200"/>
  <extLst>
    <ext xmlns:mx="http://schemas.microsoft.com/office/mac/excel/2008/main" uri="{64002731-A6B0-56B0-2670-7721B7C09600}">
      <mx:PLV Mode="0"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
  <sheetViews>
    <sheetView topLeftCell="A2" workbookViewId="0">
      <selection activeCell="A2" sqref="A2"/>
    </sheetView>
  </sheetViews>
  <sheetFormatPr baseColWidth="10" defaultColWidth="10.83203125" defaultRowHeight="19" customHeight="1" x14ac:dyDescent="0"/>
  <cols>
    <col min="1" max="1" width="44" style="11" customWidth="1"/>
    <col min="2" max="3" width="20.83203125" style="7" customWidth="1"/>
    <col min="4" max="16384" width="10.83203125" style="8"/>
  </cols>
  <sheetData>
    <row r="1" spans="1:3" ht="43" customHeight="1">
      <c r="A1" s="48" t="s">
        <v>27</v>
      </c>
      <c r="C1" s="16"/>
    </row>
    <row r="2" spans="1:3" ht="43" customHeight="1">
      <c r="A2" s="19"/>
      <c r="B2" s="17" t="str">
        <f>"31.12."&amp;_labels!$B$1</f>
        <v>31.12.2016</v>
      </c>
      <c r="C2" s="22" t="str">
        <f>"31.12."&amp;_labels!$B$1-1</f>
        <v>31.12.2015</v>
      </c>
    </row>
    <row r="3" spans="1:3" ht="24" customHeight="1">
      <c r="A3" s="12" t="s">
        <v>319</v>
      </c>
      <c r="B3" s="24">
        <f>ROUND(542542231/1000,0)</f>
        <v>542542</v>
      </c>
      <c r="C3" s="25">
        <f>ROUND(729196942/1000,0)</f>
        <v>729197</v>
      </c>
    </row>
    <row r="4" spans="1:3" ht="24" customHeight="1">
      <c r="A4" s="12" t="s">
        <v>320</v>
      </c>
      <c r="B4" s="24">
        <f>ROUND(445376/1000,0)</f>
        <v>445</v>
      </c>
      <c r="C4" s="25">
        <f>ROUND(6481854/1000,0)</f>
        <v>6482</v>
      </c>
    </row>
    <row r="5" spans="1:3" s="10" customFormat="1" ht="24" customHeight="1">
      <c r="A5" s="9" t="s">
        <v>29</v>
      </c>
      <c r="B5" s="26">
        <f>SUM(B3:B4)</f>
        <v>542987</v>
      </c>
      <c r="C5" s="27">
        <f>SUM(C3:C4)</f>
        <v>735679</v>
      </c>
    </row>
  </sheetData>
  <pageMargins left="0.6" right="0.33" top="1" bottom="1" header="0.5" footer="0.5"/>
  <pageSetup paperSize="9" orientation="portrait" horizontalDpi="4294967292" verticalDpi="4294967292"/>
  <extLst>
    <ext xmlns:mx="http://schemas.microsoft.com/office/mac/excel/2008/main" uri="{64002731-A6B0-56B0-2670-7721B7C09600}">
      <mx:PLV Mode="0"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3"/>
  <sheetViews>
    <sheetView workbookViewId="0">
      <selection activeCell="A4" sqref="A4:XFD4"/>
    </sheetView>
  </sheetViews>
  <sheetFormatPr baseColWidth="10" defaultColWidth="10.83203125" defaultRowHeight="19" customHeight="1" x14ac:dyDescent="0"/>
  <cols>
    <col min="1" max="1" width="62.83203125" style="11" customWidth="1"/>
    <col min="2" max="3" width="20.83203125" style="88" customWidth="1"/>
    <col min="4" max="6" width="10.83203125" style="8"/>
    <col min="7" max="7" width="15.33203125" style="8" customWidth="1"/>
    <col min="8" max="16384" width="10.83203125" style="8"/>
  </cols>
  <sheetData>
    <row r="1" spans="1:8" ht="43" customHeight="1">
      <c r="A1" s="48" t="s">
        <v>211</v>
      </c>
      <c r="C1" s="89"/>
    </row>
    <row r="2" spans="1:8" ht="43" customHeight="1">
      <c r="A2" s="19" t="s">
        <v>435</v>
      </c>
      <c r="C2" s="89"/>
    </row>
    <row r="3" spans="1:8" ht="43" customHeight="1">
      <c r="A3" s="195" t="s">
        <v>436</v>
      </c>
      <c r="B3" s="90" t="str">
        <f>"31.12."&amp;[1]_labels!$B$1</f>
        <v>31.12.2015</v>
      </c>
      <c r="C3" s="22" t="str">
        <f>"31.12."&amp;[1]_labels!$B$1-1</f>
        <v>31.12.2014</v>
      </c>
      <c r="G3" s="65" t="s">
        <v>172</v>
      </c>
    </row>
    <row r="4" spans="1:8" ht="24" customHeight="1">
      <c r="A4" s="61" t="s">
        <v>471</v>
      </c>
      <c r="B4" s="24">
        <v>218200</v>
      </c>
      <c r="C4" s="25">
        <v>225999</v>
      </c>
    </row>
    <row r="5" spans="1:8" ht="24" customHeight="1">
      <c r="A5" s="12" t="s">
        <v>136</v>
      </c>
      <c r="B5" s="24">
        <v>868683</v>
      </c>
      <c r="C5" s="25">
        <f>457118-10523</f>
        <v>446595</v>
      </c>
      <c r="G5" s="8">
        <v>-10523.170770000001</v>
      </c>
      <c r="H5" s="8" t="s">
        <v>321</v>
      </c>
    </row>
    <row r="6" spans="1:8" ht="24" customHeight="1">
      <c r="A6" s="61" t="s">
        <v>212</v>
      </c>
      <c r="B6" s="24">
        <v>5614081</v>
      </c>
      <c r="C6" s="25">
        <f>5848884-48489+10523</f>
        <v>5810918</v>
      </c>
      <c r="G6" s="8">
        <v>-48489.142999999996</v>
      </c>
      <c r="H6" s="8" t="s">
        <v>321</v>
      </c>
    </row>
    <row r="7" spans="1:8" s="10" customFormat="1" ht="24" customHeight="1">
      <c r="A7" s="9" t="s">
        <v>213</v>
      </c>
      <c r="B7" s="26">
        <f>SUM(B4:B6)</f>
        <v>6700964</v>
      </c>
      <c r="C7" s="27">
        <f>SUM(C4:C6)</f>
        <v>6483512</v>
      </c>
    </row>
    <row r="8" spans="1:8" ht="24" customHeight="1">
      <c r="A8" s="74" t="s">
        <v>214</v>
      </c>
      <c r="B8" s="24">
        <v>213773</v>
      </c>
      <c r="C8" s="25">
        <f>222325-1599</f>
        <v>220726</v>
      </c>
      <c r="G8" s="8">
        <v>-1599.106505</v>
      </c>
      <c r="H8" s="8" t="s">
        <v>321</v>
      </c>
    </row>
    <row r="11" spans="1:8" ht="81.75" customHeight="1">
      <c r="A11" s="249" t="s">
        <v>425</v>
      </c>
      <c r="B11" s="249"/>
      <c r="C11" s="249"/>
    </row>
    <row r="12" spans="1:8" ht="13.5" customHeight="1"/>
    <row r="13" spans="1:8" ht="36" customHeight="1">
      <c r="A13" s="249" t="s">
        <v>426</v>
      </c>
      <c r="B13" s="249"/>
      <c r="C13" s="249"/>
    </row>
  </sheetData>
  <mergeCells count="2">
    <mergeCell ref="A11:C11"/>
    <mergeCell ref="A13:C13"/>
  </mergeCells>
  <pageMargins left="0.56000000000000005" right="0.4" top="1" bottom="1" header="0.5" footer="0.5"/>
  <pageSetup paperSize="9" scale="82" orientation="portrait" horizontalDpi="1200" verticalDpi="1200"/>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51"/>
  <sheetViews>
    <sheetView workbookViewId="0">
      <pane ySplit="2" topLeftCell="A3" activePane="bottomLeft" state="frozen"/>
      <selection activeCell="G9" sqref="G9:G14"/>
      <selection pane="bottomLeft" activeCell="B32" sqref="B32:B35"/>
    </sheetView>
  </sheetViews>
  <sheetFormatPr baseColWidth="10" defaultColWidth="10.83203125" defaultRowHeight="19" customHeight="1" outlineLevelRow="1" outlineLevelCol="1" x14ac:dyDescent="0"/>
  <cols>
    <col min="1" max="1" width="69.5" style="11" bestFit="1" customWidth="1"/>
    <col min="2" max="3" width="20.83203125" style="7" customWidth="1"/>
    <col min="4" max="4" width="4.5" style="8" customWidth="1" outlineLevel="1"/>
    <col min="5" max="5" width="9.33203125" style="8" customWidth="1"/>
    <col min="6" max="6" width="8.83203125" style="8" customWidth="1"/>
    <col min="7" max="7" width="14.6640625" style="8" customWidth="1"/>
    <col min="8" max="8" width="13.83203125" style="8" customWidth="1"/>
    <col min="9" max="9" width="15.5" style="8" customWidth="1" outlineLevel="1"/>
    <col min="10" max="10" width="12.5" style="8" customWidth="1"/>
    <col min="11" max="16384" width="10.83203125" style="8"/>
  </cols>
  <sheetData>
    <row r="1" spans="1:10" ht="43" customHeight="1">
      <c r="A1" s="48" t="str">
        <f>"Compte de résultat consolidé de l’exercice "&amp;_labels!$B$1</f>
        <v>Compte de résultat consolidé de l’exercice 2016</v>
      </c>
      <c r="C1" s="16"/>
    </row>
    <row r="2" spans="1:10" ht="48" customHeight="1">
      <c r="A2" s="56"/>
      <c r="B2" s="17">
        <f>_labels!$B$1</f>
        <v>2016</v>
      </c>
      <c r="C2" s="191">
        <f>_labels!$B$1-1</f>
        <v>2015</v>
      </c>
      <c r="E2" s="77" t="s">
        <v>185</v>
      </c>
      <c r="F2" s="64" t="s">
        <v>168</v>
      </c>
      <c r="G2" s="65" t="s">
        <v>169</v>
      </c>
      <c r="H2" s="65" t="s">
        <v>172</v>
      </c>
      <c r="I2" s="8" t="s">
        <v>170</v>
      </c>
      <c r="J2" s="65" t="s">
        <v>403</v>
      </c>
    </row>
    <row r="3" spans="1:10" ht="36" customHeight="1">
      <c r="A3" s="9" t="s">
        <v>30</v>
      </c>
      <c r="B3" s="13"/>
      <c r="C3" s="14"/>
    </row>
    <row r="4" spans="1:10" ht="24" customHeight="1">
      <c r="A4" s="20" t="s">
        <v>31</v>
      </c>
      <c r="B4" s="24">
        <f>17270069-7493143</f>
        <v>9776926</v>
      </c>
      <c r="C4" s="25">
        <f>11412252+27308+17422</f>
        <v>11456982</v>
      </c>
      <c r="G4" s="67">
        <v>17422.169999999998</v>
      </c>
      <c r="H4" s="67">
        <f>-843.9+28152.33</f>
        <v>27308.43</v>
      </c>
    </row>
    <row r="5" spans="1:10" ht="24" customHeight="1">
      <c r="A5" s="20" t="s">
        <v>32</v>
      </c>
      <c r="B5" s="24">
        <v>7493143</v>
      </c>
      <c r="C5" s="25">
        <v>7201820</v>
      </c>
      <c r="G5" s="67"/>
      <c r="H5" s="67"/>
    </row>
    <row r="6" spans="1:10" ht="24" customHeight="1">
      <c r="A6" s="20" t="s">
        <v>33</v>
      </c>
      <c r="B6" s="24">
        <v>-1769239</v>
      </c>
      <c r="C6" s="25">
        <f>-2525014</f>
        <v>-2525014</v>
      </c>
      <c r="G6" s="67"/>
      <c r="H6" s="67">
        <f>26015.7+2136.63-28152.33</f>
        <v>0</v>
      </c>
    </row>
    <row r="7" spans="1:10" ht="24" customHeight="1">
      <c r="A7" s="61" t="s">
        <v>186</v>
      </c>
      <c r="B7" s="24">
        <f>SUM(B4:B6)</f>
        <v>15500830</v>
      </c>
      <c r="C7" s="25">
        <f>SUM(C4:C6)</f>
        <v>16133788</v>
      </c>
      <c r="G7" s="67"/>
      <c r="H7" s="67"/>
      <c r="I7" s="8" t="s">
        <v>177</v>
      </c>
    </row>
    <row r="8" spans="1:10" ht="31.5" customHeight="1">
      <c r="A8" s="78" t="s">
        <v>187</v>
      </c>
      <c r="B8" s="24">
        <f>-13884-955733</f>
        <v>-969617</v>
      </c>
      <c r="C8" s="25">
        <f>-17422-3998807</f>
        <v>-4016229</v>
      </c>
      <c r="G8" s="67">
        <f>-17422.17-3998807.45</f>
        <v>-4016229.62</v>
      </c>
      <c r="H8" s="67"/>
      <c r="I8" s="8" t="s">
        <v>178</v>
      </c>
      <c r="J8" s="67">
        <f>3200-958932.7</f>
        <v>-955732.7</v>
      </c>
    </row>
    <row r="9" spans="1:10" ht="24" customHeight="1">
      <c r="A9" s="79" t="s">
        <v>188</v>
      </c>
      <c r="B9" s="24">
        <f>SUM(B7:B8)</f>
        <v>14531213</v>
      </c>
      <c r="C9" s="25">
        <f>SUM(C7:C8)</f>
        <v>12117559</v>
      </c>
      <c r="G9" s="67"/>
      <c r="H9" s="67"/>
      <c r="I9" s="8" t="s">
        <v>178</v>
      </c>
    </row>
    <row r="10" spans="1:10" ht="36" customHeight="1">
      <c r="A10" s="9" t="s">
        <v>38</v>
      </c>
      <c r="B10" s="24"/>
      <c r="C10" s="25"/>
      <c r="G10" s="67"/>
      <c r="H10" s="67"/>
    </row>
    <row r="11" spans="1:10" ht="24" customHeight="1">
      <c r="A11" s="74" t="s">
        <v>189</v>
      </c>
      <c r="B11" s="24">
        <f>31011945+9563362+6515232+1602966+2474395</f>
        <v>51167900</v>
      </c>
      <c r="C11" s="25">
        <f>46040306-1327011</f>
        <v>44713295</v>
      </c>
      <c r="G11" s="67"/>
      <c r="H11" s="67">
        <f>-1264838.79-62171.91</f>
        <v>-1327010.7</v>
      </c>
      <c r="I11" s="8" t="s">
        <v>177</v>
      </c>
    </row>
    <row r="12" spans="1:10" ht="24" customHeight="1">
      <c r="A12" s="20" t="s">
        <v>34</v>
      </c>
      <c r="B12" s="24">
        <f>1131411+25481</f>
        <v>1156892</v>
      </c>
      <c r="C12" s="25">
        <v>176602</v>
      </c>
      <c r="G12" s="67"/>
      <c r="H12" s="67"/>
    </row>
    <row r="13" spans="1:10" ht="24" customHeight="1">
      <c r="A13" s="20" t="s">
        <v>35</v>
      </c>
      <c r="B13" s="24">
        <f>2929216+8917719+4380025</f>
        <v>16226960</v>
      </c>
      <c r="C13" s="25">
        <f>12519364-44573</f>
        <v>12474791</v>
      </c>
      <c r="G13" s="67"/>
      <c r="H13" s="67">
        <v>-44573.25</v>
      </c>
    </row>
    <row r="14" spans="1:10" ht="24" customHeight="1">
      <c r="A14" s="20" t="s">
        <v>36</v>
      </c>
      <c r="B14" s="24">
        <v>-21469971</v>
      </c>
      <c r="C14" s="25">
        <f>-21075110+98412</f>
        <v>-20976698</v>
      </c>
      <c r="G14" s="67"/>
      <c r="H14" s="67">
        <v>98412.06</v>
      </c>
    </row>
    <row r="15" spans="1:10" ht="24" customHeight="1">
      <c r="A15" s="21" t="s">
        <v>37</v>
      </c>
      <c r="B15" s="24">
        <f>SUM(B11:B14)</f>
        <v>47081781</v>
      </c>
      <c r="C15" s="25">
        <f>SUM(C11:C14)</f>
        <v>36387990</v>
      </c>
      <c r="G15" s="67"/>
      <c r="H15" s="67"/>
    </row>
    <row r="16" spans="1:10" ht="36" customHeight="1">
      <c r="A16" s="80" t="s">
        <v>190</v>
      </c>
      <c r="B16" s="26">
        <v>7854113</v>
      </c>
      <c r="C16" s="27">
        <f>6074035+25629</f>
        <v>6099664</v>
      </c>
      <c r="G16" s="67"/>
      <c r="H16" s="67">
        <f>3002.39+22627.13-22627.13+22627.13</f>
        <v>25629.52</v>
      </c>
      <c r="I16" s="8" t="s">
        <v>177</v>
      </c>
    </row>
    <row r="17" spans="1:10" ht="36" customHeight="1">
      <c r="A17" s="9" t="s">
        <v>39</v>
      </c>
      <c r="C17" s="25"/>
      <c r="G17" s="67"/>
      <c r="H17" s="67"/>
    </row>
    <row r="18" spans="1:10" ht="24" customHeight="1">
      <c r="A18" s="20" t="s">
        <v>40</v>
      </c>
      <c r="B18" s="24">
        <v>342125</v>
      </c>
      <c r="C18" s="25">
        <v>223062</v>
      </c>
      <c r="G18" s="67"/>
      <c r="H18" s="67">
        <f>-902800+902800</f>
        <v>0</v>
      </c>
    </row>
    <row r="19" spans="1:10" ht="24" customHeight="1">
      <c r="A19" s="20" t="s">
        <v>41</v>
      </c>
      <c r="B19" s="24">
        <v>33354</v>
      </c>
      <c r="C19" s="25">
        <f>304899-304899</f>
        <v>0</v>
      </c>
      <c r="G19" s="67"/>
      <c r="H19" s="67">
        <f>-320065.45+15166.27</f>
        <v>-304899.18</v>
      </c>
    </row>
    <row r="20" spans="1:10" ht="24" customHeight="1">
      <c r="A20" s="20" t="s">
        <v>191</v>
      </c>
      <c r="B20" s="24">
        <v>-27053</v>
      </c>
      <c r="C20" s="25">
        <v>-15166</v>
      </c>
      <c r="G20" s="67"/>
      <c r="H20" s="67">
        <v>-15166.27</v>
      </c>
    </row>
    <row r="21" spans="1:10" ht="24" customHeight="1">
      <c r="A21" s="12" t="s">
        <v>42</v>
      </c>
      <c r="B21" s="24">
        <f>SUM(B18:B20)</f>
        <v>348426</v>
      </c>
      <c r="C21" s="25">
        <f>SUM(C18:C20)</f>
        <v>207896</v>
      </c>
      <c r="G21" s="67"/>
      <c r="H21" s="67"/>
    </row>
    <row r="22" spans="1:10" ht="36" customHeight="1" outlineLevel="1">
      <c r="A22" s="81" t="s">
        <v>43</v>
      </c>
      <c r="B22" s="82">
        <v>0</v>
      </c>
      <c r="C22" s="82">
        <v>0</v>
      </c>
      <c r="G22" s="67"/>
      <c r="H22" s="67"/>
      <c r="I22" s="8" t="s">
        <v>193</v>
      </c>
    </row>
    <row r="23" spans="1:10" ht="48" customHeight="1" outlineLevel="1">
      <c r="A23" s="56"/>
      <c r="B23" s="57">
        <f>_labels!$B$1</f>
        <v>2016</v>
      </c>
      <c r="C23" s="194">
        <f>_labels!$B$1-1</f>
        <v>2015</v>
      </c>
      <c r="G23" s="67"/>
      <c r="H23" s="67"/>
    </row>
    <row r="24" spans="1:10" ht="36" customHeight="1">
      <c r="A24" s="9" t="s">
        <v>44</v>
      </c>
      <c r="B24" s="26"/>
      <c r="C24" s="27"/>
      <c r="G24" s="67"/>
      <c r="H24" s="67"/>
    </row>
    <row r="25" spans="1:10" ht="24" customHeight="1">
      <c r="A25" s="12" t="s">
        <v>45</v>
      </c>
      <c r="B25" s="24">
        <v>-26328613</v>
      </c>
      <c r="C25" s="25">
        <f>-22325324+946245</f>
        <v>-21379079</v>
      </c>
      <c r="G25" s="67"/>
      <c r="H25" s="67">
        <f>916124.93+30119.8</f>
        <v>946244.7300000001</v>
      </c>
    </row>
    <row r="26" spans="1:10" ht="24" customHeight="1">
      <c r="A26" s="12" t="s">
        <v>46</v>
      </c>
      <c r="B26" s="24">
        <v>-14579595</v>
      </c>
      <c r="C26" s="25">
        <f>-16206083+1196283</f>
        <v>-15009800</v>
      </c>
      <c r="G26" s="67"/>
      <c r="H26" s="67">
        <f>1158199.55+38083.3</f>
        <v>1196282.8500000001</v>
      </c>
    </row>
    <row r="27" spans="1:10" ht="24" customHeight="1">
      <c r="A27" s="12" t="s">
        <v>47</v>
      </c>
      <c r="B27" s="24">
        <f>SUM(B25:B26)</f>
        <v>-40908208</v>
      </c>
      <c r="C27" s="25">
        <f>SUM(C25:C26)</f>
        <v>-36388879</v>
      </c>
      <c r="G27" s="67"/>
      <c r="H27" s="67"/>
    </row>
    <row r="28" spans="1:10" ht="36" customHeight="1">
      <c r="A28" s="81" t="s">
        <v>48</v>
      </c>
      <c r="B28" s="82">
        <v>0</v>
      </c>
      <c r="C28" s="82">
        <v>0</v>
      </c>
      <c r="G28" s="67"/>
      <c r="H28" s="67"/>
    </row>
    <row r="29" spans="1:10" ht="36" customHeight="1">
      <c r="A29" s="83" t="s">
        <v>192</v>
      </c>
      <c r="B29" s="24">
        <v>-2835658</v>
      </c>
      <c r="C29" s="25">
        <f>-1406806+12423-643890</f>
        <v>-2038273</v>
      </c>
      <c r="G29" s="67">
        <v>-643890.49</v>
      </c>
      <c r="H29" s="67">
        <f>12422.69</f>
        <v>12422.69</v>
      </c>
      <c r="I29" s="8" t="s">
        <v>177</v>
      </c>
    </row>
    <row r="30" spans="1:10" ht="24" customHeight="1">
      <c r="A30" s="62" t="s">
        <v>49</v>
      </c>
      <c r="B30" s="63">
        <v>0</v>
      </c>
      <c r="C30" s="63">
        <f>-3033639+2389749+643890</f>
        <v>0</v>
      </c>
      <c r="G30" s="67">
        <f>-G29</f>
        <v>643890.49</v>
      </c>
      <c r="H30" s="67">
        <v>2389748.7000000002</v>
      </c>
      <c r="I30" s="8" t="s">
        <v>193</v>
      </c>
    </row>
    <row r="31" spans="1:10" ht="24" customHeight="1">
      <c r="A31" s="61" t="s">
        <v>194</v>
      </c>
      <c r="B31" s="24">
        <f>-2954381+1+955733</f>
        <v>-1998647</v>
      </c>
      <c r="C31" s="25">
        <f>-5537140-15+3998807-1706175</f>
        <v>-3244523</v>
      </c>
      <c r="F31" s="8">
        <v>1</v>
      </c>
      <c r="G31" s="67">
        <f>3998807.45-1706175</f>
        <v>2292632.4500000002</v>
      </c>
      <c r="H31" s="67">
        <v>-15.45</v>
      </c>
      <c r="I31" s="8" t="s">
        <v>177</v>
      </c>
      <c r="J31" s="67">
        <f>-J8</f>
        <v>955732.7</v>
      </c>
    </row>
    <row r="32" spans="1:10" ht="36" customHeight="1">
      <c r="A32" s="80" t="s">
        <v>195</v>
      </c>
      <c r="B32" s="26">
        <f>+B9+B15+B16+B21+B27+SUM(B29:B31)</f>
        <v>24073020</v>
      </c>
      <c r="C32" s="27">
        <f>+C9+C15+C16+C21+C27+SUM(C29:C31)</f>
        <v>13141434</v>
      </c>
      <c r="G32" s="67"/>
      <c r="H32" s="67"/>
      <c r="I32" s="8" t="s">
        <v>177</v>
      </c>
    </row>
    <row r="33" spans="1:8" ht="36" customHeight="1">
      <c r="A33" s="12" t="s">
        <v>50</v>
      </c>
      <c r="B33" s="24">
        <v>0</v>
      </c>
      <c r="C33" s="25">
        <v>1809970</v>
      </c>
      <c r="G33" s="67"/>
      <c r="H33" s="67"/>
    </row>
    <row r="34" spans="1:8" ht="24" customHeight="1">
      <c r="A34" s="12" t="s">
        <v>51</v>
      </c>
      <c r="B34" s="24">
        <v>-69368</v>
      </c>
      <c r="C34" s="25">
        <v>-500000</v>
      </c>
      <c r="G34" s="67"/>
      <c r="H34" s="67"/>
    </row>
    <row r="35" spans="1:8" ht="24" customHeight="1">
      <c r="A35" s="70" t="s">
        <v>196</v>
      </c>
      <c r="B35" s="71">
        <v>-5608980</v>
      </c>
      <c r="C35" s="71">
        <v>1706175</v>
      </c>
      <c r="G35" s="67">
        <v>1706175</v>
      </c>
      <c r="H35" s="67"/>
    </row>
    <row r="36" spans="1:8" ht="24" customHeight="1">
      <c r="A36" s="12" t="s">
        <v>52</v>
      </c>
      <c r="B36" s="24">
        <v>-3342455</v>
      </c>
      <c r="C36" s="25">
        <f>-1670829+61099</f>
        <v>-1609730</v>
      </c>
      <c r="G36" s="67"/>
      <c r="H36" s="67">
        <f>61099.05</f>
        <v>61099.05</v>
      </c>
    </row>
    <row r="37" spans="1:8" ht="36" customHeight="1">
      <c r="A37" s="9" t="s">
        <v>400</v>
      </c>
      <c r="B37" s="26">
        <f>SUM(B32:B36)</f>
        <v>15052217</v>
      </c>
      <c r="C37" s="27">
        <f>SUM(C32:C36)</f>
        <v>14547849</v>
      </c>
      <c r="E37" s="28">
        <f>+C_Bilan!C31-C_Resultat_ProduitsCharges!C37</f>
        <v>0</v>
      </c>
      <c r="G37" s="67"/>
      <c r="H37" s="67"/>
    </row>
    <row r="38" spans="1:8" ht="36" customHeight="1">
      <c r="A38" s="81" t="s">
        <v>53</v>
      </c>
      <c r="B38" s="82">
        <v>0</v>
      </c>
      <c r="C38" s="82">
        <f>3039528-3039528</f>
        <v>0</v>
      </c>
      <c r="G38" s="67"/>
      <c r="H38" s="67">
        <v>-3039528</v>
      </c>
    </row>
    <row r="39" spans="1:8" ht="19" customHeight="1">
      <c r="G39" s="67"/>
      <c r="H39" s="67"/>
    </row>
    <row r="40" spans="1:8" ht="19" customHeight="1">
      <c r="G40" s="67"/>
      <c r="H40" s="67"/>
    </row>
    <row r="41" spans="1:8" ht="19" customHeight="1">
      <c r="A41" s="11" t="s">
        <v>197</v>
      </c>
      <c r="B41" s="7">
        <f>+C_Bilan!B31-C_Resultat_ProduitsCharges!B37</f>
        <v>0</v>
      </c>
      <c r="C41" s="7">
        <f>+C_Bilan!C31-C_Resultat_ProduitsCharges!C37</f>
        <v>0</v>
      </c>
      <c r="G41" s="67"/>
      <c r="H41" s="67"/>
    </row>
    <row r="42" spans="1:8" ht="19" customHeight="1">
      <c r="G42" s="67"/>
      <c r="H42" s="67"/>
    </row>
    <row r="43" spans="1:8" ht="19" customHeight="1">
      <c r="G43" s="67"/>
      <c r="H43" s="67"/>
    </row>
    <row r="44" spans="1:8" ht="19" customHeight="1">
      <c r="G44" s="67"/>
      <c r="H44" s="67"/>
    </row>
    <row r="45" spans="1:8" ht="19" customHeight="1">
      <c r="G45" s="67"/>
      <c r="H45" s="67"/>
    </row>
    <row r="46" spans="1:8" ht="19" customHeight="1">
      <c r="G46" s="67"/>
      <c r="H46" s="66"/>
    </row>
    <row r="47" spans="1:8" ht="19" customHeight="1">
      <c r="G47" s="67"/>
      <c r="H47" s="66"/>
    </row>
    <row r="48" spans="1:8" ht="19" customHeight="1">
      <c r="G48" s="67"/>
      <c r="H48" s="66"/>
    </row>
    <row r="49" spans="7:8" ht="19" customHeight="1">
      <c r="G49" s="67"/>
      <c r="H49" s="66"/>
    </row>
    <row r="50" spans="7:8" ht="19" customHeight="1">
      <c r="H50" s="66"/>
    </row>
    <row r="51" spans="7:8" ht="19" customHeight="1">
      <c r="H51" s="66"/>
    </row>
  </sheetData>
  <pageMargins left="0.44" right="0.35" top="0.64" bottom="0.49" header="0.5" footer="0.31"/>
  <pageSetup paperSize="9" scale="76" orientation="portrait"/>
  <extLst>
    <ext xmlns:mx="http://schemas.microsoft.com/office/mac/excel/2008/main" uri="{64002731-A6B0-56B0-2670-7721B7C09600}">
      <mx:PLV Mode="0" OnePage="0" WScale="10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6"/>
  <sheetViews>
    <sheetView workbookViewId="0"/>
  </sheetViews>
  <sheetFormatPr baseColWidth="10" defaultColWidth="10.83203125" defaultRowHeight="19" customHeight="1" x14ac:dyDescent="0"/>
  <cols>
    <col min="1" max="1" width="62.83203125" style="11" customWidth="1"/>
    <col min="2" max="3" width="20.83203125" style="88" customWidth="1"/>
    <col min="4" max="6" width="10.83203125" style="8"/>
    <col min="7" max="7" width="15.33203125" style="8" customWidth="1"/>
    <col min="8" max="16384" width="10.83203125" style="8"/>
  </cols>
  <sheetData>
    <row r="1" spans="1:8" ht="19" customHeight="1">
      <c r="A1" s="91" t="s">
        <v>215</v>
      </c>
      <c r="B1" s="90" t="str">
        <f>"31.12."&amp;[1]_labels!$B$1</f>
        <v>31.12.2015</v>
      </c>
      <c r="C1" s="22" t="str">
        <f>"31.12."&amp;[1]_labels!$B$1-1</f>
        <v>31.12.2014</v>
      </c>
    </row>
    <row r="2" spans="1:8" ht="19" customHeight="1">
      <c r="B2" s="90"/>
      <c r="C2" s="22"/>
    </row>
    <row r="3" spans="1:8" ht="19" customHeight="1">
      <c r="A3" s="72" t="s">
        <v>216</v>
      </c>
      <c r="B3" s="26">
        <f>+C7</f>
        <v>6483512</v>
      </c>
      <c r="C3" s="27">
        <v>4576102</v>
      </c>
    </row>
    <row r="4" spans="1:8" ht="19" customHeight="1">
      <c r="A4" s="219" t="s">
        <v>472</v>
      </c>
      <c r="B4" s="24">
        <f>-10049+355496</f>
        <v>345447</v>
      </c>
      <c r="C4" s="25">
        <f>556589+57774</f>
        <v>614363</v>
      </c>
      <c r="G4" s="8">
        <v>-42289.011830000003</v>
      </c>
      <c r="H4" s="8" t="s">
        <v>321</v>
      </c>
    </row>
    <row r="5" spans="1:8" ht="19" customHeight="1">
      <c r="A5" s="219" t="s">
        <v>473</v>
      </c>
      <c r="B5" s="24">
        <f>+B7-B3-B4-B6</f>
        <v>-408688</v>
      </c>
      <c r="C5" s="25">
        <f>+C7-C3-C4-C6</f>
        <v>370073</v>
      </c>
    </row>
    <row r="6" spans="1:8" ht="19" customHeight="1">
      <c r="A6" s="219" t="s">
        <v>474</v>
      </c>
      <c r="B6" s="24">
        <v>280693</v>
      </c>
      <c r="C6" s="25">
        <v>922974</v>
      </c>
    </row>
    <row r="7" spans="1:8" ht="19" customHeight="1">
      <c r="A7" s="72" t="s">
        <v>217</v>
      </c>
      <c r="B7" s="26">
        <f>+C_iHorsBilan_AvoirsClientRepart!B7</f>
        <v>6700964</v>
      </c>
      <c r="C7" s="27">
        <f>+C_iHorsBilan_AvoirsClientRepart!C7</f>
        <v>6483512</v>
      </c>
    </row>
    <row r="10" spans="1:8" s="96" customFormat="1" ht="63.75" customHeight="1">
      <c r="A10" s="249" t="s">
        <v>427</v>
      </c>
      <c r="B10" s="249"/>
      <c r="C10" s="249"/>
    </row>
    <row r="11" spans="1:8" s="96" customFormat="1" ht="32.25" customHeight="1">
      <c r="A11" s="249" t="s">
        <v>437</v>
      </c>
      <c r="B11" s="249"/>
      <c r="C11" s="249"/>
    </row>
    <row r="12" spans="1:8" s="96" customFormat="1" ht="55.5" customHeight="1">
      <c r="A12" s="249" t="s">
        <v>428</v>
      </c>
      <c r="B12" s="249"/>
      <c r="C12" s="249"/>
    </row>
    <row r="13" spans="1:8" s="96" customFormat="1" ht="15" customHeight="1">
      <c r="A13" s="193"/>
      <c r="B13" s="101"/>
      <c r="C13" s="101"/>
    </row>
    <row r="14" spans="1:8" s="96" customFormat="1" ht="15">
      <c r="A14" s="249"/>
      <c r="B14" s="249"/>
      <c r="C14" s="249"/>
    </row>
    <row r="15" spans="1:8" s="96" customFormat="1" ht="15">
      <c r="A15" s="193"/>
      <c r="B15" s="101"/>
      <c r="C15" s="101"/>
    </row>
    <row r="16" spans="1:8" s="96" customFormat="1" ht="15">
      <c r="A16" s="249"/>
      <c r="B16" s="249"/>
      <c r="C16" s="249"/>
    </row>
  </sheetData>
  <mergeCells count="5">
    <mergeCell ref="A10:C10"/>
    <mergeCell ref="A12:C12"/>
    <mergeCell ref="A14:C14"/>
    <mergeCell ref="A16:C16"/>
    <mergeCell ref="A11:C11"/>
  </mergeCells>
  <pageMargins left="0.56000000000000005" right="0.4" top="1" bottom="1" header="0.5" footer="0.5"/>
  <pageSetup paperSize="9" scale="81" orientation="portrait"/>
  <extLst>
    <ext xmlns:mx="http://schemas.microsoft.com/office/mac/excel/2008/main" uri="{64002731-A6B0-56B0-2670-7721B7C09600}">
      <mx:PLV Mode="0"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
  <sheetViews>
    <sheetView workbookViewId="0">
      <selection activeCell="A22" sqref="A22"/>
    </sheetView>
  </sheetViews>
  <sheetFormatPr baseColWidth="10" defaultColWidth="10.83203125" defaultRowHeight="19" customHeight="1" x14ac:dyDescent="0"/>
  <cols>
    <col min="1" max="1" width="59.1640625" style="11" bestFit="1" customWidth="1"/>
    <col min="2" max="3" width="20.83203125" style="7" customWidth="1"/>
    <col min="4" max="4" width="10.83203125" style="8"/>
    <col min="5" max="5" width="12.1640625" style="8" bestFit="1" customWidth="1"/>
    <col min="6" max="6" width="14.1640625" style="8" customWidth="1"/>
    <col min="7" max="7" width="10.83203125" style="8"/>
    <col min="8" max="9" width="14.5" style="8" customWidth="1"/>
    <col min="10" max="10" width="13.1640625" style="8" bestFit="1" customWidth="1"/>
    <col min="11" max="16384" width="10.83203125" style="8"/>
  </cols>
  <sheetData>
    <row r="1" spans="1:10" ht="43" customHeight="1">
      <c r="A1" s="48" t="s">
        <v>137</v>
      </c>
      <c r="C1" s="16"/>
    </row>
    <row r="2" spans="1:10" ht="43" customHeight="1">
      <c r="A2" s="19" t="s">
        <v>405</v>
      </c>
      <c r="C2" s="16"/>
      <c r="E2" s="77" t="s">
        <v>335</v>
      </c>
      <c r="F2" s="77" t="s">
        <v>334</v>
      </c>
      <c r="G2" s="64" t="s">
        <v>168</v>
      </c>
      <c r="H2" s="65" t="s">
        <v>169</v>
      </c>
      <c r="I2" s="65" t="s">
        <v>172</v>
      </c>
      <c r="J2" s="8" t="s">
        <v>170</v>
      </c>
    </row>
    <row r="3" spans="1:10" ht="27" customHeight="1">
      <c r="A3" s="72" t="s">
        <v>322</v>
      </c>
      <c r="B3" s="90" t="str">
        <f>"31.12."&amp;[1]_labels!$B$1</f>
        <v>31.12.2015</v>
      </c>
      <c r="C3" s="22" t="str">
        <f>"31.12."&amp;[1]_labels!$B$1-1</f>
        <v>31.12.2014</v>
      </c>
      <c r="F3" s="77"/>
      <c r="G3" s="64"/>
      <c r="H3" s="65"/>
      <c r="I3" s="65"/>
    </row>
    <row r="4" spans="1:10" ht="27" customHeight="1">
      <c r="B4" s="90"/>
      <c r="C4" s="22"/>
      <c r="F4" s="77"/>
      <c r="G4" s="64"/>
      <c r="H4" s="230"/>
      <c r="I4" s="230"/>
    </row>
    <row r="5" spans="1:10" ht="23.25" customHeight="1">
      <c r="A5" s="70" t="s">
        <v>323</v>
      </c>
      <c r="B5" s="24">
        <f>ROUND(211090/1000,0)</f>
        <v>211</v>
      </c>
      <c r="C5" s="25">
        <v>0</v>
      </c>
    </row>
    <row r="6" spans="1:10" ht="23.25" customHeight="1">
      <c r="A6" s="70" t="s">
        <v>324</v>
      </c>
      <c r="B6" s="24">
        <f>ROUND((7854113-211090)/1000,0)</f>
        <v>7643</v>
      </c>
      <c r="C6" s="25">
        <f>ROUND((6074036+25628)/1000,0)</f>
        <v>6100</v>
      </c>
    </row>
    <row r="7" spans="1:10" ht="24.75" customHeight="1">
      <c r="A7" s="72" t="s">
        <v>29</v>
      </c>
      <c r="B7" s="26">
        <f>SUM(B5:B6)</f>
        <v>7854</v>
      </c>
      <c r="C7" s="27">
        <f>SUM(C5:C6)</f>
        <v>6100</v>
      </c>
      <c r="I7" s="67">
        <f>3002.39+22627.13-22627.13+22627.13</f>
        <v>25629.52</v>
      </c>
    </row>
    <row r="8" spans="1:10" ht="23">
      <c r="A8" s="48"/>
      <c r="C8" s="16"/>
    </row>
    <row r="9" spans="1:10" ht="16">
      <c r="A9" s="9" t="s">
        <v>479</v>
      </c>
      <c r="B9" s="17" t="str">
        <f>"31.12."&amp;_labels!$B$1</f>
        <v>31.12.2016</v>
      </c>
      <c r="C9" s="22" t="str">
        <f>"31.12."&amp;_labels!$B$1-1</f>
        <v>31.12.2015</v>
      </c>
    </row>
    <row r="10" spans="1:10" ht="16">
      <c r="B10" s="17"/>
      <c r="C10" s="22"/>
    </row>
    <row r="11" spans="1:10" ht="24" customHeight="1">
      <c r="A11" s="12" t="s">
        <v>138</v>
      </c>
      <c r="B11" s="24">
        <f>ROUND(7880713/1000,0)</f>
        <v>7881</v>
      </c>
      <c r="C11" s="25">
        <f>ROUND((5812301+25628)/1000,0)</f>
        <v>5838</v>
      </c>
      <c r="I11" s="67">
        <f>3002.39+22627.13-22627.13+22627.13</f>
        <v>25629.52</v>
      </c>
    </row>
    <row r="12" spans="1:10" ht="24" customHeight="1">
      <c r="A12" s="12" t="s">
        <v>139</v>
      </c>
      <c r="B12" s="24">
        <f>ROUND((-37696/1000),0)</f>
        <v>-38</v>
      </c>
      <c r="C12" s="25">
        <f>ROUND(210331/1000,0)</f>
        <v>210</v>
      </c>
    </row>
    <row r="13" spans="1:10" ht="24" customHeight="1">
      <c r="A13" s="12" t="s">
        <v>140</v>
      </c>
      <c r="B13" s="24">
        <f>ROUND((11096/1000),0)</f>
        <v>11</v>
      </c>
      <c r="C13" s="25">
        <f>ROUND(51404/1000,0)-G13</f>
        <v>52</v>
      </c>
      <c r="G13" s="8">
        <v>-1</v>
      </c>
    </row>
    <row r="14" spans="1:10" s="10" customFormat="1" ht="24" customHeight="1">
      <c r="A14" s="9" t="s">
        <v>29</v>
      </c>
      <c r="B14" s="26">
        <f>SUM(B11:B13)</f>
        <v>7854</v>
      </c>
      <c r="C14" s="27">
        <f>SUM(C11:C13)</f>
        <v>6100</v>
      </c>
      <c r="E14" s="119">
        <f>+C_Resultat_ProduitsCharges!B16/1000-B14</f>
        <v>0.11300000000028376</v>
      </c>
      <c r="F14" s="119">
        <f>+C_Resultat_ProduitsCharges!C16/1000-C14</f>
        <v>-0.33600000000024011</v>
      </c>
      <c r="I14" s="67">
        <f>3002.39+22627.13-22627.13+22627.13</f>
        <v>25629.52</v>
      </c>
    </row>
    <row r="15" spans="1:10" ht="19" customHeight="1">
      <c r="A15" s="53" t="s">
        <v>406</v>
      </c>
      <c r="B15" s="136">
        <v>0</v>
      </c>
      <c r="C15" s="137">
        <v>0</v>
      </c>
    </row>
  </sheetData>
  <pageMargins left="0.35" right="0.31" top="0.87" bottom="1" header="0.5" footer="0.5"/>
  <pageSetup paperSize="9" scale="89" orientation="portrait" horizontalDpi="1200" verticalDpi="1200"/>
  <extLst>
    <ext xmlns:mx="http://schemas.microsoft.com/office/mac/excel/2008/main" uri="{64002731-A6B0-56B0-2670-7721B7C09600}">
      <mx:PLV Mode="0" OnePage="0" WScale="10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12"/>
  <sheetViews>
    <sheetView workbookViewId="0">
      <selection activeCell="A2" sqref="A2:C2"/>
    </sheetView>
  </sheetViews>
  <sheetFormatPr baseColWidth="10" defaultColWidth="10.83203125" defaultRowHeight="19" customHeight="1" x14ac:dyDescent="0"/>
  <cols>
    <col min="1" max="1" width="67.1640625" style="11" customWidth="1"/>
    <col min="2" max="3" width="20.83203125" style="88" customWidth="1"/>
    <col min="4" max="16384" width="10.83203125" style="8"/>
  </cols>
  <sheetData>
    <row r="1" spans="1:3" ht="43" customHeight="1">
      <c r="A1" s="48" t="s">
        <v>137</v>
      </c>
      <c r="C1" s="89"/>
    </row>
    <row r="2" spans="1:3" ht="43" customHeight="1">
      <c r="A2" s="263" t="s">
        <v>327</v>
      </c>
      <c r="B2" s="263"/>
      <c r="C2" s="263"/>
    </row>
    <row r="3" spans="1:3" ht="28.5" customHeight="1">
      <c r="A3" s="131"/>
      <c r="B3" s="131"/>
      <c r="C3" s="131"/>
    </row>
    <row r="4" spans="1:3" ht="28.5" customHeight="1">
      <c r="A4" s="186" t="s">
        <v>418</v>
      </c>
      <c r="B4" s="185"/>
      <c r="C4" s="185"/>
    </row>
    <row r="5" spans="1:3" ht="28.5" customHeight="1">
      <c r="A5" s="188" t="s">
        <v>419</v>
      </c>
      <c r="B5" s="185"/>
      <c r="C5" s="185"/>
    </row>
    <row r="6" spans="1:3" ht="19.5" customHeight="1">
      <c r="A6" s="185"/>
      <c r="B6" s="185"/>
      <c r="C6" s="185"/>
    </row>
    <row r="7" spans="1:3" ht="30.75" customHeight="1">
      <c r="A7" s="186" t="s">
        <v>328</v>
      </c>
      <c r="B7" s="90"/>
      <c r="C7" s="22"/>
    </row>
    <row r="8" spans="1:3" ht="34.5" customHeight="1">
      <c r="A8" s="264" t="s">
        <v>420</v>
      </c>
      <c r="B8" s="264"/>
      <c r="C8" s="264"/>
    </row>
    <row r="9" spans="1:3" ht="24" customHeight="1">
      <c r="A9" s="12"/>
      <c r="B9" s="90" t="str">
        <f>"31.12."&amp;[1]_labels!$B$1</f>
        <v>31.12.2015</v>
      </c>
      <c r="C9" s="22" t="str">
        <f>"31.12."&amp;[1]_labels!$B$1-1</f>
        <v>31.12.2014</v>
      </c>
    </row>
    <row r="10" spans="1:3" ht="30" customHeight="1">
      <c r="A10" s="87" t="s">
        <v>421</v>
      </c>
      <c r="B10" s="24">
        <v>544</v>
      </c>
      <c r="C10" s="25">
        <v>0</v>
      </c>
    </row>
    <row r="11" spans="1:3" ht="32.25" customHeight="1">
      <c r="A11" s="87" t="s">
        <v>422</v>
      </c>
      <c r="B11" s="24">
        <v>0</v>
      </c>
      <c r="C11" s="25">
        <v>0</v>
      </c>
    </row>
    <row r="12" spans="1:3" s="10" customFormat="1" ht="24" customHeight="1">
      <c r="A12" s="9"/>
      <c r="B12" s="26"/>
      <c r="C12" s="27"/>
    </row>
  </sheetData>
  <mergeCells count="2">
    <mergeCell ref="A2:C2"/>
    <mergeCell ref="A8:C8"/>
  </mergeCells>
  <pageMargins left="0.75000000000000011" right="0.75000000000000011" top="1" bottom="1" header="0.5" footer="0.5"/>
  <pageSetup paperSize="9" scale="73" orientation="portrait" horizontalDpi="1200" verticalDpi="1200"/>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9"/>
  <sheetViews>
    <sheetView workbookViewId="0">
      <selection activeCell="A5" sqref="A5"/>
    </sheetView>
  </sheetViews>
  <sheetFormatPr baseColWidth="10" defaultColWidth="10.83203125" defaultRowHeight="19" customHeight="1" x14ac:dyDescent="0"/>
  <cols>
    <col min="1" max="1" width="59.1640625" style="11" bestFit="1" customWidth="1"/>
    <col min="2" max="3" width="20.83203125" style="7" customWidth="1"/>
    <col min="4" max="7" width="10.83203125" style="8"/>
    <col min="8" max="8" width="13" style="8" bestFit="1" customWidth="1"/>
    <col min="9" max="9" width="20.5" style="8" bestFit="1" customWidth="1"/>
    <col min="10" max="16384" width="10.83203125" style="8"/>
  </cols>
  <sheetData>
    <row r="1" spans="1:10" ht="43" customHeight="1">
      <c r="A1" s="48" t="s">
        <v>137</v>
      </c>
      <c r="C1" s="16"/>
    </row>
    <row r="2" spans="1:10" ht="43" customHeight="1">
      <c r="A2" s="19" t="s">
        <v>45</v>
      </c>
      <c r="C2" s="16"/>
    </row>
    <row r="3" spans="1:10" ht="43" customHeight="1">
      <c r="B3" s="17" t="str">
        <f>"31.12."&amp;_labels!$B$1</f>
        <v>31.12.2016</v>
      </c>
      <c r="C3" s="22" t="str">
        <f>"31.12."&amp;_labels!$B$1-1</f>
        <v>31.12.2015</v>
      </c>
      <c r="E3" s="77" t="s">
        <v>185</v>
      </c>
      <c r="F3" s="77" t="s">
        <v>325</v>
      </c>
      <c r="G3" s="64" t="s">
        <v>168</v>
      </c>
      <c r="H3" s="65" t="s">
        <v>169</v>
      </c>
      <c r="I3" s="65" t="s">
        <v>172</v>
      </c>
      <c r="J3" s="8" t="s">
        <v>170</v>
      </c>
    </row>
    <row r="4" spans="1:10" ht="24" customHeight="1">
      <c r="A4" s="12" t="s">
        <v>329</v>
      </c>
      <c r="B4" s="24">
        <f>ROUND((22006064+289943)/1000,0)</f>
        <v>22296</v>
      </c>
      <c r="C4" s="25">
        <f>ROUND((18503739-798585)/1000,0)</f>
        <v>17705</v>
      </c>
      <c r="I4" s="134">
        <f>-30120-768465</f>
        <v>-798585</v>
      </c>
    </row>
    <row r="5" spans="1:10" ht="35.25" customHeight="1">
      <c r="A5" s="78" t="s">
        <v>524</v>
      </c>
      <c r="B5" s="132">
        <v>0</v>
      </c>
      <c r="C5" s="133">
        <v>0</v>
      </c>
      <c r="I5" s="134"/>
    </row>
    <row r="6" spans="1:10" ht="24" customHeight="1">
      <c r="A6" s="12" t="s">
        <v>141</v>
      </c>
      <c r="B6" s="24">
        <f>ROUND((1860768+1977175)/1000,0)</f>
        <v>3838</v>
      </c>
      <c r="C6" s="25">
        <f>ROUND((1703938+1525550-92187)/1000,0)</f>
        <v>3137</v>
      </c>
      <c r="I6" s="134">
        <v>-92187</v>
      </c>
    </row>
    <row r="7" spans="1:10" ht="33.75" customHeight="1">
      <c r="A7" s="187" t="s">
        <v>429</v>
      </c>
      <c r="B7" s="24">
        <v>0</v>
      </c>
      <c r="C7" s="25">
        <v>0</v>
      </c>
      <c r="I7" s="134"/>
    </row>
    <row r="8" spans="1:10" ht="24" customHeight="1">
      <c r="A8" s="12" t="s">
        <v>142</v>
      </c>
      <c r="B8" s="24">
        <f>ROUND((72113+12451+110099)/1000,0)</f>
        <v>195</v>
      </c>
      <c r="C8" s="25">
        <f>ROUND((592097-55473)/1000,0)</f>
        <v>537</v>
      </c>
      <c r="I8" s="134">
        <f>-45083-10391+1</f>
        <v>-55473</v>
      </c>
    </row>
    <row r="9" spans="1:10" s="10" customFormat="1" ht="24" customHeight="1">
      <c r="A9" s="9" t="s">
        <v>29</v>
      </c>
      <c r="B9" s="26">
        <f>SUM(B4:B8)</f>
        <v>26329</v>
      </c>
      <c r="C9" s="27">
        <f>SUM(C4:C8)</f>
        <v>21379</v>
      </c>
      <c r="F9" s="119">
        <f>+C_Resultat_ProduitsCharges!C25/1000+C9</f>
        <v>-7.9000000001542503E-2</v>
      </c>
      <c r="I9" s="67">
        <f>-(916124.93+30119.8)</f>
        <v>-946244.7300000001</v>
      </c>
    </row>
  </sheetData>
  <pageMargins left="0.54" right="0.43" top="1" bottom="1" header="0.5" footer="0.5"/>
  <pageSetup paperSize="9" scale="85" orientation="portrait" horizontalDpi="1200" verticalDpi="1200"/>
  <extLst>
    <ext xmlns:mx="http://schemas.microsoft.com/office/mac/excel/2008/main" uri="{64002731-A6B0-56B0-2670-7721B7C09600}">
      <mx:PLV Mode="0" OnePage="0" WScale="10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
  <sheetViews>
    <sheetView workbookViewId="0">
      <selection activeCell="A2" sqref="A2"/>
    </sheetView>
  </sheetViews>
  <sheetFormatPr baseColWidth="10" defaultColWidth="10.83203125" defaultRowHeight="19" customHeight="1" x14ac:dyDescent="0"/>
  <cols>
    <col min="1" max="1" width="61.6640625" style="11" customWidth="1"/>
    <col min="2" max="3" width="20.83203125" style="7" customWidth="1"/>
    <col min="4" max="8" width="10.83203125" style="8"/>
    <col min="9" max="9" width="14.1640625" style="8" customWidth="1"/>
    <col min="10" max="10" width="18.1640625" style="8" customWidth="1"/>
    <col min="11" max="16384" width="10.83203125" style="8"/>
  </cols>
  <sheetData>
    <row r="1" spans="1:11" ht="43" customHeight="1">
      <c r="A1" s="48" t="s">
        <v>137</v>
      </c>
      <c r="C1" s="16"/>
    </row>
    <row r="2" spans="1:11" ht="43" customHeight="1">
      <c r="A2" s="19" t="s">
        <v>46</v>
      </c>
      <c r="C2" s="16"/>
    </row>
    <row r="3" spans="1:11" ht="49.5" customHeight="1">
      <c r="B3" s="17" t="str">
        <f>"31.12."&amp;_labels!$B$1</f>
        <v>31.12.2016</v>
      </c>
      <c r="C3" s="22" t="str">
        <f>"31.12."&amp;_labels!$B$1-1</f>
        <v>31.12.2015</v>
      </c>
      <c r="F3" s="77" t="s">
        <v>335</v>
      </c>
      <c r="G3" s="77" t="s">
        <v>334</v>
      </c>
      <c r="H3" s="64" t="s">
        <v>168</v>
      </c>
      <c r="I3" s="65" t="s">
        <v>169</v>
      </c>
      <c r="J3" s="65" t="s">
        <v>172</v>
      </c>
      <c r="K3" s="8" t="s">
        <v>170</v>
      </c>
    </row>
    <row r="4" spans="1:11" ht="24" customHeight="1">
      <c r="A4" s="12" t="s">
        <v>143</v>
      </c>
      <c r="B4" s="24">
        <f>ROUND(2550295/1000,0)</f>
        <v>2550</v>
      </c>
      <c r="C4" s="25">
        <f>ROUND((2905378-368646)/1000,0)</f>
        <v>2537</v>
      </c>
      <c r="I4" s="134">
        <v>-368646</v>
      </c>
    </row>
    <row r="5" spans="1:11" ht="24" customHeight="1">
      <c r="A5" s="61" t="s">
        <v>330</v>
      </c>
      <c r="B5" s="24">
        <f>ROUND(1824097/1000,0)</f>
        <v>1824</v>
      </c>
      <c r="C5" s="25">
        <f>ROUND((1567533-111708)/1000,0)</f>
        <v>1456</v>
      </c>
      <c r="I5" s="134">
        <v>-111708</v>
      </c>
    </row>
    <row r="6" spans="1:11" ht="24" customHeight="1">
      <c r="A6" s="70" t="s">
        <v>331</v>
      </c>
      <c r="B6" s="24">
        <f>SUM(B7:B8)</f>
        <v>469</v>
      </c>
      <c r="C6" s="25">
        <f>SUM(C7:C8)</f>
        <v>506</v>
      </c>
      <c r="I6" s="134"/>
    </row>
    <row r="7" spans="1:11" ht="24" customHeight="1">
      <c r="A7" s="135" t="s">
        <v>332</v>
      </c>
      <c r="B7" s="136">
        <f>ROUND((265000+74074+38000+26000+20000+46000)/1000,0)</f>
        <v>469</v>
      </c>
      <c r="C7" s="137">
        <f>ROUND((257500+86309+38000+79000+30000+22500-7000)/1000,0)</f>
        <v>506</v>
      </c>
      <c r="I7" s="134"/>
    </row>
    <row r="8" spans="1:11" ht="24" customHeight="1">
      <c r="A8" s="135" t="s">
        <v>333</v>
      </c>
      <c r="B8" s="136">
        <v>0</v>
      </c>
      <c r="C8" s="137">
        <v>0</v>
      </c>
      <c r="I8" s="134"/>
    </row>
    <row r="9" spans="1:11" ht="24" customHeight="1">
      <c r="A9" s="12" t="s">
        <v>46</v>
      </c>
      <c r="B9" s="24">
        <f>ROUND((14579595-2550295-1824097-469074)/1000,0)+H9</f>
        <v>9737</v>
      </c>
      <c r="C9" s="25">
        <f>ROUND((16206083-2905378-1567533-506309-715929)/1000,0)</f>
        <v>10511</v>
      </c>
      <c r="H9" s="8">
        <v>1</v>
      </c>
      <c r="I9" s="134">
        <f>-38083-331903-457651+111708</f>
        <v>-715929</v>
      </c>
    </row>
    <row r="10" spans="1:11" s="10" customFormat="1" ht="24" customHeight="1">
      <c r="A10" s="9" t="s">
        <v>29</v>
      </c>
      <c r="B10" s="26">
        <f>SUM(B4:B6)+B9</f>
        <v>14580</v>
      </c>
      <c r="C10" s="27">
        <f>SUM(C4:C6)+C9</f>
        <v>15010</v>
      </c>
      <c r="F10" s="119">
        <f>+C_Resultat_ProduitsCharges!B26/1000</f>
        <v>-14579.594999999999</v>
      </c>
      <c r="G10" s="119">
        <f>+C_Resultat_ProduitsCharges!C26/1000</f>
        <v>-15009.8</v>
      </c>
      <c r="I10" s="67">
        <f>-(1158199.55+38083.3)</f>
        <v>-1196282.8500000001</v>
      </c>
    </row>
  </sheetData>
  <pageMargins left="0.4" right="0.35" top="1" bottom="1" header="0.5" footer="0.5"/>
  <pageSetup paperSize="9" scale="86" orientation="portrait" horizontalDpi="1200" verticalDpi="1200"/>
  <extLst>
    <ext xmlns:mx="http://schemas.microsoft.com/office/mac/excel/2008/main" uri="{64002731-A6B0-56B0-2670-7721B7C09600}">
      <mx:PLV Mode="0" OnePage="0" WScale="10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7"/>
  <sheetViews>
    <sheetView workbookViewId="0">
      <selection activeCell="A7" sqref="A7:C7"/>
    </sheetView>
  </sheetViews>
  <sheetFormatPr baseColWidth="10" defaultColWidth="10.83203125" defaultRowHeight="19" customHeight="1" x14ac:dyDescent="0"/>
  <cols>
    <col min="1" max="1" width="65.1640625" style="11" customWidth="1"/>
    <col min="2" max="2" width="32.83203125" style="7" customWidth="1"/>
    <col min="3" max="3" width="24.6640625" style="7" customWidth="1"/>
    <col min="4" max="16384" width="10.83203125" style="8"/>
  </cols>
  <sheetData>
    <row r="1" spans="1:3" ht="43" customHeight="1">
      <c r="A1" s="48" t="s">
        <v>137</v>
      </c>
      <c r="C1" s="16"/>
    </row>
    <row r="2" spans="1:3" ht="83.25" customHeight="1">
      <c r="A2" s="265" t="s">
        <v>336</v>
      </c>
      <c r="B2" s="266"/>
      <c r="C2" s="266"/>
    </row>
    <row r="5" spans="1:3" ht="45" customHeight="1">
      <c r="A5" s="249" t="s">
        <v>430</v>
      </c>
      <c r="B5" s="249"/>
      <c r="C5" s="249"/>
    </row>
    <row r="7" spans="1:3" ht="48" customHeight="1">
      <c r="A7" s="249" t="s">
        <v>431</v>
      </c>
      <c r="B7" s="249"/>
      <c r="C7" s="249"/>
    </row>
  </sheetData>
  <mergeCells count="3">
    <mergeCell ref="A2:C2"/>
    <mergeCell ref="A5:C5"/>
    <mergeCell ref="A7:C7"/>
  </mergeCells>
  <pageMargins left="0.51" right="0.66" top="1" bottom="1" header="0.5" footer="0.5"/>
  <pageSetup paperSize="9" scale="68" orientation="portrait" horizontalDpi="1200" verticalDpi="1200"/>
  <extLst>
    <ext xmlns:mx="http://schemas.microsoft.com/office/mac/excel/2008/main" uri="{64002731-A6B0-56B0-2670-7721B7C09600}">
      <mx:PLV Mode="0" OnePage="0" WScale="10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15"/>
  <sheetViews>
    <sheetView workbookViewId="0">
      <selection activeCell="B4" sqref="B4"/>
    </sheetView>
  </sheetViews>
  <sheetFormatPr baseColWidth="10" defaultColWidth="10.83203125" defaultRowHeight="19" customHeight="1" x14ac:dyDescent="0"/>
  <cols>
    <col min="1" max="1" width="57.83203125" style="11" customWidth="1"/>
    <col min="2" max="5" width="20.83203125" style="7" customWidth="1"/>
    <col min="6" max="6" width="10.83203125" style="8"/>
    <col min="7" max="7" width="12.6640625" style="8" customWidth="1"/>
    <col min="8" max="9" width="14.1640625" style="8" customWidth="1"/>
    <col min="10" max="10" width="10.83203125" style="8"/>
    <col min="11" max="11" width="13" style="8" bestFit="1" customWidth="1"/>
    <col min="12" max="12" width="20.5" style="8" bestFit="1" customWidth="1"/>
    <col min="13" max="13" width="14" style="8" customWidth="1"/>
    <col min="14" max="16384" width="10.83203125" style="8"/>
  </cols>
  <sheetData>
    <row r="1" spans="1:13" ht="43" customHeight="1">
      <c r="A1" s="48" t="s">
        <v>137</v>
      </c>
      <c r="D1" s="16"/>
      <c r="E1" s="16"/>
    </row>
    <row r="2" spans="1:13" ht="31.5" customHeight="1">
      <c r="A2" s="141" t="s">
        <v>144</v>
      </c>
      <c r="B2" s="139"/>
      <c r="C2" s="139"/>
      <c r="D2" s="140"/>
      <c r="E2" s="140"/>
      <c r="G2" s="8" t="s">
        <v>340</v>
      </c>
      <c r="H2" s="77" t="s">
        <v>335</v>
      </c>
      <c r="I2" s="77" t="s">
        <v>334</v>
      </c>
      <c r="J2" s="64" t="s">
        <v>168</v>
      </c>
      <c r="K2" s="65" t="s">
        <v>169</v>
      </c>
      <c r="L2" s="65" t="s">
        <v>172</v>
      </c>
      <c r="M2" s="8" t="s">
        <v>170</v>
      </c>
    </row>
    <row r="3" spans="1:13" ht="24" customHeight="1">
      <c r="B3" s="231" t="str">
        <f>"31.12."&amp;_labels!$B$1</f>
        <v>31.12.2016</v>
      </c>
      <c r="C3" s="231"/>
      <c r="D3" s="257" t="str">
        <f>"31.12."&amp;_labels!$B$1-1</f>
        <v>31.12.2015</v>
      </c>
      <c r="E3" s="257"/>
    </row>
    <row r="4" spans="1:13" ht="24" customHeight="1">
      <c r="A4" s="19"/>
      <c r="B4" s="17" t="s">
        <v>110</v>
      </c>
      <c r="C4" s="17" t="s">
        <v>111</v>
      </c>
      <c r="D4" s="22" t="s">
        <v>110</v>
      </c>
      <c r="E4" s="22" t="s">
        <v>111</v>
      </c>
    </row>
    <row r="5" spans="1:13" ht="24" customHeight="1">
      <c r="A5" s="61" t="s">
        <v>337</v>
      </c>
      <c r="B5" s="24">
        <f>13791-956</f>
        <v>12835</v>
      </c>
      <c r="C5" s="24">
        <v>1696</v>
      </c>
      <c r="D5" s="25">
        <f>15339+25-1-3997</f>
        <v>11366</v>
      </c>
      <c r="E5" s="25">
        <f>750+2</f>
        <v>752</v>
      </c>
      <c r="H5" s="28">
        <f>ROUND(+C_Resultat_ProduitsCharges!B9,0)/1000-SUM(B5:C5)</f>
        <v>0.21299999999973807</v>
      </c>
      <c r="I5" s="28">
        <f>ROUND(+C_Resultat_ProduitsCharges!C9,0)/1000-SUM(D5:E5)</f>
        <v>-0.44100000000071304</v>
      </c>
      <c r="K5" s="8">
        <f>(17422.17-19024.35)/1000</f>
        <v>-1.6021800000000004</v>
      </c>
      <c r="L5" s="8">
        <f>(-843.9+28152.33)/1000</f>
        <v>27.308430000000001</v>
      </c>
    </row>
    <row r="6" spans="1:13" ht="24" customHeight="1">
      <c r="A6" s="12" t="s">
        <v>38</v>
      </c>
      <c r="B6" s="24">
        <v>35054</v>
      </c>
      <c r="C6" s="24">
        <v>12028</v>
      </c>
      <c r="D6" s="25">
        <v>25041</v>
      </c>
      <c r="E6" s="25">
        <f>12620-1273</f>
        <v>11347</v>
      </c>
      <c r="H6" s="28">
        <f>ROUND(+C_Resultat_ProduitsCharges!B15,0)/1000-SUM(B6:C6)</f>
        <v>-0.21899999999732245</v>
      </c>
      <c r="I6" s="28">
        <f>ROUND(+C_Resultat_ProduitsCharges!C15,0)/1000-SUM(D6:E6)</f>
        <v>-1.0000000002037268E-2</v>
      </c>
      <c r="L6" s="8">
        <f>(-1264838.79-62171.91-44573.25+98412.06)/1000</f>
        <v>-1273.1718899999998</v>
      </c>
    </row>
    <row r="7" spans="1:13" ht="24" customHeight="1">
      <c r="A7" s="12" t="s">
        <v>190</v>
      </c>
      <c r="B7" s="24">
        <v>6582</v>
      </c>
      <c r="C7" s="24">
        <v>1273</v>
      </c>
      <c r="D7" s="25">
        <f>5009+23</f>
        <v>5032</v>
      </c>
      <c r="E7" s="25">
        <f>1065+3</f>
        <v>1068</v>
      </c>
      <c r="H7" s="28">
        <f>ROUND(+C_Resultat_ProduitsCharges!B16,0)/1000-SUM(B7:C7)</f>
        <v>-0.88699999999971624</v>
      </c>
      <c r="I7" s="28">
        <f>ROUND(+C_Resultat_ProduitsCharges!C16,0)/1000-SUM(D7:E7)</f>
        <v>-0.33600000000024011</v>
      </c>
      <c r="L7" s="67">
        <f>(3002.39+22627.13-22627.13+22627.13)/1000</f>
        <v>25.629519999999999</v>
      </c>
    </row>
    <row r="8" spans="1:13" ht="24" customHeight="1">
      <c r="A8" s="12" t="s">
        <v>39</v>
      </c>
      <c r="B8" s="24">
        <f>6107-5732</f>
        <v>375</v>
      </c>
      <c r="C8" s="24">
        <v>-27</v>
      </c>
      <c r="D8" s="25">
        <v>235</v>
      </c>
      <c r="E8" s="25">
        <f>293-320</f>
        <v>-27</v>
      </c>
      <c r="H8" s="28">
        <f>ROUND(+C_Resultat_ProduitsCharges!B21,0)/1000-SUM(B8:C8)</f>
        <v>0.42599999999998772</v>
      </c>
      <c r="I8" s="28">
        <f>ROUND(+C_Resultat_ProduitsCharges!C21,0)/1000-SUM(D8:E8)</f>
        <v>-0.10400000000001342</v>
      </c>
      <c r="L8" s="8">
        <f>(-902800+902800-320065.45+15166.27-15166.27)/1000</f>
        <v>-320.06545</v>
      </c>
    </row>
    <row r="9" spans="1:13" s="10" customFormat="1" ht="24" customHeight="1">
      <c r="A9" s="9" t="s">
        <v>145</v>
      </c>
      <c r="B9" s="26">
        <f>SUM(B5:B8)</f>
        <v>54846</v>
      </c>
      <c r="C9" s="26">
        <f>SUM(C5:C8)</f>
        <v>14970</v>
      </c>
      <c r="D9" s="27">
        <f t="shared" ref="D9:E9" si="0">SUM(D5:D8)</f>
        <v>41674</v>
      </c>
      <c r="E9" s="27">
        <f t="shared" si="0"/>
        <v>13140</v>
      </c>
    </row>
    <row r="10" spans="1:13" ht="24" customHeight="1">
      <c r="A10" s="12" t="s">
        <v>146</v>
      </c>
      <c r="B10" s="24">
        <f>24563+G10</f>
        <v>24564</v>
      </c>
      <c r="C10" s="24">
        <v>1765</v>
      </c>
      <c r="D10" s="25">
        <f>19926-30</f>
        <v>19896</v>
      </c>
      <c r="E10" s="25">
        <f>2399-916</f>
        <v>1483</v>
      </c>
      <c r="G10" s="8">
        <v>1</v>
      </c>
      <c r="H10" s="28">
        <f>ROUND(+C_Resultat_ProduitsCharges!B25,0)/1000+SUM(B10:C10)</f>
        <v>0.38699999999880674</v>
      </c>
      <c r="I10" s="28">
        <f>ROUND(+C_Resultat_ProduitsCharges!C25,0)/1000+SUM(D10:E10)</f>
        <v>-7.9000000001542503E-2</v>
      </c>
      <c r="L10" s="8">
        <f>(916124.93+30119.8)/1000</f>
        <v>946.24473000000012</v>
      </c>
    </row>
    <row r="11" spans="1:13" ht="24" customHeight="1">
      <c r="A11" s="12" t="s">
        <v>46</v>
      </c>
      <c r="B11" s="24">
        <f>13414+G11</f>
        <v>13415</v>
      </c>
      <c r="C11" s="24">
        <f>1897-732</f>
        <v>1165</v>
      </c>
      <c r="D11" s="25">
        <f>13866-38</f>
        <v>13828</v>
      </c>
      <c r="E11" s="25">
        <f>2340-1158</f>
        <v>1182</v>
      </c>
      <c r="G11" s="8">
        <v>1</v>
      </c>
      <c r="H11" s="28">
        <f>ROUND(+C_Resultat_ProduitsCharges!B26,0)/1000+SUM(B11:C11)</f>
        <v>0.40500000000065484</v>
      </c>
      <c r="I11" s="28">
        <f>ROUND(+C_Resultat_ProduitsCharges!C26,0)/1000+SUM(D11:E11)</f>
        <v>0.2000000000007276</v>
      </c>
      <c r="L11" s="8">
        <f>(1158199.55+38083.3)/1000</f>
        <v>1196.2828500000001</v>
      </c>
    </row>
    <row r="12" spans="1:13" s="10" customFormat="1" ht="24" customHeight="1">
      <c r="A12" s="9" t="s">
        <v>44</v>
      </c>
      <c r="B12" s="26">
        <f>SUM(B10:B11)</f>
        <v>37979</v>
      </c>
      <c r="C12" s="26">
        <f>SUM(C10:C11)</f>
        <v>2930</v>
      </c>
      <c r="D12" s="27">
        <f t="shared" ref="D12:E12" si="1">SUM(D10:D11)</f>
        <v>33724</v>
      </c>
      <c r="E12" s="27">
        <f t="shared" si="1"/>
        <v>2665</v>
      </c>
      <c r="H12" s="28">
        <f>ROUND(+C_Resultat_ProduitsCharges!B27,0)/1000+SUM(B12:C12)</f>
        <v>0.79200000000128057</v>
      </c>
      <c r="I12" s="28">
        <f>ROUND(+C_Resultat_ProduitsCharges!C27,0)/1000+SUM(D12:E12)</f>
        <v>0.12099999999918509</v>
      </c>
    </row>
    <row r="13" spans="1:13" s="10" customFormat="1" ht="33" customHeight="1">
      <c r="A13" s="78" t="s">
        <v>338</v>
      </c>
      <c r="B13" s="24">
        <v>2752</v>
      </c>
      <c r="C13" s="24">
        <v>84</v>
      </c>
      <c r="D13" s="25">
        <f>1334+644</f>
        <v>1978</v>
      </c>
      <c r="E13" s="25">
        <v>60</v>
      </c>
      <c r="H13" s="28">
        <f>ROUND(+C_Resultat_ProduitsCharges!B29,0)/1000+SUM(B13:C13)</f>
        <v>0.34200000000009823</v>
      </c>
      <c r="I13" s="28">
        <f>ROUND(+C_Resultat_ProduitsCharges!C29,0)/1000+SUM(D13:E13)</f>
        <v>-0.27299999999991087</v>
      </c>
      <c r="K13" s="8">
        <f>-643890.49/1000</f>
        <v>-643.89049</v>
      </c>
      <c r="L13" s="8">
        <f>12422.69/1000</f>
        <v>12.422690000000001</v>
      </c>
    </row>
    <row r="14" spans="1:13" s="10" customFormat="1" ht="24" customHeight="1">
      <c r="A14" s="78" t="s">
        <v>339</v>
      </c>
      <c r="B14" s="24">
        <f>12424-11047-955</f>
        <v>422</v>
      </c>
      <c r="C14" s="24">
        <v>1577</v>
      </c>
      <c r="D14" s="25">
        <f>5537+1705-3997</f>
        <v>3245</v>
      </c>
      <c r="E14" s="25">
        <v>0</v>
      </c>
      <c r="H14" s="28">
        <f>ROUND(+C_Resultat_ProduitsCharges!B31,0)/1000+SUM(B14:C14)</f>
        <v>0.35300000000006548</v>
      </c>
      <c r="I14" s="28">
        <f>ROUND(+C_Resultat_ProduitsCharges!C31,0)/1000+SUM(D14:E14)</f>
        <v>0.47699999999986176</v>
      </c>
      <c r="K14" s="8">
        <f>-1704572.82/1000</f>
        <v>-1704.5728200000001</v>
      </c>
      <c r="L14" s="67">
        <f>-15.45/1000</f>
        <v>-1.5449999999999998E-2</v>
      </c>
    </row>
    <row r="15" spans="1:13" s="10" customFormat="1" ht="36" customHeight="1">
      <c r="A15" s="80" t="s">
        <v>195</v>
      </c>
      <c r="B15" s="26">
        <f>+B9-B12-B13-B14</f>
        <v>13693</v>
      </c>
      <c r="C15" s="26">
        <f t="shared" ref="C15:E15" si="2">+C9-C12-C13-C14</f>
        <v>10379</v>
      </c>
      <c r="D15" s="27">
        <f t="shared" si="2"/>
        <v>2727</v>
      </c>
      <c r="E15" s="27">
        <f t="shared" si="2"/>
        <v>10415</v>
      </c>
      <c r="H15" s="28">
        <f>ROUND(+C_Resultat_ProduitsCharges!B32,0)/1000-SUM(B15:C15)</f>
        <v>1.0200000000004366</v>
      </c>
      <c r="I15" s="28">
        <f>ROUND(+C_Resultat_ProduitsCharges!C32,0)/1000-SUM(D15:E15)</f>
        <v>-0.56600000000071304</v>
      </c>
    </row>
  </sheetData>
  <mergeCells count="2">
    <mergeCell ref="B3:C3"/>
    <mergeCell ref="D3:E3"/>
  </mergeCells>
  <pageMargins left="0.57999999999999996" right="0.33" top="1" bottom="1" header="0.5" footer="0.5"/>
  <pageSetup paperSize="9" scale="61" orientation="portrait" horizontalDpi="1200" verticalDpi="1200"/>
  <ignoredErrors>
    <ignoredError sqref="H5:I15" formulaRange="1"/>
  </ignoredErrors>
  <extLst>
    <ext xmlns:mx="http://schemas.microsoft.com/office/mac/excel/2008/main" uri="{64002731-A6B0-56B0-2670-7721B7C09600}">
      <mx:PLV Mode="0" OnePage="0" WScale="10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I10"/>
  <sheetViews>
    <sheetView workbookViewId="0">
      <selection activeCell="H7" sqref="H7"/>
    </sheetView>
  </sheetViews>
  <sheetFormatPr baseColWidth="10" defaultColWidth="10.83203125" defaultRowHeight="19" customHeight="1" x14ac:dyDescent="0"/>
  <cols>
    <col min="1" max="1" width="59.1640625" style="11" bestFit="1" customWidth="1"/>
    <col min="2" max="2" width="20.33203125" style="88" customWidth="1"/>
    <col min="3" max="3" width="19.5" style="88" customWidth="1"/>
    <col min="4" max="4" width="10.83203125" style="8"/>
    <col min="5" max="5" width="13.6640625" style="8" customWidth="1"/>
    <col min="6" max="6" width="15.33203125" style="8" customWidth="1"/>
    <col min="7" max="16384" width="10.83203125" style="8"/>
  </cols>
  <sheetData>
    <row r="1" spans="1:9" ht="43" customHeight="1">
      <c r="A1" s="48" t="s">
        <v>326</v>
      </c>
      <c r="C1" s="142"/>
    </row>
    <row r="2" spans="1:9" ht="28.5" customHeight="1">
      <c r="A2" s="143"/>
      <c r="B2" s="138"/>
      <c r="C2" s="144"/>
    </row>
    <row r="3" spans="1:9" ht="35.25" customHeight="1">
      <c r="A3" s="265" t="s">
        <v>341</v>
      </c>
      <c r="B3" s="266"/>
      <c r="C3" s="266"/>
      <c r="E3" s="115" t="s">
        <v>335</v>
      </c>
      <c r="F3" s="115" t="s">
        <v>334</v>
      </c>
      <c r="H3" s="267" t="s">
        <v>195</v>
      </c>
      <c r="I3" s="267"/>
    </row>
    <row r="4" spans="1:9" ht="23.25" customHeight="1">
      <c r="A4" s="19"/>
      <c r="B4" s="90" t="str">
        <f>"31.12."&amp;[1]_labels!$B$1</f>
        <v>31.12.2015</v>
      </c>
      <c r="C4" s="22" t="str">
        <f>"31.12."&amp;[1]_labels!$B$1-1</f>
        <v>31.12.2014</v>
      </c>
      <c r="H4" s="8">
        <v>2015</v>
      </c>
      <c r="I4" s="8">
        <v>2014</v>
      </c>
    </row>
    <row r="5" spans="1:9" ht="16">
      <c r="A5" s="12" t="s">
        <v>342</v>
      </c>
      <c r="B5" s="25">
        <f>ROUND((1554715/1000),0)</f>
        <v>1555</v>
      </c>
      <c r="C5" s="25">
        <f>ROUND((2097493+56062)/1000,0)</f>
        <v>2154</v>
      </c>
    </row>
    <row r="6" spans="1:9" ht="16">
      <c r="A6" s="12" t="s">
        <v>343</v>
      </c>
      <c r="B6" s="25">
        <f>ROUND(1787740/1000,0)</f>
        <v>1788</v>
      </c>
      <c r="C6" s="25">
        <f>ROUND(-543825/1000,0)</f>
        <v>-544</v>
      </c>
    </row>
    <row r="7" spans="1:9" ht="30.75" customHeight="1">
      <c r="A7" s="9" t="s">
        <v>29</v>
      </c>
      <c r="B7" s="26">
        <f>SUM(B5:B6)</f>
        <v>3343</v>
      </c>
      <c r="C7" s="27">
        <f>SUM(C5:C6)</f>
        <v>1610</v>
      </c>
      <c r="E7" s="28">
        <f>+[1]I_Resultat_ProduitsCharges!B34+C_iImpôts!B7</f>
        <v>-1495273</v>
      </c>
      <c r="F7" s="28">
        <f>+[1]I_Resultat_ProduitsCharges!C34+C_iImpôts!C7</f>
        <v>-2095883</v>
      </c>
      <c r="H7" s="28">
        <f>SUM(C_Resultat_ProduitsCharges!B32:B35)/1000</f>
        <v>18394.671999999999</v>
      </c>
      <c r="I7" s="28">
        <f>SUM(C_Resultat_ProduitsCharges!C32:C35)/1000</f>
        <v>16157.579</v>
      </c>
    </row>
    <row r="8" spans="1:9" ht="12.75" customHeight="1"/>
    <row r="9" spans="1:9" ht="15">
      <c r="A9" s="12" t="s">
        <v>452</v>
      </c>
      <c r="B9" s="145">
        <f>+H9</f>
        <v>0.18173740744058933</v>
      </c>
      <c r="C9" s="145">
        <f>+I9</f>
        <v>9.9643640919224355E-2</v>
      </c>
      <c r="H9" s="146">
        <f>+B7/H7</f>
        <v>0.18173740744058933</v>
      </c>
      <c r="I9" s="146">
        <f>+C7/I7</f>
        <v>9.9643640919224355E-2</v>
      </c>
    </row>
    <row r="10" spans="1:9" ht="19" customHeight="1">
      <c r="H10" s="146"/>
      <c r="I10" s="146"/>
    </row>
  </sheetData>
  <mergeCells count="2">
    <mergeCell ref="A3:C3"/>
    <mergeCell ref="H3:I3"/>
  </mergeCells>
  <pageMargins left="0.75000000000000011" right="0.72" top="1" bottom="1" header="0.5" footer="0.5"/>
  <pageSetup paperSize="9" scale="81" orientation="portrait" horizontalDpi="1200" verticalDpi="120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9"/>
  <sheetViews>
    <sheetView workbookViewId="0">
      <selection activeCell="A18" sqref="A18"/>
    </sheetView>
  </sheetViews>
  <sheetFormatPr baseColWidth="10" defaultColWidth="10.83203125" defaultRowHeight="19" customHeight="1" x14ac:dyDescent="0"/>
  <cols>
    <col min="1" max="1" width="73.5" style="11" bestFit="1" customWidth="1"/>
    <col min="2" max="2" width="20.83203125" style="7" customWidth="1"/>
    <col min="3" max="3" width="19.1640625" style="8" bestFit="1" customWidth="1"/>
    <col min="4" max="16384" width="10.83203125" style="8"/>
  </cols>
  <sheetData>
    <row r="1" spans="1:3" ht="43" customHeight="1">
      <c r="A1" s="48" t="s">
        <v>498</v>
      </c>
    </row>
    <row r="2" spans="1:3" ht="43" customHeight="1">
      <c r="A2" s="19" t="s">
        <v>166</v>
      </c>
    </row>
    <row r="3" spans="1:3" ht="43" customHeight="1">
      <c r="C3" s="17" t="str">
        <f>"31.12."&amp;_labels!$B$1</f>
        <v>31.12.2016</v>
      </c>
    </row>
    <row r="4" spans="1:3" ht="24" customHeight="1">
      <c r="A4" s="9" t="s">
        <v>147</v>
      </c>
      <c r="C4" s="29"/>
    </row>
    <row r="5" spans="1:3" ht="24" customHeight="1">
      <c r="A5" s="12" t="s">
        <v>148</v>
      </c>
      <c r="C5" s="24">
        <v>153607</v>
      </c>
    </row>
    <row r="6" spans="1:3" ht="24" customHeight="1">
      <c r="A6" s="12" t="s">
        <v>149</v>
      </c>
      <c r="C6" s="24">
        <v>0</v>
      </c>
    </row>
    <row r="7" spans="1:3" ht="24" customHeight="1">
      <c r="A7" s="12" t="s">
        <v>150</v>
      </c>
      <c r="C7" s="24">
        <v>0</v>
      </c>
    </row>
    <row r="8" spans="1:3" s="10" customFormat="1" ht="24" customHeight="1">
      <c r="A8" s="9" t="s">
        <v>151</v>
      </c>
      <c r="C8" s="26">
        <f>SUM(C5:C7)</f>
        <v>153607</v>
      </c>
    </row>
    <row r="9" spans="1:3" s="10" customFormat="1" ht="24" customHeight="1">
      <c r="A9" s="9"/>
      <c r="C9" s="26"/>
    </row>
    <row r="10" spans="1:3" ht="19" customHeight="1">
      <c r="A10" s="19" t="s">
        <v>152</v>
      </c>
    </row>
    <row r="11" spans="1:3" ht="33" customHeight="1">
      <c r="B11" s="16" t="s">
        <v>153</v>
      </c>
      <c r="C11" s="16" t="s">
        <v>154</v>
      </c>
    </row>
    <row r="12" spans="1:3" ht="25.5" customHeight="1">
      <c r="A12" s="12" t="s">
        <v>155</v>
      </c>
      <c r="B12" s="44" t="s">
        <v>165</v>
      </c>
      <c r="C12" s="24">
        <f>39242</f>
        <v>39242</v>
      </c>
    </row>
    <row r="13" spans="1:3" ht="25.5" customHeight="1">
      <c r="A13" s="12" t="s">
        <v>156</v>
      </c>
      <c r="B13" s="44" t="s">
        <v>157</v>
      </c>
      <c r="C13" s="24">
        <v>751</v>
      </c>
    </row>
    <row r="14" spans="1:3" ht="25.5" customHeight="1">
      <c r="A14" s="12" t="s">
        <v>158</v>
      </c>
      <c r="B14" s="44" t="s">
        <v>157</v>
      </c>
      <c r="C14" s="24">
        <v>463</v>
      </c>
    </row>
    <row r="15" spans="1:3" ht="25.5" customHeight="1">
      <c r="A15" s="20" t="s">
        <v>159</v>
      </c>
      <c r="B15" s="44"/>
      <c r="C15" s="24">
        <v>111</v>
      </c>
    </row>
    <row r="16" spans="1:3" ht="25.5" customHeight="1">
      <c r="A16" s="20" t="s">
        <v>160</v>
      </c>
      <c r="B16" s="44"/>
      <c r="C16" s="24">
        <v>352</v>
      </c>
    </row>
    <row r="17" spans="1:3" ht="25.5" customHeight="1">
      <c r="A17" s="12" t="s">
        <v>161</v>
      </c>
      <c r="B17" s="44" t="s">
        <v>162</v>
      </c>
      <c r="C17" s="24">
        <v>9589</v>
      </c>
    </row>
    <row r="18" spans="1:3" ht="25.5" customHeight="1">
      <c r="A18" s="12" t="s">
        <v>525</v>
      </c>
      <c r="B18" s="44" t="s">
        <v>163</v>
      </c>
      <c r="C18" s="24">
        <v>284</v>
      </c>
    </row>
    <row r="19" spans="1:3" ht="25.5" customHeight="1">
      <c r="A19" s="9" t="s">
        <v>29</v>
      </c>
      <c r="B19" s="45"/>
      <c r="C19" s="26">
        <f>+C12+C13+C14+C17+C18</f>
        <v>50329</v>
      </c>
    </row>
  </sheetData>
  <pageMargins left="0.63" right="0.6" top="1" bottom="1" header="0.5" footer="0.5"/>
  <pageSetup paperSize="9" scale="88" orientation="portrait" horizontalDpi="1200" verticalDpi="1200"/>
  <extLst>
    <ext xmlns:mx="http://schemas.microsoft.com/office/mac/excel/2008/main" uri="{64002731-A6B0-56B0-2670-7721B7C09600}">
      <mx:PLV Mode="0" OnePage="0" WScale="10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14"/>
  <sheetViews>
    <sheetView workbookViewId="0">
      <selection activeCell="A2" sqref="A2"/>
    </sheetView>
  </sheetViews>
  <sheetFormatPr baseColWidth="10" defaultColWidth="10.83203125" defaultRowHeight="19" customHeight="1" x14ac:dyDescent="0"/>
  <cols>
    <col min="1" max="1" width="74" style="11" bestFit="1" customWidth="1"/>
    <col min="2" max="2" width="17.33203125" style="7" bestFit="1" customWidth="1"/>
    <col min="3" max="3" width="20.83203125" style="7" customWidth="1"/>
    <col min="4" max="16384" width="10.83203125" style="8"/>
  </cols>
  <sheetData>
    <row r="1" spans="1:3" ht="43" customHeight="1">
      <c r="A1" s="48" t="s">
        <v>500</v>
      </c>
    </row>
    <row r="2" spans="1:3" ht="43" customHeight="1">
      <c r="A2" s="19" t="s">
        <v>499</v>
      </c>
    </row>
    <row r="3" spans="1:3" ht="43" customHeight="1">
      <c r="B3" s="16"/>
      <c r="C3" s="229" t="s">
        <v>401</v>
      </c>
    </row>
    <row r="4" spans="1:3" s="10" customFormat="1" ht="27" customHeight="1">
      <c r="A4" s="12" t="s">
        <v>480</v>
      </c>
      <c r="B4" s="45"/>
      <c r="C4" s="147">
        <v>0.24416459695205547</v>
      </c>
    </row>
    <row r="5" spans="1:3" s="10" customFormat="1" ht="27" customHeight="1">
      <c r="A5" s="12" t="s">
        <v>481</v>
      </c>
      <c r="B5" s="45"/>
      <c r="C5" s="147">
        <v>0.24416459695205547</v>
      </c>
    </row>
    <row r="6" spans="1:3" s="10" customFormat="1" ht="27" customHeight="1">
      <c r="A6" s="12" t="s">
        <v>482</v>
      </c>
      <c r="B6" s="45"/>
      <c r="C6" s="147">
        <f>+[4]C_iResultat_FondsPropres!B7/[4]C_iResultat_FondsPropresReqis!C10*8/100</f>
        <v>0.24416459695205547</v>
      </c>
    </row>
    <row r="7" spans="1:3" s="10" customFormat="1" ht="27" customHeight="1">
      <c r="A7" s="12" t="s">
        <v>484</v>
      </c>
      <c r="B7" s="225"/>
      <c r="C7" s="147">
        <v>4.4999999999999998E-2</v>
      </c>
    </row>
    <row r="8" spans="1:3" s="10" customFormat="1" ht="39" customHeight="1">
      <c r="A8" s="220" t="s">
        <v>485</v>
      </c>
      <c r="B8" s="225"/>
      <c r="C8" s="147">
        <v>0.17019999999999999</v>
      </c>
    </row>
    <row r="9" spans="1:3" s="10" customFormat="1" ht="27" customHeight="1">
      <c r="A9" s="220" t="s">
        <v>486</v>
      </c>
      <c r="B9" s="225"/>
      <c r="C9" s="147">
        <v>7.3999999999999996E-2</v>
      </c>
    </row>
    <row r="10" spans="1:3" s="10" customFormat="1" ht="27" customHeight="1">
      <c r="A10" s="220" t="s">
        <v>487</v>
      </c>
      <c r="B10" s="225"/>
      <c r="C10" s="147">
        <v>0.17019999999999999</v>
      </c>
    </row>
    <row r="11" spans="1:3" s="10" customFormat="1" ht="27" customHeight="1">
      <c r="A11" s="220" t="s">
        <v>488</v>
      </c>
      <c r="B11" s="225"/>
      <c r="C11" s="147">
        <v>0.09</v>
      </c>
    </row>
    <row r="12" spans="1:3" s="10" customFormat="1" ht="27" customHeight="1">
      <c r="A12" s="12" t="s">
        <v>489</v>
      </c>
      <c r="B12" s="225"/>
      <c r="C12" s="147">
        <v>0.1542</v>
      </c>
    </row>
    <row r="13" spans="1:3" ht="34.5" customHeight="1">
      <c r="A13" s="220" t="s">
        <v>490</v>
      </c>
      <c r="C13" s="147">
        <v>0.112</v>
      </c>
    </row>
    <row r="14" spans="1:3" ht="27" customHeight="1">
      <c r="A14" s="220" t="s">
        <v>491</v>
      </c>
      <c r="B14" s="88"/>
      <c r="C14" s="147">
        <v>0.13220000000000001</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M23"/>
  <sheetViews>
    <sheetView workbookViewId="0">
      <selection activeCell="B9" sqref="B9"/>
    </sheetView>
  </sheetViews>
  <sheetFormatPr baseColWidth="10" defaultColWidth="10.83203125" defaultRowHeight="19" customHeight="1" x14ac:dyDescent="0"/>
  <cols>
    <col min="1" max="1" width="58.6640625" style="11" customWidth="1"/>
    <col min="2" max="2" width="13.1640625" style="84" customWidth="1"/>
    <col min="3" max="4" width="13.6640625" style="8" customWidth="1"/>
    <col min="5" max="5" width="14.83203125" style="8" customWidth="1"/>
    <col min="6" max="6" width="12.6640625" style="8" customWidth="1"/>
    <col min="7" max="7" width="13.6640625" style="8" customWidth="1"/>
    <col min="8" max="8" width="12.5" style="8" customWidth="1"/>
    <col min="9" max="11" width="10.83203125" style="8"/>
    <col min="12" max="12" width="13.5" style="8" customWidth="1"/>
    <col min="13" max="13" width="13.1640625" style="8" customWidth="1"/>
    <col min="14" max="16384" width="10.83203125" style="8"/>
  </cols>
  <sheetData>
    <row r="1" spans="1:13" ht="43" customHeight="1">
      <c r="A1" s="48" t="s">
        <v>198</v>
      </c>
    </row>
    <row r="2" spans="1:13" ht="69.75" customHeight="1">
      <c r="A2" s="33"/>
      <c r="B2" s="85" t="s">
        <v>199</v>
      </c>
      <c r="C2" s="85" t="s">
        <v>200</v>
      </c>
      <c r="D2" s="85" t="s">
        <v>208</v>
      </c>
      <c r="E2" s="85" t="s">
        <v>57</v>
      </c>
      <c r="F2" s="85" t="s">
        <v>404</v>
      </c>
      <c r="G2" s="85" t="s">
        <v>400</v>
      </c>
      <c r="H2" s="85" t="s">
        <v>29</v>
      </c>
      <c r="J2" s="64" t="s">
        <v>204</v>
      </c>
      <c r="K2" s="64" t="s">
        <v>168</v>
      </c>
      <c r="L2" s="65" t="s">
        <v>172</v>
      </c>
      <c r="M2" s="8" t="s">
        <v>201</v>
      </c>
    </row>
    <row r="3" spans="1:13" ht="24" customHeight="1">
      <c r="A3" s="33" t="str">
        <f>"Capitaux propres au 01.01."&amp;[1]_labels!$B$1</f>
        <v>Capitaux propres au 01.01.2015</v>
      </c>
      <c r="B3" s="26">
        <f>ROUND(+C_Bilan!C26/1000,0)</f>
        <v>32000</v>
      </c>
      <c r="C3" s="26">
        <f>ROUND(+C_Bilan!C27/1000,0)</f>
        <v>7661</v>
      </c>
      <c r="D3" s="26">
        <f>+ROUND(+C_Bilan!C28/1000,0)+ROUND(+C_Bilan!C31/1000,0)+29</f>
        <v>81961</v>
      </c>
      <c r="E3" s="26">
        <f>ROUND(+C_Bilan!C24/1000,0)</f>
        <v>18160</v>
      </c>
      <c r="F3" s="26">
        <f>ROUND(+C_Bilan!C29/1000,0)</f>
        <v>0</v>
      </c>
      <c r="G3" s="26"/>
      <c r="H3" s="26">
        <f t="shared" ref="H3:H9" si="0">SUM(B3:G3)</f>
        <v>139782</v>
      </c>
      <c r="J3" s="28">
        <f>+C_Bilan!C33/1000-C_JustificationCapitauxPropres!H3+E3</f>
        <v>-29.255000000004657</v>
      </c>
      <c r="L3" s="67">
        <v>29396</v>
      </c>
      <c r="M3" s="8" t="s">
        <v>203</v>
      </c>
    </row>
    <row r="4" spans="1:13" ht="24" customHeight="1">
      <c r="A4" s="12" t="s">
        <v>206</v>
      </c>
      <c r="B4" s="24"/>
      <c r="D4" s="24">
        <v>-981</v>
      </c>
      <c r="E4" s="24"/>
      <c r="F4" s="24"/>
      <c r="H4" s="24">
        <f t="shared" si="0"/>
        <v>-981</v>
      </c>
      <c r="J4" s="28"/>
    </row>
    <row r="5" spans="1:13" ht="31.5" customHeight="1">
      <c r="A5" s="87" t="s">
        <v>207</v>
      </c>
      <c r="B5" s="24"/>
      <c r="D5" s="24"/>
      <c r="E5" s="24">
        <f>ROUND(-C_Resultat_ProduitsCharges!B35/1000,0)</f>
        <v>5609</v>
      </c>
      <c r="F5" s="24"/>
      <c r="H5" s="24">
        <f t="shared" si="0"/>
        <v>5609</v>
      </c>
      <c r="J5" s="28"/>
    </row>
    <row r="6" spans="1:13" ht="24" customHeight="1">
      <c r="A6" s="12" t="s">
        <v>205</v>
      </c>
      <c r="B6" s="24"/>
      <c r="D6" s="24">
        <f>237-237</f>
        <v>0</v>
      </c>
      <c r="E6" s="24"/>
      <c r="F6" s="24"/>
      <c r="H6" s="24">
        <f t="shared" si="0"/>
        <v>0</v>
      </c>
    </row>
    <row r="7" spans="1:13" ht="24" customHeight="1">
      <c r="A7" s="12" t="s">
        <v>273</v>
      </c>
      <c r="B7" s="24"/>
      <c r="D7" s="24"/>
      <c r="E7" s="24"/>
      <c r="F7" s="24">
        <f>ROUND(+C_Bilan!B29,0)/1000</f>
        <v>29.187999999999999</v>
      </c>
      <c r="H7" s="24">
        <f t="shared" si="0"/>
        <v>29.187999999999999</v>
      </c>
    </row>
    <row r="8" spans="1:13" ht="24" customHeight="1">
      <c r="A8" s="12" t="s">
        <v>400</v>
      </c>
      <c r="B8" s="24"/>
      <c r="G8" s="24">
        <f>ROUND(+C_Bilan!B31/1000,0)</f>
        <v>15052</v>
      </c>
      <c r="H8" s="24">
        <f t="shared" si="0"/>
        <v>15052</v>
      </c>
    </row>
    <row r="9" spans="1:13" s="10" customFormat="1" ht="24" customHeight="1">
      <c r="A9" s="33" t="s">
        <v>209</v>
      </c>
      <c r="B9" s="26">
        <f>ROUND(+C_Bilan!B26/1000,0)</f>
        <v>32000</v>
      </c>
      <c r="C9" s="26">
        <f>ROUND(+C_Bilan!B27/1000,0)</f>
        <v>7661</v>
      </c>
      <c r="D9" s="26">
        <f>+ROUND(+C_Bilan!B28/1000,0)+1</f>
        <v>80951</v>
      </c>
      <c r="E9" s="26">
        <f>ROUND(+C_Bilan!B24/1000,0)</f>
        <v>23769</v>
      </c>
      <c r="F9" s="26">
        <f>ROUND(+C_Bilan!B29/1000,0)</f>
        <v>29</v>
      </c>
      <c r="G9" s="26">
        <f>ROUND(+C_Bilan!B31/1000,0)</f>
        <v>15052</v>
      </c>
      <c r="H9" s="26">
        <f t="shared" si="0"/>
        <v>159462</v>
      </c>
      <c r="J9" s="10">
        <f>+C_Bilan!B33/1000-C_JustificationCapitauxPropres!H9+C_JustificationCapitauxPropres!E9</f>
        <v>-0.13000000000465661</v>
      </c>
      <c r="K9" s="10">
        <v>1</v>
      </c>
      <c r="M9" s="86" t="s">
        <v>202</v>
      </c>
    </row>
    <row r="10" spans="1:13" ht="36" customHeight="1"/>
    <row r="11" spans="1:13" ht="24" customHeight="1">
      <c r="A11" s="11" t="s">
        <v>204</v>
      </c>
      <c r="B11" s="84">
        <f t="shared" ref="B11:H11" si="1">SUM(B3:B8)-B9</f>
        <v>0</v>
      </c>
      <c r="C11" s="84">
        <f t="shared" si="1"/>
        <v>0</v>
      </c>
      <c r="D11" s="84">
        <f t="shared" si="1"/>
        <v>29</v>
      </c>
      <c r="E11" s="84">
        <f t="shared" si="1"/>
        <v>0</v>
      </c>
      <c r="F11" s="84">
        <f t="shared" ref="F11" si="2">SUM(F3:F8)-F9</f>
        <v>0.18799999999999883</v>
      </c>
      <c r="G11" s="84">
        <f t="shared" si="1"/>
        <v>0</v>
      </c>
      <c r="H11" s="84">
        <f t="shared" si="1"/>
        <v>29.187999999994645</v>
      </c>
    </row>
    <row r="12" spans="1:13" ht="24" customHeight="1">
      <c r="A12" s="11" t="s">
        <v>210</v>
      </c>
      <c r="D12" s="8">
        <v>-29188</v>
      </c>
    </row>
    <row r="13" spans="1:13" ht="24" customHeight="1"/>
    <row r="14" spans="1:13" ht="24" customHeight="1"/>
    <row r="15" spans="1:13" ht="24" customHeight="1"/>
    <row r="16" spans="1:13" ht="24" customHeight="1"/>
    <row r="17" ht="24" customHeight="1"/>
    <row r="18" ht="36" customHeight="1"/>
    <row r="19" ht="24" customHeight="1"/>
    <row r="20" ht="24" customHeight="1"/>
    <row r="21" ht="24" customHeight="1"/>
    <row r="22" ht="24" customHeight="1"/>
    <row r="23" ht="24" customHeight="1"/>
  </sheetData>
  <pageMargins left="0.46" right="0.52" top="1" bottom="1" header="0.5" footer="0.5"/>
  <pageSetup paperSize="9" scale="56" orientation="portrait"/>
  <legacyDrawing r:id="rId1"/>
  <extLst>
    <ext xmlns:mx="http://schemas.microsoft.com/office/mac/excel/2008/main" uri="{64002731-A6B0-56B0-2670-7721B7C09600}">
      <mx:PLV Mode="0" OnePage="0" WScale="10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E13"/>
  <sheetViews>
    <sheetView workbookViewId="0">
      <selection activeCell="A3" sqref="A3:XFD3"/>
    </sheetView>
  </sheetViews>
  <sheetFormatPr baseColWidth="10" defaultColWidth="10.83203125" defaultRowHeight="19" customHeight="1" x14ac:dyDescent="0"/>
  <cols>
    <col min="1" max="1" width="74" style="11" bestFit="1" customWidth="1"/>
    <col min="2" max="2" width="17.33203125" style="7" bestFit="1" customWidth="1"/>
    <col min="3" max="3" width="14.1640625" style="7" customWidth="1"/>
    <col min="4" max="4" width="13.6640625" style="8" customWidth="1"/>
    <col min="5" max="5" width="13.83203125" style="8" customWidth="1"/>
    <col min="6" max="16384" width="10.83203125" style="8"/>
  </cols>
  <sheetData>
    <row r="1" spans="1:5" ht="43" customHeight="1">
      <c r="A1" s="48" t="s">
        <v>500</v>
      </c>
    </row>
    <row r="2" spans="1:5" ht="38.25" customHeight="1">
      <c r="A2" s="19" t="s">
        <v>483</v>
      </c>
      <c r="C2" s="88"/>
    </row>
    <row r="3" spans="1:5" ht="38.25" customHeight="1">
      <c r="A3" s="19"/>
      <c r="C3" s="88"/>
    </row>
    <row r="4" spans="1:5" ht="30.75" customHeight="1">
      <c r="A4" s="9" t="s">
        <v>505</v>
      </c>
      <c r="B4" s="226" t="s">
        <v>501</v>
      </c>
      <c r="C4" s="226" t="s">
        <v>502</v>
      </c>
      <c r="D4" s="226" t="s">
        <v>503</v>
      </c>
      <c r="E4" s="226" t="s">
        <v>504</v>
      </c>
    </row>
    <row r="5" spans="1:5" ht="27" customHeight="1">
      <c r="A5" s="224" t="s">
        <v>496</v>
      </c>
      <c r="B5" s="24">
        <v>413067</v>
      </c>
      <c r="C5" s="24">
        <v>384046</v>
      </c>
      <c r="D5" s="24">
        <v>323260</v>
      </c>
      <c r="E5" s="24">
        <v>311121</v>
      </c>
    </row>
    <row r="6" spans="1:5" ht="31.5" customHeight="1">
      <c r="A6" s="224" t="s">
        <v>495</v>
      </c>
      <c r="B6" s="24">
        <v>121855</v>
      </c>
      <c r="C6" s="24">
        <v>123548</v>
      </c>
      <c r="D6" s="24">
        <v>159824</v>
      </c>
      <c r="E6" s="24">
        <v>155719</v>
      </c>
    </row>
    <row r="7" spans="1:5" ht="35.25" customHeight="1">
      <c r="A7" s="149" t="s">
        <v>494</v>
      </c>
      <c r="B7" s="147">
        <f>+B5/B6</f>
        <v>3.3898239711132083</v>
      </c>
      <c r="C7" s="147">
        <f t="shared" ref="C7:E7" si="0">+C5/C6</f>
        <v>3.1084760578884318</v>
      </c>
      <c r="D7" s="147">
        <f t="shared" si="0"/>
        <v>2.0225998598458306</v>
      </c>
      <c r="E7" s="147">
        <f t="shared" si="0"/>
        <v>1.9979642818153212</v>
      </c>
    </row>
    <row r="11" spans="1:5" ht="19" customHeight="1">
      <c r="B11" s="24"/>
      <c r="C11" s="24"/>
      <c r="D11" s="24"/>
      <c r="E11" s="24"/>
    </row>
    <row r="12" spans="1:5" ht="19" customHeight="1">
      <c r="B12" s="24"/>
      <c r="C12" s="24"/>
      <c r="D12" s="24"/>
      <c r="E12" s="24"/>
    </row>
    <row r="13" spans="1:5" ht="19" customHeight="1">
      <c r="B13" s="147"/>
      <c r="C13" s="147"/>
      <c r="D13" s="147"/>
      <c r="E13" s="147"/>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B6"/>
  <sheetViews>
    <sheetView workbookViewId="0">
      <selection activeCell="B5" sqref="B5"/>
    </sheetView>
  </sheetViews>
  <sheetFormatPr baseColWidth="10" defaultColWidth="10.83203125" defaultRowHeight="19" customHeight="1" x14ac:dyDescent="0"/>
  <cols>
    <col min="1" max="1" width="74" style="11" bestFit="1" customWidth="1"/>
    <col min="2" max="2" width="20.83203125" style="7" customWidth="1"/>
    <col min="3" max="16384" width="10.83203125" style="8"/>
  </cols>
  <sheetData>
    <row r="1" spans="1:2" ht="43" customHeight="1">
      <c r="A1" s="48" t="s">
        <v>500</v>
      </c>
    </row>
    <row r="2" spans="1:2" ht="34.5" customHeight="1">
      <c r="A2" s="19" t="s">
        <v>492</v>
      </c>
    </row>
    <row r="3" spans="1:2" ht="19" customHeight="1">
      <c r="B3" s="227" t="s">
        <v>401</v>
      </c>
    </row>
    <row r="4" spans="1:2" ht="31.5" customHeight="1">
      <c r="A4" s="12" t="s">
        <v>148</v>
      </c>
      <c r="B4" s="24">
        <v>153607</v>
      </c>
    </row>
    <row r="5" spans="1:2" ht="31.5" customHeight="1">
      <c r="A5" s="224" t="s">
        <v>493</v>
      </c>
      <c r="B5" s="24">
        <v>2436686</v>
      </c>
    </row>
    <row r="6" spans="1:2" ht="31.5" customHeight="1">
      <c r="A6" s="149" t="s">
        <v>492</v>
      </c>
      <c r="B6" s="147">
        <f t="shared" ref="B6" si="0">+B4/B5</f>
        <v>6.3039308306445718E-2</v>
      </c>
    </row>
  </sheetData>
  <pageMargins left="0.75000000000000011" right="0.46" top="1" bottom="1" header="0.5" footer="0.5"/>
  <pageSetup paperSize="9" scale="74" orientation="portrait" horizontalDpi="1200" verticalDpi="1200"/>
  <extLst>
    <ext xmlns:mx="http://schemas.microsoft.com/office/mac/excel/2008/main" uri="{64002731-A6B0-56B0-2670-7721B7C09600}">
      <mx:PLV Mode="0" OnePage="0" WScale="10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B2"/>
  <sheetViews>
    <sheetView showGridLines="0" workbookViewId="0">
      <selection activeCell="B2" sqref="B2"/>
    </sheetView>
  </sheetViews>
  <sheetFormatPr baseColWidth="10" defaultColWidth="14.1640625" defaultRowHeight="20" customHeight="1" x14ac:dyDescent="0"/>
  <cols>
    <col min="1" max="1" width="14.1640625" style="4"/>
    <col min="2" max="2" width="14.1640625" style="5"/>
    <col min="3" max="16384" width="14.1640625" style="3"/>
  </cols>
  <sheetData>
    <row r="1" spans="1:2" ht="20" customHeight="1">
      <c r="A1" s="1" t="s">
        <v>1</v>
      </c>
      <c r="B1" s="2">
        <v>2016</v>
      </c>
    </row>
    <row r="2" spans="1:2" ht="20" customHeight="1">
      <c r="A2" s="1" t="s">
        <v>458</v>
      </c>
      <c r="B2" s="2">
        <f>+B1-1</f>
        <v>2015</v>
      </c>
    </row>
  </sheetData>
  <pageMargins left="0.75000000000000011" right="0.75000000000000011" top="1" bottom="1" header="0.5" footer="0.5"/>
  <headerFooter alignWithMargins="0"/>
  <rowBreaks count="1" manualBreakCount="1">
    <brk id="1" max="16383" man="1"/>
  </rowBreaks>
  <colBreaks count="1" manualBreakCount="1">
    <brk id="2"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2"/>
  <sheetViews>
    <sheetView workbookViewId="0">
      <pane ySplit="3" topLeftCell="A4" activePane="bottomLeft" state="frozen"/>
      <selection pane="bottomLeft" activeCell="A26" sqref="A26"/>
    </sheetView>
  </sheetViews>
  <sheetFormatPr baseColWidth="10" defaultColWidth="10.83203125" defaultRowHeight="19" customHeight="1" outlineLevelRow="1" x14ac:dyDescent="0"/>
  <cols>
    <col min="1" max="1" width="60" style="11" customWidth="1"/>
    <col min="2" max="5" width="15.83203125" style="7" customWidth="1"/>
    <col min="6" max="16384" width="10.83203125" style="8"/>
  </cols>
  <sheetData>
    <row r="1" spans="1:7" ht="43" customHeight="1">
      <c r="A1" s="48" t="s">
        <v>457</v>
      </c>
      <c r="D1" s="16"/>
      <c r="E1" s="16"/>
    </row>
    <row r="2" spans="1:7" ht="43" customHeight="1">
      <c r="A2" s="19"/>
      <c r="B2" s="231">
        <f>_labels!$B$1</f>
        <v>2016</v>
      </c>
      <c r="C2" s="231"/>
      <c r="D2" s="232">
        <f>_labels!$B$1-1</f>
        <v>2015</v>
      </c>
      <c r="E2" s="232"/>
    </row>
    <row r="3" spans="1:7" ht="43" customHeight="1">
      <c r="A3" s="19"/>
      <c r="B3" s="16" t="s">
        <v>54</v>
      </c>
      <c r="C3" s="16" t="s">
        <v>55</v>
      </c>
      <c r="D3" s="37" t="s">
        <v>54</v>
      </c>
      <c r="E3" s="37" t="s">
        <v>55</v>
      </c>
      <c r="G3" s="8" t="s">
        <v>168</v>
      </c>
    </row>
    <row r="4" spans="1:7" ht="36" customHeight="1">
      <c r="A4" s="9" t="s">
        <v>67</v>
      </c>
      <c r="B4" s="13"/>
      <c r="C4" s="14"/>
      <c r="D4" s="8"/>
      <c r="E4" s="8"/>
    </row>
    <row r="5" spans="1:7" ht="24" customHeight="1">
      <c r="A5" s="20" t="s">
        <v>56</v>
      </c>
      <c r="B5" s="24">
        <v>15052</v>
      </c>
      <c r="C5" s="24">
        <v>0</v>
      </c>
      <c r="D5" s="25">
        <v>11482</v>
      </c>
      <c r="E5" s="25">
        <v>0</v>
      </c>
    </row>
    <row r="6" spans="1:7" ht="24" customHeight="1">
      <c r="A6" s="20" t="s">
        <v>196</v>
      </c>
      <c r="B6" s="24">
        <v>5609</v>
      </c>
      <c r="C6" s="24">
        <v>0</v>
      </c>
      <c r="D6" s="25"/>
      <c r="E6" s="25">
        <v>1706</v>
      </c>
    </row>
    <row r="7" spans="1:7" ht="31.5" customHeight="1">
      <c r="A7" s="126" t="s">
        <v>367</v>
      </c>
      <c r="B7" s="24">
        <v>2836</v>
      </c>
      <c r="C7" s="24">
        <v>0</v>
      </c>
      <c r="D7" s="25">
        <f>1407+3034</f>
        <v>4441</v>
      </c>
      <c r="E7" s="25">
        <v>0</v>
      </c>
      <c r="F7" s="28"/>
    </row>
    <row r="8" spans="1:7" ht="24" customHeight="1">
      <c r="A8" s="20" t="s">
        <v>368</v>
      </c>
      <c r="B8" s="151">
        <v>3288</v>
      </c>
      <c r="C8" s="24">
        <v>0</v>
      </c>
      <c r="D8" s="31">
        <v>0</v>
      </c>
      <c r="E8" s="25">
        <v>444</v>
      </c>
    </row>
    <row r="9" spans="1:7" ht="30.75" customHeight="1">
      <c r="A9" s="126" t="s">
        <v>369</v>
      </c>
      <c r="B9" s="24">
        <f>21+960-3</f>
        <v>978</v>
      </c>
      <c r="C9" s="24">
        <v>0</v>
      </c>
      <c r="D9" s="31">
        <v>0</v>
      </c>
      <c r="E9" s="25">
        <v>1706</v>
      </c>
      <c r="G9" s="8" t="s">
        <v>388</v>
      </c>
    </row>
    <row r="10" spans="1:7" ht="24" customHeight="1">
      <c r="A10" s="20" t="s">
        <v>389</v>
      </c>
      <c r="B10" s="151">
        <v>0</v>
      </c>
      <c r="C10" s="24">
        <v>2572</v>
      </c>
      <c r="D10" s="31">
        <v>0</v>
      </c>
      <c r="E10" s="25">
        <v>2084</v>
      </c>
    </row>
    <row r="11" spans="1:7" ht="24" customHeight="1">
      <c r="A11" s="20" t="s">
        <v>390</v>
      </c>
      <c r="B11" s="151">
        <v>0</v>
      </c>
      <c r="C11" s="24">
        <v>800</v>
      </c>
      <c r="D11" s="31">
        <v>0</v>
      </c>
      <c r="E11" s="25">
        <v>6530</v>
      </c>
    </row>
    <row r="12" spans="1:7" ht="24" customHeight="1">
      <c r="A12" s="20" t="s">
        <v>370</v>
      </c>
      <c r="B12" s="24">
        <v>0</v>
      </c>
      <c r="C12" s="151">
        <f>1354+1087</f>
        <v>2441</v>
      </c>
      <c r="D12" s="25">
        <v>5701</v>
      </c>
      <c r="E12" s="31">
        <v>0</v>
      </c>
    </row>
    <row r="13" spans="1:7" ht="24" customHeight="1">
      <c r="A13" s="20" t="s">
        <v>58</v>
      </c>
      <c r="B13" s="151">
        <v>0</v>
      </c>
      <c r="C13" s="24">
        <v>981</v>
      </c>
      <c r="D13" s="31">
        <v>0</v>
      </c>
      <c r="E13" s="25">
        <v>78</v>
      </c>
    </row>
    <row r="14" spans="1:7" s="10" customFormat="1" ht="24" customHeight="1">
      <c r="A14" s="23" t="s">
        <v>59</v>
      </c>
      <c r="B14" s="26">
        <f>SUM(B5:B13)-SUM(C5:C13)</f>
        <v>20969</v>
      </c>
      <c r="C14" s="26">
        <v>0</v>
      </c>
      <c r="D14" s="27">
        <f>SUM(D5:D13)-SUM(E5:E13)</f>
        <v>9076</v>
      </c>
      <c r="E14" s="47">
        <v>0</v>
      </c>
    </row>
    <row r="15" spans="1:7" ht="36" customHeight="1">
      <c r="A15" s="9" t="s">
        <v>66</v>
      </c>
      <c r="B15" s="24"/>
      <c r="C15" s="25"/>
      <c r="D15" s="28"/>
      <c r="E15" s="28"/>
    </row>
    <row r="16" spans="1:7" ht="24" customHeight="1">
      <c r="A16" s="20" t="s">
        <v>347</v>
      </c>
      <c r="B16" s="24">
        <v>0</v>
      </c>
      <c r="C16" s="151">
        <v>0</v>
      </c>
      <c r="D16" s="25">
        <v>0</v>
      </c>
      <c r="E16" s="31">
        <v>0</v>
      </c>
    </row>
    <row r="17" spans="1:8" ht="24" customHeight="1">
      <c r="A17" s="20" t="s">
        <v>371</v>
      </c>
      <c r="B17" s="24">
        <f>14100*0</f>
        <v>0</v>
      </c>
      <c r="C17" s="151">
        <v>0</v>
      </c>
      <c r="D17" s="25">
        <v>362</v>
      </c>
      <c r="E17" s="31">
        <v>0</v>
      </c>
    </row>
    <row r="18" spans="1:8" ht="24" customHeight="1">
      <c r="A18" s="20" t="s">
        <v>372</v>
      </c>
      <c r="B18" s="24">
        <v>0</v>
      </c>
      <c r="C18" s="151">
        <v>0</v>
      </c>
      <c r="D18" s="25">
        <v>0</v>
      </c>
      <c r="E18" s="31">
        <v>0</v>
      </c>
    </row>
    <row r="19" spans="1:8" s="10" customFormat="1" ht="24" customHeight="1">
      <c r="A19" s="23" t="s">
        <v>59</v>
      </c>
      <c r="B19" s="26">
        <f>SUM(B16:B18)-SUM(C16:C18)</f>
        <v>0</v>
      </c>
      <c r="C19" s="152">
        <v>0</v>
      </c>
      <c r="D19" s="27">
        <f>+D18-E18</f>
        <v>0</v>
      </c>
      <c r="E19" s="47">
        <v>0</v>
      </c>
    </row>
    <row r="20" spans="1:8" ht="36" customHeight="1">
      <c r="A20" s="149" t="s">
        <v>373</v>
      </c>
      <c r="B20" s="24"/>
      <c r="C20" s="25"/>
      <c r="D20" s="28"/>
      <c r="E20" s="28"/>
    </row>
    <row r="21" spans="1:8" ht="24" customHeight="1">
      <c r="A21" s="20" t="s">
        <v>17</v>
      </c>
      <c r="B21" s="151">
        <v>0</v>
      </c>
      <c r="C21" s="24">
        <v>137</v>
      </c>
      <c r="D21" s="31">
        <v>0</v>
      </c>
      <c r="E21" s="25">
        <v>1148</v>
      </c>
    </row>
    <row r="22" spans="1:8" ht="24" hidden="1" customHeight="1" outlineLevel="1">
      <c r="A22" s="20" t="s">
        <v>374</v>
      </c>
      <c r="B22" s="151">
        <v>0</v>
      </c>
      <c r="C22" s="151">
        <v>0</v>
      </c>
      <c r="D22" s="31">
        <v>0</v>
      </c>
      <c r="E22" s="25">
        <v>0</v>
      </c>
    </row>
    <row r="23" spans="1:8" ht="24" customHeight="1" collapsed="1">
      <c r="A23" s="20" t="s">
        <v>60</v>
      </c>
      <c r="B23" s="151">
        <v>0</v>
      </c>
      <c r="C23" s="24">
        <f>2754</f>
        <v>2754</v>
      </c>
      <c r="D23" s="31">
        <v>0</v>
      </c>
      <c r="E23" s="25">
        <v>1072</v>
      </c>
      <c r="G23" s="28">
        <f>+C23+C24-B7</f>
        <v>6142</v>
      </c>
    </row>
    <row r="24" spans="1:8" ht="24" customHeight="1">
      <c r="A24" s="20" t="s">
        <v>61</v>
      </c>
      <c r="B24" s="24"/>
      <c r="C24" s="24">
        <f>6224</f>
        <v>6224</v>
      </c>
      <c r="D24" s="31">
        <v>0</v>
      </c>
      <c r="E24" s="25">
        <v>781</v>
      </c>
      <c r="G24" s="8">
        <f>1293+4874</f>
        <v>6167</v>
      </c>
      <c r="H24" s="28">
        <f>+G24-G23</f>
        <v>25</v>
      </c>
    </row>
    <row r="25" spans="1:8" s="10" customFormat="1" ht="24" customHeight="1">
      <c r="A25" s="23" t="s">
        <v>59</v>
      </c>
      <c r="B25" s="26">
        <f>SUM(B21:B24)-SUM(C21:C24)</f>
        <v>-9115</v>
      </c>
      <c r="C25" s="26">
        <v>0</v>
      </c>
      <c r="D25" s="47">
        <v>0</v>
      </c>
      <c r="E25" s="27">
        <f>SUM(E21:E24)</f>
        <v>3001</v>
      </c>
    </row>
    <row r="26" spans="1:8" s="58" customFormat="1" ht="43" customHeight="1">
      <c r="A26" s="56" t="s">
        <v>467</v>
      </c>
      <c r="B26" s="231">
        <f>_labels!$B$1</f>
        <v>2016</v>
      </c>
      <c r="C26" s="231"/>
      <c r="D26" s="232">
        <f>_labels!$B$1-1</f>
        <v>2015</v>
      </c>
      <c r="E26" s="232"/>
    </row>
    <row r="27" spans="1:8" s="58" customFormat="1" ht="43" customHeight="1">
      <c r="A27" s="56"/>
      <c r="B27" s="59" t="s">
        <v>54</v>
      </c>
      <c r="C27" s="59" t="s">
        <v>55</v>
      </c>
      <c r="D27" s="59" t="s">
        <v>54</v>
      </c>
      <c r="E27" s="59" t="s">
        <v>55</v>
      </c>
    </row>
    <row r="28" spans="1:8" ht="36" customHeight="1">
      <c r="A28" s="9" t="s">
        <v>62</v>
      </c>
      <c r="B28" s="24"/>
      <c r="C28" s="25"/>
      <c r="D28" s="28"/>
      <c r="E28" s="28"/>
    </row>
    <row r="29" spans="1:8" ht="24" customHeight="1">
      <c r="A29" s="20" t="s">
        <v>375</v>
      </c>
      <c r="B29" s="24"/>
      <c r="C29" s="24"/>
      <c r="D29" s="25"/>
      <c r="E29" s="25"/>
    </row>
    <row r="30" spans="1:8" ht="24" hidden="1" customHeight="1" outlineLevel="1">
      <c r="A30" s="32" t="s">
        <v>64</v>
      </c>
      <c r="B30" s="151">
        <v>0</v>
      </c>
      <c r="C30" s="24">
        <v>0</v>
      </c>
      <c r="D30" s="31">
        <v>0</v>
      </c>
      <c r="E30" s="25">
        <v>0</v>
      </c>
    </row>
    <row r="31" spans="1:8" ht="24" hidden="1" customHeight="1" outlineLevel="1">
      <c r="A31" s="32" t="s">
        <v>280</v>
      </c>
      <c r="B31" s="151">
        <v>0</v>
      </c>
      <c r="C31" s="24">
        <v>0</v>
      </c>
      <c r="D31" s="31">
        <v>0</v>
      </c>
      <c r="E31" s="25">
        <v>0</v>
      </c>
    </row>
    <row r="32" spans="1:8" ht="30.75" hidden="1" customHeight="1" outlineLevel="1">
      <c r="A32" s="150" t="s">
        <v>468</v>
      </c>
      <c r="B32" s="151">
        <v>0</v>
      </c>
      <c r="C32" s="24">
        <v>0</v>
      </c>
      <c r="D32" s="31">
        <v>0</v>
      </c>
      <c r="E32" s="25">
        <v>0</v>
      </c>
    </row>
    <row r="33" spans="1:7" ht="24" hidden="1" customHeight="1" outlineLevel="1">
      <c r="A33" s="32" t="s">
        <v>376</v>
      </c>
      <c r="B33" s="151">
        <v>0</v>
      </c>
      <c r="C33" s="24">
        <v>0</v>
      </c>
      <c r="D33" s="31">
        <v>0</v>
      </c>
      <c r="E33" s="25">
        <v>0</v>
      </c>
    </row>
    <row r="34" spans="1:7" ht="24" hidden="1" customHeight="1" outlineLevel="1">
      <c r="A34" s="32" t="s">
        <v>377</v>
      </c>
      <c r="B34" s="151">
        <v>0</v>
      </c>
      <c r="C34" s="24">
        <v>0</v>
      </c>
      <c r="D34" s="31">
        <v>0</v>
      </c>
      <c r="E34" s="25">
        <v>0</v>
      </c>
    </row>
    <row r="35" spans="1:7" ht="24" hidden="1" customHeight="1" outlineLevel="1">
      <c r="A35" s="32" t="s">
        <v>378</v>
      </c>
      <c r="B35" s="151">
        <v>0</v>
      </c>
      <c r="C35" s="24">
        <v>0</v>
      </c>
      <c r="D35" s="31">
        <v>0</v>
      </c>
      <c r="E35" s="25">
        <v>0</v>
      </c>
    </row>
    <row r="36" spans="1:7" ht="24" hidden="1" customHeight="1" outlineLevel="1">
      <c r="A36" s="32" t="s">
        <v>379</v>
      </c>
      <c r="B36" s="151">
        <v>0</v>
      </c>
      <c r="C36" s="24">
        <v>0</v>
      </c>
      <c r="D36" s="31">
        <v>0</v>
      </c>
      <c r="E36" s="25">
        <v>0</v>
      </c>
    </row>
    <row r="37" spans="1:7" ht="24" hidden="1" customHeight="1" outlineLevel="1">
      <c r="A37" s="32" t="s">
        <v>380</v>
      </c>
      <c r="B37" s="151">
        <v>0</v>
      </c>
      <c r="C37" s="24">
        <v>0</v>
      </c>
      <c r="D37" s="31">
        <v>0</v>
      </c>
      <c r="E37" s="25">
        <v>0</v>
      </c>
    </row>
    <row r="38" spans="1:7" ht="24" hidden="1" customHeight="1" outlineLevel="1">
      <c r="A38" s="32" t="s">
        <v>14</v>
      </c>
      <c r="B38" s="151">
        <v>0</v>
      </c>
      <c r="C38" s="24">
        <v>0</v>
      </c>
      <c r="D38" s="31">
        <v>0</v>
      </c>
      <c r="E38" s="25">
        <v>0</v>
      </c>
    </row>
    <row r="39" spans="1:7" ht="24" customHeight="1" collapsed="1">
      <c r="A39" s="32" t="s">
        <v>15</v>
      </c>
      <c r="B39" s="151">
        <v>147212</v>
      </c>
      <c r="C39" s="24">
        <v>0</v>
      </c>
      <c r="D39" s="31">
        <v>0</v>
      </c>
      <c r="E39" s="25">
        <v>0</v>
      </c>
    </row>
    <row r="40" spans="1:7" ht="24" hidden="1" customHeight="1" outlineLevel="1">
      <c r="A40" s="32" t="s">
        <v>381</v>
      </c>
      <c r="B40" s="151">
        <v>0</v>
      </c>
      <c r="C40" s="24">
        <v>0</v>
      </c>
      <c r="D40" s="31">
        <v>0</v>
      </c>
      <c r="E40" s="25">
        <v>0</v>
      </c>
    </row>
    <row r="41" spans="1:7" ht="24" hidden="1" customHeight="1" outlineLevel="1">
      <c r="A41" s="32" t="s">
        <v>382</v>
      </c>
      <c r="B41" s="151">
        <v>0</v>
      </c>
      <c r="C41" s="24">
        <v>0</v>
      </c>
      <c r="D41" s="31">
        <v>0</v>
      </c>
      <c r="E41" s="25">
        <v>0</v>
      </c>
    </row>
    <row r="42" spans="1:7" ht="24" customHeight="1" collapsed="1">
      <c r="A42" s="32" t="s">
        <v>16</v>
      </c>
      <c r="B42" s="24">
        <v>0</v>
      </c>
      <c r="C42" s="151">
        <f>185763+G42</f>
        <v>185762</v>
      </c>
      <c r="D42" s="25">
        <v>22077</v>
      </c>
      <c r="E42" s="31">
        <v>0</v>
      </c>
      <c r="G42" s="8">
        <v>-1</v>
      </c>
    </row>
    <row r="43" spans="1:7" ht="24" hidden="1" customHeight="1" outlineLevel="1">
      <c r="A43" s="32" t="s">
        <v>383</v>
      </c>
      <c r="B43" s="151">
        <v>0</v>
      </c>
      <c r="C43" s="24">
        <v>0</v>
      </c>
      <c r="D43" s="31">
        <v>0</v>
      </c>
      <c r="E43" s="25">
        <v>0</v>
      </c>
    </row>
    <row r="44" spans="1:7" ht="36" customHeight="1" collapsed="1">
      <c r="A44" s="20" t="s">
        <v>63</v>
      </c>
      <c r="B44" s="24"/>
      <c r="C44" s="24"/>
      <c r="D44" s="25"/>
      <c r="E44" s="25"/>
    </row>
    <row r="45" spans="1:7" ht="24" customHeight="1">
      <c r="A45" s="32" t="s">
        <v>64</v>
      </c>
      <c r="B45" s="24">
        <v>0</v>
      </c>
      <c r="C45" s="151">
        <v>6685</v>
      </c>
      <c r="D45" s="25">
        <v>22234</v>
      </c>
      <c r="E45" s="31">
        <v>0</v>
      </c>
    </row>
    <row r="46" spans="1:7" ht="24" hidden="1" customHeight="1" outlineLevel="1">
      <c r="A46" s="32" t="s">
        <v>384</v>
      </c>
      <c r="B46" s="24">
        <v>0</v>
      </c>
      <c r="C46" s="151">
        <v>0</v>
      </c>
      <c r="D46" s="25">
        <v>0</v>
      </c>
      <c r="E46" s="31">
        <v>0</v>
      </c>
    </row>
    <row r="47" spans="1:7" ht="24" customHeight="1" collapsed="1">
      <c r="A47" s="32" t="s">
        <v>280</v>
      </c>
      <c r="B47" s="24">
        <v>144062</v>
      </c>
      <c r="C47" s="151">
        <v>0</v>
      </c>
      <c r="D47" s="25">
        <v>556501</v>
      </c>
      <c r="E47" s="31">
        <v>0</v>
      </c>
    </row>
    <row r="48" spans="1:7" ht="24" hidden="1" customHeight="1" outlineLevel="1">
      <c r="A48" s="32" t="s">
        <v>385</v>
      </c>
      <c r="B48" s="24">
        <v>0</v>
      </c>
      <c r="C48" s="151">
        <v>0</v>
      </c>
      <c r="D48" s="25">
        <v>0</v>
      </c>
      <c r="E48" s="31">
        <v>0</v>
      </c>
    </row>
    <row r="49" spans="1:7" ht="24" customHeight="1" collapsed="1">
      <c r="A49" s="32" t="s">
        <v>176</v>
      </c>
      <c r="B49" s="24">
        <v>0</v>
      </c>
      <c r="C49" s="151">
        <v>1668</v>
      </c>
      <c r="D49" s="25">
        <v>0</v>
      </c>
      <c r="E49" s="31">
        <v>0</v>
      </c>
    </row>
    <row r="50" spans="1:7" ht="30.75" hidden="1" customHeight="1" outlineLevel="1">
      <c r="A50" s="150" t="s">
        <v>468</v>
      </c>
      <c r="B50" s="24">
        <v>0</v>
      </c>
      <c r="C50" s="151">
        <v>0</v>
      </c>
      <c r="D50" s="25">
        <v>0</v>
      </c>
      <c r="E50" s="31">
        <v>0</v>
      </c>
    </row>
    <row r="51" spans="1:7" ht="24" customHeight="1" collapsed="1">
      <c r="A51" s="32" t="s">
        <v>14</v>
      </c>
      <c r="B51" s="151">
        <v>352356</v>
      </c>
      <c r="C51" s="24">
        <v>0</v>
      </c>
      <c r="D51" s="31">
        <v>0</v>
      </c>
      <c r="E51" s="25">
        <v>502632</v>
      </c>
    </row>
    <row r="52" spans="1:7" ht="24" hidden="1" customHeight="1" outlineLevel="1">
      <c r="A52" s="32" t="s">
        <v>386</v>
      </c>
      <c r="B52" s="151">
        <v>0</v>
      </c>
      <c r="C52" s="24">
        <v>0</v>
      </c>
      <c r="D52" s="31">
        <v>0</v>
      </c>
      <c r="E52" s="25">
        <v>0</v>
      </c>
    </row>
    <row r="53" spans="1:7" ht="24" customHeight="1" collapsed="1">
      <c r="A53" s="32" t="s">
        <v>15</v>
      </c>
      <c r="B53" s="151">
        <v>0</v>
      </c>
      <c r="C53" s="24">
        <f>346935-16+147212+G53</f>
        <v>494130</v>
      </c>
      <c r="D53" s="31">
        <v>0</v>
      </c>
      <c r="E53" s="25">
        <v>91043</v>
      </c>
      <c r="G53" s="8">
        <v>-1</v>
      </c>
    </row>
    <row r="54" spans="1:7" ht="24" hidden="1" customHeight="1" outlineLevel="1">
      <c r="A54" s="32" t="s">
        <v>387</v>
      </c>
      <c r="B54" s="24">
        <v>0</v>
      </c>
      <c r="C54" s="24">
        <v>0</v>
      </c>
      <c r="D54" s="25">
        <v>0</v>
      </c>
      <c r="E54" s="25">
        <v>0</v>
      </c>
    </row>
    <row r="55" spans="1:7" ht="24" customHeight="1" collapsed="1">
      <c r="A55" s="32" t="s">
        <v>173</v>
      </c>
      <c r="B55" s="24">
        <v>0</v>
      </c>
      <c r="C55" s="24">
        <v>549</v>
      </c>
      <c r="D55" s="25">
        <v>0</v>
      </c>
      <c r="E55" s="25">
        <v>0</v>
      </c>
    </row>
    <row r="56" spans="1:7" ht="24" hidden="1" customHeight="1" outlineLevel="1">
      <c r="A56" s="32" t="s">
        <v>382</v>
      </c>
      <c r="B56" s="24">
        <v>0</v>
      </c>
      <c r="C56" s="24">
        <v>0</v>
      </c>
      <c r="D56" s="25">
        <v>0</v>
      </c>
      <c r="E56" s="25">
        <v>0</v>
      </c>
    </row>
    <row r="57" spans="1:7" ht="24" customHeight="1" collapsed="1">
      <c r="A57" s="32" t="s">
        <v>16</v>
      </c>
      <c r="B57" s="24">
        <f>185763-(94956+993)</f>
        <v>89814</v>
      </c>
      <c r="C57" s="24">
        <v>0</v>
      </c>
      <c r="D57" s="25">
        <v>96481</v>
      </c>
      <c r="E57" s="25">
        <v>25150</v>
      </c>
    </row>
    <row r="58" spans="1:7" ht="36" customHeight="1">
      <c r="A58" s="20" t="s">
        <v>65</v>
      </c>
      <c r="B58" s="24"/>
      <c r="C58" s="24"/>
      <c r="D58" s="25"/>
      <c r="E58" s="25"/>
    </row>
    <row r="59" spans="1:7" ht="24" customHeight="1">
      <c r="A59" s="32" t="s">
        <v>12</v>
      </c>
      <c r="B59" s="151">
        <v>0</v>
      </c>
      <c r="C59" s="24">
        <v>56504</v>
      </c>
      <c r="D59" s="31">
        <v>0</v>
      </c>
      <c r="E59" s="25">
        <v>68056</v>
      </c>
    </row>
    <row r="60" spans="1:7" s="10" customFormat="1" ht="24" customHeight="1">
      <c r="A60" s="23" t="s">
        <v>59</v>
      </c>
      <c r="B60" s="152">
        <v>0</v>
      </c>
      <c r="C60" s="26">
        <f>SUM(C29:C59)-SUM(B29:B59)</f>
        <v>11854</v>
      </c>
      <c r="D60" s="47">
        <v>0</v>
      </c>
      <c r="E60" s="27">
        <f>SUM(E35:E59)-SUM(D35:D59)</f>
        <v>-10412</v>
      </c>
    </row>
    <row r="61" spans="1:7" s="10" customFormat="1" ht="36" customHeight="1">
      <c r="A61" s="9" t="s">
        <v>29</v>
      </c>
      <c r="B61" s="26">
        <f>+B14+B19+B25+B60</f>
        <v>11854</v>
      </c>
      <c r="C61" s="26">
        <f>+C14+C19+C25+C60</f>
        <v>11854</v>
      </c>
      <c r="D61" s="27">
        <f>+D14+D19+D25+D60</f>
        <v>9076</v>
      </c>
      <c r="E61" s="27">
        <f>+E14+E19+E25+E60</f>
        <v>-7411</v>
      </c>
    </row>
    <row r="62" spans="1:7" ht="19" customHeight="1">
      <c r="C62" s="7">
        <f>+C61-B61</f>
        <v>0</v>
      </c>
    </row>
  </sheetData>
  <mergeCells count="4">
    <mergeCell ref="B2:C2"/>
    <mergeCell ref="D2:E2"/>
    <mergeCell ref="B26:C26"/>
    <mergeCell ref="D26:E26"/>
  </mergeCells>
  <pageMargins left="0.46" right="0.39" top="0.67" bottom="0.68" header="0.5" footer="0.5"/>
  <pageSetup paperSize="9" scale="62" orientation="portrait" horizontalDpi="1200" verticalDpi="1200"/>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23"/>
  <sheetViews>
    <sheetView workbookViewId="0">
      <selection activeCell="A23" sqref="A23"/>
    </sheetView>
  </sheetViews>
  <sheetFormatPr baseColWidth="10" defaultColWidth="10.83203125" defaultRowHeight="19" customHeight="1" x14ac:dyDescent="0"/>
  <cols>
    <col min="1" max="1" width="45.6640625" style="11" bestFit="1" customWidth="1"/>
    <col min="2" max="5" width="15.83203125" style="7" customWidth="1"/>
    <col min="6" max="7" width="10.83203125" style="8"/>
    <col min="8" max="8" width="12" style="8" customWidth="1"/>
    <col min="9" max="10" width="15.6640625" style="8" customWidth="1"/>
    <col min="11" max="11" width="19.33203125" style="8" customWidth="1"/>
    <col min="12" max="16384" width="10.83203125" style="8"/>
  </cols>
  <sheetData>
    <row r="1" spans="1:11" ht="43" customHeight="1">
      <c r="A1" s="48" t="s">
        <v>68</v>
      </c>
      <c r="B1" s="17"/>
      <c r="C1" s="17"/>
      <c r="D1" s="17"/>
      <c r="E1" s="17"/>
    </row>
    <row r="2" spans="1:11" ht="43" customHeight="1">
      <c r="A2" s="56" t="s">
        <v>218</v>
      </c>
      <c r="B2" s="92"/>
      <c r="C2" s="92"/>
      <c r="D2" s="92"/>
      <c r="E2" s="92"/>
      <c r="K2" s="8" t="s">
        <v>219</v>
      </c>
    </row>
    <row r="3" spans="1:11" ht="43" customHeight="1">
      <c r="A3" s="19"/>
      <c r="B3" s="233" t="s">
        <v>69</v>
      </c>
      <c r="C3" s="233"/>
      <c r="D3" s="233"/>
      <c r="E3" s="233"/>
    </row>
    <row r="4" spans="1:11" ht="47.25" customHeight="1">
      <c r="A4" s="19"/>
      <c r="B4" s="93" t="s">
        <v>220</v>
      </c>
      <c r="C4" s="93" t="s">
        <v>221</v>
      </c>
      <c r="D4" s="93" t="s">
        <v>222</v>
      </c>
      <c r="E4" s="16" t="s">
        <v>29</v>
      </c>
      <c r="G4" s="8" t="s">
        <v>204</v>
      </c>
      <c r="H4" s="64" t="s">
        <v>168</v>
      </c>
      <c r="I4" s="65" t="s">
        <v>169</v>
      </c>
      <c r="J4" s="65" t="s">
        <v>172</v>
      </c>
      <c r="K4" s="96" t="s">
        <v>170</v>
      </c>
    </row>
    <row r="5" spans="1:11" s="10" customFormat="1" ht="36" customHeight="1">
      <c r="A5" s="80" t="s">
        <v>223</v>
      </c>
      <c r="B5" s="15"/>
      <c r="C5" s="15"/>
      <c r="D5" s="15"/>
      <c r="E5" s="15"/>
      <c r="K5" s="8" t="s">
        <v>219</v>
      </c>
    </row>
    <row r="6" spans="1:11" ht="24" customHeight="1">
      <c r="A6" s="20" t="s">
        <v>15</v>
      </c>
      <c r="B6" s="24">
        <v>0</v>
      </c>
      <c r="C6" s="24">
        <f>876798+487</f>
        <v>877285</v>
      </c>
      <c r="D6" s="24">
        <v>33826</v>
      </c>
      <c r="E6" s="24">
        <f>SUM(B6:D6)</f>
        <v>911111</v>
      </c>
    </row>
    <row r="7" spans="1:11" ht="31">
      <c r="A7" s="94" t="str">
        <f>"Total des prêts (avant compensation avec les corrections de valeur)"</f>
        <v>Total des prêts (avant compensation avec les corrections de valeur)</v>
      </c>
      <c r="B7" s="24"/>
      <c r="C7" s="24"/>
      <c r="D7" s="24"/>
      <c r="E7" s="24"/>
    </row>
    <row r="8" spans="1:11" s="10" customFormat="1" ht="17.25" customHeight="1">
      <c r="A8" s="159" t="str">
        <f>"31.12."&amp;_labels!B1</f>
        <v>31.12.2016</v>
      </c>
      <c r="B8" s="26">
        <v>0</v>
      </c>
      <c r="C8" s="26">
        <f>+C6</f>
        <v>877285</v>
      </c>
      <c r="D8" s="26">
        <f>+D6</f>
        <v>33826</v>
      </c>
      <c r="E8" s="26">
        <f>+E6</f>
        <v>911111</v>
      </c>
      <c r="K8" s="8" t="s">
        <v>219</v>
      </c>
    </row>
    <row r="9" spans="1:11" s="36" customFormat="1" ht="16">
      <c r="A9" s="160" t="str">
        <f>"31.12."&amp;_labels!B2</f>
        <v>31.12.2015</v>
      </c>
      <c r="B9" s="35">
        <v>0</v>
      </c>
      <c r="C9" s="35">
        <f>541042-2259</f>
        <v>538783</v>
      </c>
      <c r="D9" s="35">
        <v>25409</v>
      </c>
      <c r="E9" s="35">
        <f>SUM(B9:D9)</f>
        <v>564192</v>
      </c>
      <c r="J9" s="67">
        <f>+J12</f>
        <v>-2258799.63</v>
      </c>
      <c r="K9" s="8" t="s">
        <v>219</v>
      </c>
    </row>
    <row r="10" spans="1:11" s="36" customFormat="1" ht="31">
      <c r="A10" s="95" t="str">
        <f>"Total des prêts (après compensation avec les corrections de valeur)"</f>
        <v>Total des prêts (après compensation avec les corrections de valeur)</v>
      </c>
      <c r="B10" s="35"/>
      <c r="C10" s="35"/>
      <c r="D10" s="35"/>
      <c r="E10" s="35"/>
      <c r="J10" s="67"/>
      <c r="K10" s="8"/>
    </row>
    <row r="11" spans="1:11" s="10" customFormat="1" ht="16">
      <c r="A11" s="161" t="str">
        <f>"31.12."&amp;_labels!B1</f>
        <v>31.12.2016</v>
      </c>
      <c r="B11" s="26">
        <v>0</v>
      </c>
      <c r="C11" s="26">
        <v>876798</v>
      </c>
      <c r="D11" s="26">
        <v>33826</v>
      </c>
      <c r="E11" s="26">
        <f>SUM(B11:D11)</f>
        <v>910624</v>
      </c>
      <c r="H11" s="67">
        <v>-486.7688</v>
      </c>
      <c r="I11" s="36"/>
      <c r="J11" s="36"/>
      <c r="K11" s="8" t="s">
        <v>178</v>
      </c>
    </row>
    <row r="12" spans="1:11" s="36" customFormat="1" ht="16">
      <c r="A12" s="161" t="str">
        <f>"31.12."&amp;_labels!B2</f>
        <v>31.12.2015</v>
      </c>
      <c r="B12" s="35">
        <v>0</v>
      </c>
      <c r="C12" s="35">
        <f>541042-502-2259</f>
        <v>538281</v>
      </c>
      <c r="D12" s="35">
        <v>25409</v>
      </c>
      <c r="E12" s="35">
        <f>SUM(B12:D12)</f>
        <v>563690</v>
      </c>
      <c r="G12" s="36">
        <f>+C_Bilan!C6/1000-'C_iBilan_ApercuCouv-PretsCompr'!E12</f>
        <v>-0.5659999999916181</v>
      </c>
      <c r="I12" s="67">
        <f>-502440.85/1000</f>
        <v>-502.44084999999995</v>
      </c>
      <c r="J12" s="67">
        <f>+C_Bilan!H6</f>
        <v>-2258799.63</v>
      </c>
      <c r="K12" s="8" t="s">
        <v>178</v>
      </c>
    </row>
    <row r="13" spans="1:11" ht="36" customHeight="1">
      <c r="A13" s="9" t="s">
        <v>70</v>
      </c>
      <c r="B13" s="24"/>
      <c r="C13" s="24"/>
      <c r="D13" s="24"/>
      <c r="E13" s="24"/>
    </row>
    <row r="14" spans="1:11" ht="24" customHeight="1">
      <c r="A14" s="20" t="s">
        <v>9</v>
      </c>
      <c r="B14" s="24">
        <v>0</v>
      </c>
      <c r="C14" s="24">
        <f>5242+H14</f>
        <v>5241</v>
      </c>
      <c r="D14" s="24">
        <v>15</v>
      </c>
      <c r="E14" s="24">
        <f>SUM(B14:D14)</f>
        <v>5256</v>
      </c>
      <c r="H14" s="8">
        <v>-1</v>
      </c>
    </row>
    <row r="15" spans="1:11" ht="24" customHeight="1">
      <c r="A15" s="20" t="s">
        <v>24</v>
      </c>
      <c r="B15" s="24">
        <v>0</v>
      </c>
      <c r="C15" s="24">
        <v>0</v>
      </c>
      <c r="D15" s="24">
        <v>2342</v>
      </c>
      <c r="E15" s="24">
        <f>SUM(B15:D15)</f>
        <v>2342</v>
      </c>
    </row>
    <row r="16" spans="1:11" s="10" customFormat="1" ht="24" customHeight="1">
      <c r="A16" s="49" t="str">
        <f>"Total hors bilan"</f>
        <v>Total hors bilan</v>
      </c>
      <c r="B16" s="26"/>
      <c r="C16" s="26"/>
      <c r="D16" s="26"/>
      <c r="E16" s="26"/>
    </row>
    <row r="17" spans="1:11" s="10" customFormat="1" ht="24" customHeight="1">
      <c r="A17" s="49" t="str">
        <f>"31.12."&amp;_labels!B1</f>
        <v>31.12.2016</v>
      </c>
      <c r="B17" s="26">
        <v>0</v>
      </c>
      <c r="C17" s="26">
        <f>SUM(C14:C15)</f>
        <v>5241</v>
      </c>
      <c r="D17" s="26">
        <f t="shared" ref="D17:E17" si="0">SUM(D14:D15)</f>
        <v>2357</v>
      </c>
      <c r="E17" s="26">
        <f t="shared" si="0"/>
        <v>7598</v>
      </c>
    </row>
    <row r="18" spans="1:11" s="36" customFormat="1" ht="24" customHeight="1">
      <c r="A18" s="50" t="str">
        <f>"31.12."&amp;_labels!B2</f>
        <v>31.12.2015</v>
      </c>
      <c r="B18" s="35">
        <v>0</v>
      </c>
      <c r="C18" s="35">
        <v>26894</v>
      </c>
      <c r="D18" s="35">
        <v>2468</v>
      </c>
      <c r="E18" s="35">
        <v>29362</v>
      </c>
    </row>
    <row r="19" spans="1:11" s="36" customFormat="1" ht="24" customHeight="1">
      <c r="A19" s="34"/>
      <c r="B19" s="35"/>
      <c r="C19" s="35"/>
      <c r="D19" s="35"/>
      <c r="E19" s="35"/>
    </row>
    <row r="20" spans="1:11" ht="43" customHeight="1">
      <c r="A20" s="56" t="s">
        <v>224</v>
      </c>
      <c r="B20" s="231"/>
      <c r="C20" s="231"/>
      <c r="D20" s="231"/>
      <c r="E20" s="231"/>
      <c r="K20" s="8" t="s">
        <v>219</v>
      </c>
    </row>
    <row r="21" spans="1:11" ht="43" customHeight="1">
      <c r="A21" s="19"/>
      <c r="B21" s="16" t="s">
        <v>72</v>
      </c>
      <c r="C21" s="16" t="s">
        <v>73</v>
      </c>
      <c r="D21" s="16" t="s">
        <v>71</v>
      </c>
      <c r="E21" s="93" t="s">
        <v>225</v>
      </c>
      <c r="K21" s="8" t="s">
        <v>219</v>
      </c>
    </row>
    <row r="22" spans="1:11" s="10" customFormat="1" ht="24" customHeight="1">
      <c r="A22" s="33" t="str">
        <f>"31.12."&amp;_labels!B1</f>
        <v>31.12.2016</v>
      </c>
      <c r="B22" s="26">
        <v>487</v>
      </c>
      <c r="C22" s="26">
        <v>0</v>
      </c>
      <c r="D22" s="26">
        <v>487</v>
      </c>
      <c r="E22" s="26">
        <v>487</v>
      </c>
    </row>
    <row r="23" spans="1:11" s="36" customFormat="1" ht="24" customHeight="1">
      <c r="A23" s="46" t="str">
        <f>"31.12."&amp;_labels!B2</f>
        <v>31.12.2015</v>
      </c>
      <c r="B23" s="35">
        <v>502</v>
      </c>
      <c r="C23" s="35">
        <v>0</v>
      </c>
      <c r="D23" s="35">
        <v>502</v>
      </c>
      <c r="E23" s="35">
        <v>502</v>
      </c>
    </row>
  </sheetData>
  <mergeCells count="2">
    <mergeCell ref="B3:E3"/>
    <mergeCell ref="B20:E20"/>
  </mergeCells>
  <pageMargins left="0.43" right="0.35" top="0.89" bottom="1" header="0.5" footer="0.5"/>
  <pageSetup paperSize="9" scale="81" orientation="portrait" horizontalDpi="1200" verticalDpi="1200"/>
  <legacyDrawing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M16"/>
  <sheetViews>
    <sheetView workbookViewId="0">
      <selection activeCell="D10" sqref="D10"/>
    </sheetView>
  </sheetViews>
  <sheetFormatPr baseColWidth="10" defaultColWidth="10.83203125" defaultRowHeight="19" customHeight="1" x14ac:dyDescent="0"/>
  <cols>
    <col min="1" max="1" width="51.33203125" style="11" customWidth="1"/>
    <col min="2" max="7" width="15.83203125" style="88" customWidth="1"/>
    <col min="8" max="10" width="10.83203125" style="8"/>
    <col min="11" max="11" width="11.33203125" style="8" customWidth="1"/>
    <col min="12" max="12" width="14.83203125" style="8" customWidth="1"/>
    <col min="13" max="13" width="20.1640625" style="8" customWidth="1"/>
    <col min="14" max="16384" width="10.83203125" style="8"/>
  </cols>
  <sheetData>
    <row r="1" spans="1:13" ht="43" customHeight="1">
      <c r="A1" s="48" t="s">
        <v>226</v>
      </c>
    </row>
    <row r="2" spans="1:13" ht="43" customHeight="1">
      <c r="A2" s="97" t="s">
        <v>511</v>
      </c>
    </row>
    <row r="3" spans="1:13" ht="43" customHeight="1">
      <c r="B3" s="234" t="s">
        <v>129</v>
      </c>
      <c r="C3" s="234"/>
      <c r="D3" s="234"/>
      <c r="E3" s="234" t="s">
        <v>130</v>
      </c>
      <c r="F3" s="234"/>
      <c r="G3" s="234"/>
      <c r="M3" s="8" t="s">
        <v>219</v>
      </c>
    </row>
    <row r="4" spans="1:13" ht="43" customHeight="1">
      <c r="A4" s="19" t="s">
        <v>28</v>
      </c>
      <c r="B4" s="89" t="s">
        <v>131</v>
      </c>
      <c r="C4" s="89" t="s">
        <v>227</v>
      </c>
      <c r="D4" s="93" t="s">
        <v>228</v>
      </c>
      <c r="E4" s="89" t="s">
        <v>131</v>
      </c>
      <c r="F4" s="89" t="s">
        <v>227</v>
      </c>
      <c r="G4" s="93" t="s">
        <v>228</v>
      </c>
      <c r="I4" s="115" t="s">
        <v>413</v>
      </c>
      <c r="J4" s="115" t="s">
        <v>414</v>
      </c>
      <c r="K4" s="64" t="s">
        <v>168</v>
      </c>
      <c r="L4" s="65" t="s">
        <v>169</v>
      </c>
      <c r="M4" s="96" t="s">
        <v>170</v>
      </c>
    </row>
    <row r="5" spans="1:13" s="10" customFormat="1" ht="24" customHeight="1">
      <c r="A5" s="9" t="s">
        <v>132</v>
      </c>
      <c r="B5" s="26"/>
      <c r="C5" s="26"/>
      <c r="D5" s="26"/>
      <c r="E5" s="26"/>
      <c r="F5" s="26"/>
      <c r="G5" s="26"/>
    </row>
    <row r="6" spans="1:13" ht="24" customHeight="1">
      <c r="A6" s="20" t="s">
        <v>434</v>
      </c>
      <c r="B6" s="24">
        <v>0</v>
      </c>
      <c r="C6" s="24">
        <v>0</v>
      </c>
      <c r="D6" s="24">
        <v>0</v>
      </c>
      <c r="E6" s="24">
        <v>0</v>
      </c>
      <c r="F6" s="24">
        <v>1040</v>
      </c>
      <c r="G6" s="24">
        <v>25000</v>
      </c>
    </row>
    <row r="7" spans="1:13" s="10" customFormat="1" ht="24" customHeight="1">
      <c r="A7" s="9" t="s">
        <v>133</v>
      </c>
      <c r="B7" s="26"/>
      <c r="C7" s="26"/>
      <c r="D7" s="26"/>
      <c r="E7" s="26"/>
      <c r="F7" s="26"/>
      <c r="G7" s="26"/>
    </row>
    <row r="8" spans="1:13" ht="24" customHeight="1">
      <c r="A8" s="20" t="s">
        <v>134</v>
      </c>
      <c r="B8" s="24">
        <v>1853</v>
      </c>
      <c r="C8" s="24">
        <v>1818</v>
      </c>
      <c r="D8" s="24">
        <v>265567</v>
      </c>
      <c r="E8" s="24">
        <v>0</v>
      </c>
      <c r="F8" s="24">
        <v>0</v>
      </c>
      <c r="G8" s="24">
        <v>0</v>
      </c>
    </row>
    <row r="9" spans="1:13" ht="24" customHeight="1">
      <c r="A9" s="20" t="s">
        <v>434</v>
      </c>
      <c r="B9" s="24">
        <f>1296+298</f>
        <v>1594</v>
      </c>
      <c r="C9" s="24">
        <f>784+193</f>
        <v>977</v>
      </c>
      <c r="D9" s="24">
        <f>123378+56813</f>
        <v>180191</v>
      </c>
      <c r="E9" s="24">
        <v>0</v>
      </c>
      <c r="F9" s="24">
        <v>0</v>
      </c>
      <c r="G9" s="24">
        <v>0</v>
      </c>
    </row>
    <row r="10" spans="1:13" ht="24" customHeight="1">
      <c r="A10" s="20" t="s">
        <v>135</v>
      </c>
      <c r="B10" s="24">
        <v>0</v>
      </c>
      <c r="C10" s="24">
        <v>0</v>
      </c>
      <c r="D10" s="24">
        <v>1028</v>
      </c>
      <c r="E10" s="24">
        <v>0</v>
      </c>
      <c r="F10" s="24">
        <v>0</v>
      </c>
      <c r="G10" s="24">
        <v>0</v>
      </c>
    </row>
    <row r="11" spans="1:13" s="10" customFormat="1" ht="24" customHeight="1">
      <c r="A11" s="9" t="s">
        <v>476</v>
      </c>
      <c r="B11" s="26"/>
      <c r="C11" s="26"/>
      <c r="D11" s="26"/>
      <c r="E11" s="26"/>
      <c r="F11" s="26"/>
      <c r="G11" s="26"/>
    </row>
    <row r="12" spans="1:13" s="10" customFormat="1" ht="24" customHeight="1">
      <c r="A12" s="49" t="str">
        <f>"31.12."&amp;_labels!$B$1</f>
        <v>31.12.2016</v>
      </c>
      <c r="B12" s="26">
        <f>SUM(B6:B10)</f>
        <v>3447</v>
      </c>
      <c r="C12" s="26">
        <f>SUM(C6:C10)</f>
        <v>2795</v>
      </c>
      <c r="D12" s="26">
        <f t="shared" ref="D12:G12" si="0">SUM(D6:D10)</f>
        <v>446786</v>
      </c>
      <c r="E12" s="26">
        <f t="shared" si="0"/>
        <v>0</v>
      </c>
      <c r="F12" s="26">
        <f t="shared" si="0"/>
        <v>1040</v>
      </c>
      <c r="G12" s="26">
        <f t="shared" si="0"/>
        <v>25000</v>
      </c>
      <c r="I12" s="10">
        <f>+ROUND(C_Bilan!B7/1000,0)</f>
        <v>3447</v>
      </c>
      <c r="J12" s="10">
        <f>+ROUND(C_Bilan!B20/1000,0)</f>
        <v>2795</v>
      </c>
    </row>
    <row r="13" spans="1:13" ht="24" customHeight="1">
      <c r="A13" s="50" t="str">
        <f>"31.12."&amp;_labels!$B2</f>
        <v>31.12.2015</v>
      </c>
      <c r="B13" s="25">
        <v>2898</v>
      </c>
      <c r="C13" s="25">
        <v>4463</v>
      </c>
      <c r="D13" s="25">
        <v>289340</v>
      </c>
      <c r="E13" s="25">
        <v>804</v>
      </c>
      <c r="F13" s="25">
        <v>0</v>
      </c>
      <c r="G13" s="25">
        <v>25000</v>
      </c>
      <c r="I13" s="8">
        <f>+ROUND(C_Bilan!C7/1000,0)</f>
        <v>2898</v>
      </c>
      <c r="J13" s="8">
        <f>+ROUND(C_Bilan!C20/1000,0)</f>
        <v>4463</v>
      </c>
    </row>
    <row r="14" spans="1:13" ht="19" customHeight="1">
      <c r="A14" s="53" t="s">
        <v>433</v>
      </c>
      <c r="B14" s="26"/>
      <c r="C14" s="26"/>
    </row>
    <row r="15" spans="1:13" ht="19" customHeight="1">
      <c r="A15" s="49" t="str">
        <f>"31.12."&amp;_labels!$B$1</f>
        <v>31.12.2016</v>
      </c>
      <c r="B15" s="26">
        <v>0</v>
      </c>
      <c r="C15" s="26">
        <v>0</v>
      </c>
      <c r="D15" s="26"/>
      <c r="E15" s="26">
        <v>0</v>
      </c>
      <c r="F15" s="26">
        <v>0</v>
      </c>
      <c r="G15" s="26"/>
    </row>
    <row r="16" spans="1:13" ht="19" customHeight="1">
      <c r="A16" s="50" t="str">
        <f>"31.12."&amp;_labels!$B2</f>
        <v>31.12.2015</v>
      </c>
      <c r="B16" s="25">
        <v>0</v>
      </c>
      <c r="C16" s="25">
        <v>0</v>
      </c>
      <c r="D16" s="25"/>
      <c r="E16" s="25">
        <v>0</v>
      </c>
      <c r="F16" s="25">
        <v>0</v>
      </c>
      <c r="G16" s="25"/>
    </row>
  </sheetData>
  <mergeCells count="2">
    <mergeCell ref="B3:D3"/>
    <mergeCell ref="E3:G3"/>
  </mergeCells>
  <pageMargins left="0.31496062992125984" right="0.39370078740157483" top="0.55118110236220474" bottom="0.59055118110236227" header="0.31496062992125984" footer="0.31496062992125984"/>
  <pageSetup paperSize="9" scale="60"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F4"/>
  <sheetViews>
    <sheetView workbookViewId="0">
      <selection activeCell="A5" sqref="A5"/>
    </sheetView>
  </sheetViews>
  <sheetFormatPr baseColWidth="10" defaultColWidth="10.83203125" defaultRowHeight="19" customHeight="1" x14ac:dyDescent="0"/>
  <cols>
    <col min="1" max="1" width="45.33203125" style="11" customWidth="1"/>
    <col min="2" max="4" width="15.83203125" style="88" customWidth="1"/>
    <col min="5" max="5" width="14.83203125" style="8" customWidth="1"/>
    <col min="6" max="6" width="20.1640625" style="8" customWidth="1"/>
    <col min="7" max="16384" width="10.83203125" style="8"/>
  </cols>
  <sheetData>
    <row r="1" spans="1:6" ht="43" customHeight="1">
      <c r="A1" s="48" t="s">
        <v>226</v>
      </c>
    </row>
    <row r="2" spans="1:6" ht="43" customHeight="1">
      <c r="A2" s="19" t="s">
        <v>229</v>
      </c>
    </row>
    <row r="3" spans="1:6" ht="43" customHeight="1">
      <c r="B3" s="89" t="s">
        <v>230</v>
      </c>
      <c r="C3" s="93" t="s">
        <v>231</v>
      </c>
      <c r="D3" s="89" t="s">
        <v>232</v>
      </c>
      <c r="E3" s="65"/>
      <c r="F3" s="96" t="s">
        <v>178</v>
      </c>
    </row>
    <row r="4" spans="1:6" ht="40.5" customHeight="1">
      <c r="A4" s="126" t="s">
        <v>512</v>
      </c>
      <c r="B4" s="24">
        <v>0</v>
      </c>
      <c r="C4" s="24">
        <f>1396+337-155-338</f>
        <v>1240</v>
      </c>
      <c r="D4" s="24">
        <f>2043+164</f>
        <v>2207</v>
      </c>
      <c r="F4" s="8" t="s">
        <v>178</v>
      </c>
    </row>
  </sheetData>
  <pageMargins left="0.31496062992125984" right="0.39370078740157483" top="0.55118110236220474" bottom="0.59055118110236227" header="0.31496062992125984" footer="0.31496062992125984"/>
  <pageSetup paperSize="9" scale="95"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10"/>
  <sheetViews>
    <sheetView workbookViewId="0">
      <selection activeCell="A2" sqref="A2"/>
    </sheetView>
  </sheetViews>
  <sheetFormatPr baseColWidth="10" defaultColWidth="10.83203125" defaultRowHeight="19" customHeight="1" x14ac:dyDescent="0"/>
  <cols>
    <col min="1" max="1" width="65.1640625" style="11" bestFit="1" customWidth="1"/>
    <col min="2" max="2" width="14.1640625" style="7" customWidth="1"/>
    <col min="3" max="3" width="14.83203125" style="7" customWidth="1"/>
    <col min="4" max="4" width="15.1640625" style="7" customWidth="1"/>
    <col min="5" max="5" width="14.1640625" style="7" customWidth="1"/>
    <col min="6" max="6" width="11.33203125" style="8" customWidth="1"/>
    <col min="7" max="8" width="10.83203125" style="8"/>
    <col min="9" max="10" width="16.33203125" style="8" customWidth="1"/>
    <col min="11" max="11" width="15.6640625" style="8" customWidth="1"/>
    <col min="12" max="16384" width="10.83203125" style="8"/>
  </cols>
  <sheetData>
    <row r="1" spans="1:11" ht="43" customHeight="1">
      <c r="A1" s="48" t="s">
        <v>68</v>
      </c>
      <c r="B1" s="17"/>
      <c r="C1" s="17"/>
      <c r="D1" s="17"/>
      <c r="E1" s="17"/>
    </row>
    <row r="2" spans="1:11" ht="43" customHeight="1">
      <c r="A2" s="19" t="s">
        <v>16</v>
      </c>
      <c r="B2" s="17"/>
      <c r="C2" s="17"/>
      <c r="D2" s="17"/>
      <c r="E2" s="17"/>
    </row>
    <row r="3" spans="1:11" ht="43" customHeight="1">
      <c r="B3" s="233" t="s">
        <v>74</v>
      </c>
      <c r="C3" s="233"/>
      <c r="D3" s="233" t="s">
        <v>75</v>
      </c>
      <c r="E3" s="233"/>
      <c r="H3" s="64" t="s">
        <v>168</v>
      </c>
      <c r="I3" s="235" t="s">
        <v>169</v>
      </c>
      <c r="J3" s="235"/>
      <c r="K3" s="96" t="s">
        <v>170</v>
      </c>
    </row>
    <row r="4" spans="1:11" ht="24" customHeight="1">
      <c r="A4" s="19"/>
      <c r="B4" s="17" t="str">
        <f>"31.12."&amp;_labels!$B$1</f>
        <v>31.12.2016</v>
      </c>
      <c r="C4" s="22" t="str">
        <f>"31.12."&amp;_labels!$B$1-1</f>
        <v>31.12.2015</v>
      </c>
      <c r="D4" s="17" t="str">
        <f>"31.12."&amp;_labels!$B$1</f>
        <v>31.12.2016</v>
      </c>
      <c r="E4" s="22" t="str">
        <f>"31.12."&amp;_labels!$B$1-1</f>
        <v>31.12.2015</v>
      </c>
      <c r="I4" s="64" t="s">
        <v>241</v>
      </c>
      <c r="J4" s="64" t="s">
        <v>75</v>
      </c>
    </row>
    <row r="5" spans="1:11" s="10" customFormat="1" ht="24" customHeight="1">
      <c r="A5" s="9" t="s">
        <v>76</v>
      </c>
      <c r="B5" s="24">
        <v>694956</v>
      </c>
      <c r="C5" s="25">
        <f>218470+I5</f>
        <v>599714.28504999995</v>
      </c>
      <c r="D5" s="24">
        <v>683894</v>
      </c>
      <c r="E5" s="25">
        <f>207312+J5</f>
        <v>588455.18721999996</v>
      </c>
      <c r="I5" s="66">
        <f>+C_Bilan!G8/1000</f>
        <v>381244.28504999995</v>
      </c>
      <c r="J5" s="66">
        <f>249684355.5/1000+131458831.72/1000</f>
        <v>381143.18721999996</v>
      </c>
    </row>
    <row r="6" spans="1:11" ht="24" customHeight="1">
      <c r="A6" s="20" t="s">
        <v>77</v>
      </c>
      <c r="B6" s="24">
        <v>694956</v>
      </c>
      <c r="C6" s="25">
        <f>218470+I6</f>
        <v>599714.28504999995</v>
      </c>
      <c r="D6" s="24">
        <v>683894</v>
      </c>
      <c r="E6" s="25">
        <f>207312+J6</f>
        <v>588455.18721999996</v>
      </c>
      <c r="I6" s="66">
        <f>+C_Bilan!G8/1000</f>
        <v>381244.28504999995</v>
      </c>
      <c r="J6" s="66">
        <f>249684355.5/1000+131458831.72/1000</f>
        <v>381143.18721999996</v>
      </c>
    </row>
    <row r="7" spans="1:11" ht="24" customHeight="1">
      <c r="A7" s="80" t="s">
        <v>240</v>
      </c>
      <c r="B7" s="24">
        <v>530</v>
      </c>
      <c r="C7" s="25">
        <v>815</v>
      </c>
      <c r="D7" s="24">
        <v>1364</v>
      </c>
      <c r="E7" s="25">
        <v>1962</v>
      </c>
    </row>
    <row r="8" spans="1:11" ht="24" customHeight="1">
      <c r="A8" s="74" t="s">
        <v>424</v>
      </c>
      <c r="B8" s="24">
        <v>0</v>
      </c>
      <c r="C8" s="25">
        <v>0</v>
      </c>
      <c r="D8" s="24">
        <v>0</v>
      </c>
      <c r="E8" s="25">
        <v>0</v>
      </c>
    </row>
    <row r="9" spans="1:11" ht="24" customHeight="1">
      <c r="A9" s="9" t="s">
        <v>29</v>
      </c>
      <c r="B9" s="24">
        <f>+B5+B7</f>
        <v>695486</v>
      </c>
      <c r="C9" s="25">
        <f t="shared" ref="C9:E9" si="0">+C5+C7</f>
        <v>600529.28504999995</v>
      </c>
      <c r="D9" s="24">
        <f t="shared" si="0"/>
        <v>685258</v>
      </c>
      <c r="E9" s="25">
        <f t="shared" si="0"/>
        <v>590417.18721999996</v>
      </c>
      <c r="H9" s="10"/>
      <c r="I9" s="10"/>
      <c r="J9" s="10"/>
      <c r="K9" s="10"/>
    </row>
    <row r="10" spans="1:11" ht="24" customHeight="1">
      <c r="A10" s="20" t="s">
        <v>78</v>
      </c>
      <c r="B10" s="24">
        <v>76272</v>
      </c>
      <c r="C10" s="25">
        <v>6616</v>
      </c>
      <c r="D10" s="24"/>
      <c r="E10" s="25"/>
      <c r="I10" s="66">
        <f>6616477.5/1000</f>
        <v>6616.4775</v>
      </c>
      <c r="J10" s="66"/>
    </row>
  </sheetData>
  <mergeCells count="3">
    <mergeCell ref="B3:C3"/>
    <mergeCell ref="D3:E3"/>
    <mergeCell ref="I3:J3"/>
  </mergeCells>
  <pageMargins left="0.39" right="0.28000000000000003" top="0.76" bottom="1" header="0.5" footer="0.5"/>
  <pageSetup paperSize="9" scale="61" orientation="portrait" horizontalDpi="1200" verticalDpi="1200"/>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42</vt:i4>
      </vt:variant>
    </vt:vector>
  </HeadingPairs>
  <TitlesOfParts>
    <vt:vector size="42" baseType="lpstr">
      <vt:lpstr>C_Bilan</vt:lpstr>
      <vt:lpstr>C_HorsBilan</vt:lpstr>
      <vt:lpstr>C_Resultat_ProduitsCharges</vt:lpstr>
      <vt:lpstr>C_JustificationCapitauxPropres</vt:lpstr>
      <vt:lpstr>C_Resultat_Financement</vt:lpstr>
      <vt:lpstr>C_iBilan_ApercuCouv-PretsCompr</vt:lpstr>
      <vt:lpstr>C_Instr_Derives</vt:lpstr>
      <vt:lpstr>C_Instr_Derives-repart</vt:lpstr>
      <vt:lpstr>C_iBilan_ImmoblstnFinancieres</vt:lpstr>
      <vt:lpstr>C_iBilan_ImmoblstnFinancier-rep</vt:lpstr>
      <vt:lpstr>C_iBilan_ParticipnsNonConsolid</vt:lpstr>
      <vt:lpstr>C_iBilan_Particpermasign</vt:lpstr>
      <vt:lpstr>C_iBilan_PresentnImmoblisCorpl</vt:lpstr>
      <vt:lpstr>C_iBilan_PresentnValeursImmtrls</vt:lpstr>
      <vt:lpstr>C_iBilan_AutrActifPass-ActifsGa</vt:lpstr>
      <vt:lpstr>C_iBilan_EngPrevoyanceProf</vt:lpstr>
      <vt:lpstr>C_iBilan_InstPrevProf</vt:lpstr>
      <vt:lpstr>C_CorrectifsValeursProvisions</vt:lpstr>
      <vt:lpstr>C_CapitalSoc-interne</vt:lpstr>
      <vt:lpstr>C_TransactionsPartiesLiees</vt:lpstr>
      <vt:lpstr>C_StructureEcheancesActif</vt:lpstr>
      <vt:lpstr>C_ActifsPassifsSuisseEtranger</vt:lpstr>
      <vt:lpstr>C_ActifsRepartisPays</vt:lpstr>
      <vt:lpstr>C_ActifsSolvab</vt:lpstr>
      <vt:lpstr>C_BilanMonnaiesActifs</vt:lpstr>
      <vt:lpstr>C_BilanMonnaiesPassifs</vt:lpstr>
      <vt:lpstr>C_iHorsBilan_Engagements</vt:lpstr>
      <vt:lpstr>C_iHorsBilan_OperationsFidu</vt:lpstr>
      <vt:lpstr>C_iHorsBilan_AvoirsClientRepart</vt:lpstr>
      <vt:lpstr>C_iHorsBilan_AvoirsClientEvol</vt:lpstr>
      <vt:lpstr>C_iResultat_Negoce</vt:lpstr>
      <vt:lpstr>C_iResultat_Intérêts</vt:lpstr>
      <vt:lpstr>C_iResultat_Personnel</vt:lpstr>
      <vt:lpstr>C_iResultat_Exploitation</vt:lpstr>
      <vt:lpstr>C_iResultat_Extraordinaires</vt:lpstr>
      <vt:lpstr>C_iResultat_SuisseEtranger</vt:lpstr>
      <vt:lpstr>C_iImpôts</vt:lpstr>
      <vt:lpstr>C_iResultat_FondsPropres</vt:lpstr>
      <vt:lpstr>C_iResultat_FondsPropresReqis</vt:lpstr>
      <vt:lpstr>C_iResultat_FondsProprsRatioLiq</vt:lpstr>
      <vt:lpstr>C_iResultat_FondsProprsRatioLev</vt:lpstr>
      <vt:lpstr>_labels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 Cater</dc:creator>
  <cp:lastModifiedBy>A C</cp:lastModifiedBy>
  <cp:lastPrinted>2016-04-13T07:54:41Z</cp:lastPrinted>
  <dcterms:created xsi:type="dcterms:W3CDTF">2013-02-28T10:12:43Z</dcterms:created>
  <dcterms:modified xsi:type="dcterms:W3CDTF">2017-02-01T10:07:48Z</dcterms:modified>
</cp:coreProperties>
</file>