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LUTE INSANITY\Documents\circuits2\"/>
    </mc:Choice>
  </mc:AlternateContent>
  <xr:revisionPtr revIDLastSave="0" documentId="13_ncr:1_{C4C1EE57-90A0-4B0C-A9EC-9965ED97FFC7}" xr6:coauthVersionLast="44" xr6:coauthVersionMax="44" xr10:uidLastSave="{00000000-0000-0000-0000-000000000000}"/>
  <bookViews>
    <workbookView xWindow="-120" yWindow="-120" windowWidth="29040" windowHeight="15840" xr2:uid="{0348B799-3C27-41DC-AC55-E2A55484DCC4}"/>
  </bookViews>
  <sheets>
    <sheet name="Sheet1" sheetId="1" r:id="rId1"/>
  </sheets>
  <definedNames>
    <definedName name="c_cap">Sheet1!$F$2</definedName>
    <definedName name="l_ind">Sheet1!$F$4</definedName>
    <definedName name="omega">Sheet1!$F$7</definedName>
    <definedName name="r_res">Sheet1!$F$3</definedName>
    <definedName name="t_period">Sheet1!$F$6</definedName>
    <definedName name="v_in">Sheet1!$F$8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1" i="1"/>
  <c r="L2" i="1"/>
  <c r="L3" i="1" s="1"/>
  <c r="F7" i="1" l="1"/>
  <c r="B10" i="1" s="1"/>
  <c r="F6" i="1"/>
  <c r="B2" i="1" l="1"/>
  <c r="B17" i="1" s="1"/>
  <c r="M17" i="1"/>
  <c r="Q17" i="1" s="1"/>
  <c r="M18" i="1"/>
  <c r="Q18" i="1" s="1"/>
  <c r="M11" i="1"/>
  <c r="Q11" i="1" s="1"/>
  <c r="G10" i="1" s="1"/>
  <c r="M19" i="1"/>
  <c r="Q19" i="1" s="1"/>
  <c r="G19" i="1" s="1"/>
  <c r="M10" i="1"/>
  <c r="Q10" i="1" s="1"/>
  <c r="M3" i="1"/>
  <c r="Q3" i="1" s="1"/>
  <c r="G2" i="1" s="1"/>
  <c r="M2" i="1"/>
  <c r="Q2" i="1" s="1"/>
  <c r="C2" i="1" s="1"/>
  <c r="B12" i="1"/>
  <c r="B18" i="1"/>
  <c r="P10" i="1"/>
  <c r="P2" i="1"/>
  <c r="J2" i="1" s="1"/>
  <c r="O2" i="1" s="1"/>
  <c r="B11" i="1"/>
  <c r="B3" i="1" l="1"/>
  <c r="B4" i="1"/>
  <c r="D4" i="1" s="1"/>
  <c r="D2" i="1"/>
  <c r="C10" i="1"/>
  <c r="D10" i="1" s="1"/>
  <c r="C17" i="1"/>
  <c r="C12" i="1"/>
  <c r="D12" i="1" s="1"/>
  <c r="C11" i="1"/>
  <c r="D11" i="1" s="1"/>
  <c r="C4" i="1"/>
  <c r="C3" i="1"/>
  <c r="D3" i="1" s="1"/>
  <c r="C18" i="1"/>
  <c r="D18" i="1" s="1"/>
  <c r="C20" i="1"/>
  <c r="C19" i="1"/>
  <c r="D17" i="1"/>
  <c r="B19" i="1"/>
  <c r="B20" i="1"/>
  <c r="A26" i="1"/>
  <c r="J10" i="1"/>
  <c r="O10" i="1" s="1"/>
  <c r="P11" i="1"/>
  <c r="I10" i="1"/>
  <c r="N10" i="1" s="1"/>
  <c r="I2" i="1"/>
  <c r="N2" i="1" s="1"/>
  <c r="P3" i="1"/>
  <c r="D19" i="1" l="1"/>
  <c r="D20" i="1"/>
  <c r="B27" i="1"/>
  <c r="G18" i="1"/>
  <c r="B28" i="1"/>
  <c r="J11" i="1"/>
  <c r="O11" i="1" s="1"/>
  <c r="I11" i="1"/>
  <c r="N11" i="1" s="1"/>
  <c r="J3" i="1"/>
  <c r="O3" i="1" s="1"/>
  <c r="I3" i="1"/>
  <c r="N3" i="1" s="1"/>
  <c r="P17" i="1" l="1"/>
  <c r="P18" i="1"/>
  <c r="I17" i="1" l="1"/>
  <c r="N17" i="1" s="1"/>
  <c r="P19" i="1"/>
  <c r="J17" i="1"/>
  <c r="O17" i="1" s="1"/>
  <c r="I18" i="1"/>
  <c r="N18" i="1" s="1"/>
  <c r="J18" i="1"/>
  <c r="O18" i="1" s="1"/>
  <c r="I19" i="1" l="1"/>
  <c r="N19" i="1" s="1"/>
  <c r="J19" i="1"/>
  <c r="O19" i="1" s="1"/>
</calcChain>
</file>

<file path=xl/sharedStrings.xml><?xml version="1.0" encoding="utf-8"?>
<sst xmlns="http://schemas.openxmlformats.org/spreadsheetml/2006/main" count="43" uniqueCount="30">
  <si>
    <t>xc</t>
  </si>
  <si>
    <t>z mag</t>
  </si>
  <si>
    <t>z theta</t>
  </si>
  <si>
    <t>vc</t>
  </si>
  <si>
    <t>vr</t>
  </si>
  <si>
    <t>xl</t>
  </si>
  <si>
    <t>theory</t>
  </si>
  <si>
    <t>vl</t>
  </si>
  <si>
    <t>exp</t>
  </si>
  <si>
    <t>% dev</t>
  </si>
  <si>
    <t>theory mag</t>
  </si>
  <si>
    <t>theory theta</t>
  </si>
  <si>
    <t>exp mag</t>
  </si>
  <si>
    <t>exp delay</t>
  </si>
  <si>
    <t>exp theta</t>
  </si>
  <si>
    <t>%dev mag</t>
  </si>
  <si>
    <t>%dev theta</t>
  </si>
  <si>
    <t>c</t>
  </si>
  <si>
    <t>r</t>
  </si>
  <si>
    <t>f</t>
  </si>
  <si>
    <t>t</t>
  </si>
  <si>
    <t>omega</t>
  </si>
  <si>
    <t>L</t>
  </si>
  <si>
    <t>current</t>
  </si>
  <si>
    <t>v_in</t>
  </si>
  <si>
    <t>(theory complex)</t>
  </si>
  <si>
    <t>exp complex</t>
  </si>
  <si>
    <t>THEORY</t>
  </si>
  <si>
    <t>EXP</t>
  </si>
  <si>
    <t>^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</si>
</sst>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F2D0-CBAA-4373-B410-4CD3DB15CE4A}">
  <dimension ref="A1:Q28"/>
  <sheetViews>
    <sheetView tabSelected="1" workbookViewId="0">
      <selection activeCell="E21" sqref="E21"/>
    </sheetView>
  </sheetViews>
  <sheetFormatPr defaultRowHeight="15" x14ac:dyDescent="0.25"/>
  <cols>
    <col min="2" max="2" width="13.28515625" customWidth="1"/>
    <col min="7" max="7" width="41.5703125" customWidth="1"/>
    <col min="8" max="8" width="2.85546875" bestFit="1" customWidth="1"/>
    <col min="9" max="9" width="12" bestFit="1" customWidth="1"/>
    <col min="10" max="10" width="12.7109375" bestFit="1" customWidth="1"/>
    <col min="11" max="11" width="8.42578125" bestFit="1" customWidth="1"/>
    <col min="12" max="12" width="10" bestFit="1" customWidth="1"/>
    <col min="13" max="13" width="9.42578125" bestFit="1" customWidth="1"/>
    <col min="14" max="14" width="10" bestFit="1" customWidth="1"/>
    <col min="15" max="15" width="11" bestFit="1" customWidth="1"/>
    <col min="16" max="16" width="36.85546875" customWidth="1"/>
    <col min="17" max="17" width="36.140625" customWidth="1"/>
  </cols>
  <sheetData>
    <row r="1" spans="1:17" x14ac:dyDescent="0.25">
      <c r="B1" t="s">
        <v>6</v>
      </c>
      <c r="C1" t="s">
        <v>8</v>
      </c>
      <c r="D1" t="s">
        <v>9</v>
      </c>
      <c r="G1" s="2" t="s">
        <v>23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  <c r="Q1" t="s">
        <v>26</v>
      </c>
    </row>
    <row r="2" spans="1:17" x14ac:dyDescent="0.25">
      <c r="A2" t="s">
        <v>0</v>
      </c>
      <c r="B2">
        <f>-1/(omega*c_cap)</f>
        <v>-1523.0138094918216</v>
      </c>
      <c r="C2">
        <f>IMAGINARY(IMDIV(Q2,G2))</f>
        <v>-1581.4530140003301</v>
      </c>
      <c r="D2" s="4">
        <f>ABS((B2-C2)/B2)</f>
        <v>3.8370764693202421E-2</v>
      </c>
      <c r="E2" t="s">
        <v>17</v>
      </c>
      <c r="F2" s="2">
        <v>1.0449999999999999E-8</v>
      </c>
      <c r="G2" t="str">
        <f>IMDIV(Q3,COMPLEX(r_res,0))</f>
        <v>0.000283655622927675+0.000444496497851982i</v>
      </c>
      <c r="H2" t="s">
        <v>3</v>
      </c>
      <c r="I2">
        <f>IMABS(P2)</f>
        <v>0.84082679668249338</v>
      </c>
      <c r="J2">
        <f>DEGREES(IMARGUMENT(P2))</f>
        <v>-32.772469437547201</v>
      </c>
      <c r="K2">
        <v>0.83399999999999996</v>
      </c>
      <c r="L2" s="2">
        <f>0.0000907-0.0001</f>
        <v>-9.3000000000000092E-6</v>
      </c>
      <c r="M2" s="5">
        <f>DEGREES(omega*(L2))</f>
        <v>-33.480000000000032</v>
      </c>
      <c r="N2" s="4">
        <f>ABS((I2-K2)/I2)</f>
        <v>8.1191473790187749E-3</v>
      </c>
      <c r="O2" s="4">
        <f>ABS((J2-M2)/J2)</f>
        <v>2.1589174529589097E-2</v>
      </c>
      <c r="P2" t="str">
        <f>IMDIV(COMPLEX(0,$B$2),COMPLEX(r_res,$B$2))</f>
        <v>0.706989702019343-0.455143123926907i</v>
      </c>
      <c r="Q2" s="5" t="str">
        <f>COMPLEX(K2*COS(RADIANS(M2)),K2*SIN(RADIANS(M2)))</f>
        <v>0.695621413633384-0.460072656104111i</v>
      </c>
    </row>
    <row r="3" spans="1:17" x14ac:dyDescent="0.25">
      <c r="A3" t="s">
        <v>1</v>
      </c>
      <c r="B3">
        <f>SQRT(POWER(r_res,2)+POWER(B2,2))</f>
        <v>1811.3288200387003</v>
      </c>
      <c r="C3">
        <f>IMABS(IMDIV(COMPLEX(1,0),$G$2))</f>
        <v>1896.479690522242</v>
      </c>
      <c r="D3" s="4">
        <f t="shared" ref="D3:D20" si="0">ABS((B3-C3)/B3)</f>
        <v>4.7010167089221469E-2</v>
      </c>
      <c r="E3" t="s">
        <v>18</v>
      </c>
      <c r="F3">
        <v>980.48</v>
      </c>
      <c r="G3" s="3" t="s">
        <v>29</v>
      </c>
      <c r="H3" t="s">
        <v>4</v>
      </c>
      <c r="I3">
        <f>IMABS(P3)</f>
        <v>0.54130425638512869</v>
      </c>
      <c r="J3">
        <f>DEGREES(IMARGUMENT(P3))</f>
        <v>57.227530562452834</v>
      </c>
      <c r="K3">
        <v>0.51700000000000002</v>
      </c>
      <c r="L3" s="2">
        <f>0.0001-0.00007474+L2</f>
        <v>1.5959999999999989E-5</v>
      </c>
      <c r="M3" s="5">
        <f>DEGREES(omega*(L3))</f>
        <v>57.45599999999996</v>
      </c>
      <c r="N3" s="4">
        <f>ABS((I3-K3)/I3)</f>
        <v>4.4899437051233185E-2</v>
      </c>
      <c r="O3" s="4">
        <f>ABS((J3-M3)/J3)</f>
        <v>3.9922994282934453E-3</v>
      </c>
      <c r="P3" t="str">
        <f>IMSUB(v_in,P2)</f>
        <v>0.293010297980657+0.455143123926907i</v>
      </c>
      <c r="Q3" s="5" t="str">
        <f>COMPLEX(K3*COS(RADIANS(M3)),K3*SIN(RADIANS(M3)))</f>
        <v>0.278118665168127+0.435819926213911i</v>
      </c>
    </row>
    <row r="4" spans="1:17" x14ac:dyDescent="0.25">
      <c r="A4" t="s">
        <v>2</v>
      </c>
      <c r="B4">
        <f>DEGREES(ATAN(B2/r_res))</f>
        <v>-57.227530562452856</v>
      </c>
      <c r="C4">
        <f>DEGREES((IMARGUMENT(IMDIV(COMPLEX(1,0),$G$2))))</f>
        <v>-57.455999999999925</v>
      </c>
      <c r="D4" s="4">
        <f t="shared" si="0"/>
        <v>3.9922994282924505E-3</v>
      </c>
      <c r="E4" t="s">
        <v>22</v>
      </c>
      <c r="F4" s="1">
        <v>9.9600000000000001E-3</v>
      </c>
      <c r="G4" s="1"/>
      <c r="L4" s="2"/>
      <c r="M4" s="5"/>
      <c r="N4" s="4"/>
      <c r="O4" s="4"/>
      <c r="Q4" s="5"/>
    </row>
    <row r="5" spans="1:17" x14ac:dyDescent="0.25">
      <c r="D5" s="4"/>
      <c r="E5" t="s">
        <v>19</v>
      </c>
      <c r="F5">
        <v>10000</v>
      </c>
      <c r="L5" s="2"/>
      <c r="M5" s="5"/>
      <c r="N5" s="4"/>
      <c r="O5" s="4"/>
      <c r="Q5" s="5"/>
    </row>
    <row r="6" spans="1:17" x14ac:dyDescent="0.25">
      <c r="D6" s="4"/>
      <c r="E6" t="s">
        <v>20</v>
      </c>
      <c r="F6">
        <f>1/$F$5</f>
        <v>1E-4</v>
      </c>
      <c r="L6" s="2"/>
      <c r="M6" s="5"/>
      <c r="N6" s="4"/>
      <c r="O6" s="4"/>
      <c r="Q6" s="5"/>
    </row>
    <row r="7" spans="1:17" x14ac:dyDescent="0.25">
      <c r="D7" s="4"/>
      <c r="E7" t="s">
        <v>21</v>
      </c>
      <c r="F7">
        <f>$F$5*2*PI()</f>
        <v>62831.853071795864</v>
      </c>
      <c r="L7" s="2"/>
      <c r="M7" s="5"/>
      <c r="N7" s="4"/>
      <c r="O7" s="4"/>
      <c r="Q7" s="5"/>
    </row>
    <row r="8" spans="1:17" x14ac:dyDescent="0.25">
      <c r="D8" s="4"/>
      <c r="E8" t="s">
        <v>24</v>
      </c>
      <c r="F8">
        <v>1</v>
      </c>
      <c r="L8" s="2"/>
      <c r="M8" s="5"/>
      <c r="N8" s="4"/>
      <c r="O8" s="4"/>
      <c r="Q8" s="5"/>
    </row>
    <row r="9" spans="1:17" x14ac:dyDescent="0.25">
      <c r="D9" s="4"/>
      <c r="G9" t="s">
        <v>23</v>
      </c>
      <c r="L9" s="2"/>
      <c r="M9" s="5"/>
      <c r="N9" s="4"/>
      <c r="O9" s="4"/>
      <c r="Q9" s="5"/>
    </row>
    <row r="10" spans="1:17" x14ac:dyDescent="0.25">
      <c r="A10" t="s">
        <v>5</v>
      </c>
      <c r="B10">
        <f>omega*l_ind</f>
        <v>625.8052565950868</v>
      </c>
      <c r="C10">
        <f>IMAGINARY(IMDIV(Q10,G10))</f>
        <v>623.71058423497504</v>
      </c>
      <c r="D10" s="4">
        <f t="shared" si="0"/>
        <v>3.3471632557204116E-3</v>
      </c>
      <c r="F10" t="s">
        <v>28</v>
      </c>
      <c r="G10" t="str">
        <f>IMDIV(Q11,COMPLEX(r_res,0))</f>
        <v>0.000689103336530641-0.000417533100741202i</v>
      </c>
      <c r="H10" t="s">
        <v>7</v>
      </c>
      <c r="I10">
        <f>IMABS(P10)</f>
        <v>0.53801526969811575</v>
      </c>
      <c r="J10">
        <f>DEGREES(IMARGUMENT(P10))</f>
        <v>57.451368407476387</v>
      </c>
      <c r="K10">
        <v>0.503</v>
      </c>
      <c r="L10" s="2">
        <v>1.5650000000000001E-5</v>
      </c>
      <c r="M10" s="5">
        <f>DEGREES(omega*(L10))</f>
        <v>56.34</v>
      </c>
      <c r="N10" s="4">
        <f t="shared" ref="N4:N19" si="1">ABS((I10-K10)/I10)</f>
        <v>6.5082297232498754E-2</v>
      </c>
      <c r="O10" s="4">
        <f>ABS((J10-M10)/J10)</f>
        <v>1.9344507159410964E-2</v>
      </c>
      <c r="P10" t="str">
        <f>IMDIV(COMPLEX(0,$B$10),COMPLEX(r_res,$B$10))</f>
        <v>0.289460430428336+0.453511950939089i</v>
      </c>
      <c r="Q10" s="5" t="str">
        <f>COMPLEX(K10*COS(RADIANS(M10)),K10*SIN(RADIANS(M10)))</f>
        <v>0.278794529804557+0.418667660741854i</v>
      </c>
    </row>
    <row r="11" spans="1:17" x14ac:dyDescent="0.25">
      <c r="A11" t="s">
        <v>1</v>
      </c>
      <c r="B11">
        <f>SQRT(POWER(r_res,2)+POWER(B10,2))</f>
        <v>1163.1737830530924</v>
      </c>
      <c r="C11">
        <f>IMABS(IMDIV(COMPLEX(1,0),$G$10))</f>
        <v>1241.1139240506341</v>
      </c>
      <c r="D11" s="4">
        <f t="shared" si="0"/>
        <v>6.7006445754790658E-2</v>
      </c>
      <c r="G11" s="3"/>
      <c r="H11" t="s">
        <v>4</v>
      </c>
      <c r="I11">
        <f>IMABS(P11)</f>
        <v>0.84293509214628393</v>
      </c>
      <c r="J11">
        <f>DEGREES(IMARGUMENT(P11))</f>
        <v>-32.548631592523655</v>
      </c>
      <c r="K11">
        <v>0.79</v>
      </c>
      <c r="L11" s="2">
        <f>0.00007568-0.0001+L10</f>
        <v>-8.6700000000000102E-6</v>
      </c>
      <c r="M11" s="5">
        <f>DEGREES(omega*(L11))</f>
        <v>-31.212000000000039</v>
      </c>
      <c r="N11" s="4">
        <f t="shared" si="1"/>
        <v>6.2798538866735754E-2</v>
      </c>
      <c r="O11" s="4">
        <f>ABS((J11-M11)/J11)</f>
        <v>4.1065677023135981E-2</v>
      </c>
      <c r="P11" t="str">
        <f>IMSUB(v_in,P10)</f>
        <v>0.710539569571664-0.453511950939089i</v>
      </c>
      <c r="Q11" s="5" t="str">
        <f>COMPLEX(K11*COS(RADIANS(M11)),K11*SIN(RADIANS(M11)))</f>
        <v>0.675652039401563-0.409382854614734i</v>
      </c>
    </row>
    <row r="12" spans="1:17" x14ac:dyDescent="0.25">
      <c r="A12" t="s">
        <v>2</v>
      </c>
      <c r="B12">
        <f>DEGREES(ATAN(B10/r_res))</f>
        <v>32.548631592523641</v>
      </c>
      <c r="C12">
        <f>DEGREES((IMARGUMENT(IMDIV(COMPLEX(1,0),$G$10))))</f>
        <v>31.212000000000049</v>
      </c>
      <c r="D12" s="4">
        <f t="shared" si="0"/>
        <v>4.1065677023135232E-2</v>
      </c>
      <c r="L12" s="2"/>
      <c r="M12" s="5"/>
      <c r="N12" s="4"/>
      <c r="O12" s="4"/>
      <c r="Q12" s="5"/>
    </row>
    <row r="13" spans="1:17" x14ac:dyDescent="0.25">
      <c r="D13" s="4"/>
      <c r="L13" s="2"/>
      <c r="M13" s="5"/>
      <c r="N13" s="4"/>
      <c r="O13" s="4"/>
      <c r="Q13" s="5"/>
    </row>
    <row r="14" spans="1:17" x14ac:dyDescent="0.25">
      <c r="D14" s="4"/>
      <c r="L14" s="2"/>
      <c r="M14" s="5"/>
      <c r="N14" s="4"/>
      <c r="O14" s="4"/>
      <c r="Q14" s="5"/>
    </row>
    <row r="15" spans="1:17" x14ac:dyDescent="0.25">
      <c r="D15" s="4"/>
      <c r="L15" s="2"/>
      <c r="M15" s="5"/>
      <c r="N15" s="4"/>
      <c r="O15" s="4"/>
      <c r="Q15" s="5"/>
    </row>
    <row r="16" spans="1:17" x14ac:dyDescent="0.25">
      <c r="D16" s="4"/>
      <c r="L16" s="2"/>
      <c r="M16" s="5"/>
      <c r="N16" s="4"/>
      <c r="O16" s="4"/>
      <c r="Q16" s="5"/>
    </row>
    <row r="17" spans="1:17" x14ac:dyDescent="0.25">
      <c r="A17" t="s">
        <v>0</v>
      </c>
      <c r="B17">
        <f>B2</f>
        <v>-1523.0138094918216</v>
      </c>
      <c r="C17">
        <f>IMAGINARY(IMDIV(Q17,G19))</f>
        <v>-1509.05811607706</v>
      </c>
      <c r="D17" s="4">
        <f t="shared" si="0"/>
        <v>9.1632087166813488E-3</v>
      </c>
      <c r="G17" t="s">
        <v>23</v>
      </c>
      <c r="H17" t="s">
        <v>3</v>
      </c>
      <c r="I17">
        <f>IMABS(P17)</f>
        <v>1.1459578117241056</v>
      </c>
      <c r="J17">
        <f>DEGREES(IMARGUMENT(P17))</f>
        <v>-47.539280715808751</v>
      </c>
      <c r="K17">
        <v>1.0840000000000001</v>
      </c>
      <c r="L17" s="2">
        <f>0.00008684-0.0001</f>
        <v>-1.3160000000000003E-5</v>
      </c>
      <c r="M17" s="5">
        <f>DEGREES(omega*(L17))</f>
        <v>-47.376000000000012</v>
      </c>
      <c r="N17" s="4">
        <f t="shared" si="1"/>
        <v>5.4066398509810189E-2</v>
      </c>
      <c r="O17" s="4">
        <f>ABS((J17-M17)/J17)</f>
        <v>3.4346484286297018E-3</v>
      </c>
      <c r="P17" t="str">
        <f>IMPRODUCT($G$18,COMPLEX(0,B17))</f>
        <v>0.773618457071704-0.845419297821795i</v>
      </c>
      <c r="Q17" s="5" t="str">
        <f>COMPLEX(K17*COS(RADIANS(M17)),K17*SIN(RADIANS(M17)))</f>
        <v>0.734067722575404-0.797621826853402i</v>
      </c>
    </row>
    <row r="18" spans="1:17" x14ac:dyDescent="0.25">
      <c r="A18" t="s">
        <v>5</v>
      </c>
      <c r="B18">
        <f>B10</f>
        <v>625.8052565950868</v>
      </c>
      <c r="C18">
        <f>IMAGINARY(IMDIV(Q18,$G$19))</f>
        <v>618.51893078693604</v>
      </c>
      <c r="D18" s="4">
        <f t="shared" si="0"/>
        <v>1.1643120174149027E-2</v>
      </c>
      <c r="F18" t="s">
        <v>27</v>
      </c>
      <c r="G18" s="3" t="str">
        <f>IMDIV(COMPLEX(1,0),$A$26)</f>
        <v>0.000555096278545159+0.000507952358836349i</v>
      </c>
      <c r="H18" t="s">
        <v>7</v>
      </c>
      <c r="I18">
        <f>IMABS(P18)</f>
        <v>0.47087322383008234</v>
      </c>
      <c r="J18">
        <f>DEGREES(IMARGUMENT(P18))</f>
        <v>132.46071928419124</v>
      </c>
      <c r="K18">
        <v>0.44429999999999997</v>
      </c>
      <c r="L18" s="2">
        <v>3.5899999999999998E-5</v>
      </c>
      <c r="M18" s="5">
        <f>DEGREES(omega*(L18))</f>
        <v>129.24</v>
      </c>
      <c r="N18" s="4">
        <f t="shared" si="1"/>
        <v>5.6433924218361353E-2</v>
      </c>
      <c r="O18" s="4">
        <f>ABS((J18-M18)/J18)</f>
        <v>2.4314523593075607E-2</v>
      </c>
      <c r="P18" t="str">
        <f>IMPRODUCT($G$18,COMPLEX(0,B18))</f>
        <v>-0.317879256259661+0.347382169029931i</v>
      </c>
      <c r="Q18" s="5" t="str">
        <f>COMPLEX(K18*COS(RADIANS(M18)),K18*SIN(RADIANS(M18)))</f>
        <v>-0.281050922938001+0.344111709646297i</v>
      </c>
    </row>
    <row r="19" spans="1:17" x14ac:dyDescent="0.25">
      <c r="A19" t="s">
        <v>1</v>
      </c>
      <c r="B19">
        <f>SQRT(POWER(r_res,2)+POWER((B18+B17),2))</f>
        <v>1329.0313080552517</v>
      </c>
      <c r="C19">
        <f>IMABS(IMDIV(COMPLEX(1,0),$G$19))</f>
        <v>1392.7272727272712</v>
      </c>
      <c r="D19" s="4">
        <f t="shared" si="0"/>
        <v>4.7926609618568497E-2</v>
      </c>
      <c r="F19" t="s">
        <v>28</v>
      </c>
      <c r="G19" t="str">
        <f>IMDIV(Q19,COMPLEX(r_res,0))</f>
        <v>0.000542451985999333+0.000470417196979817i</v>
      </c>
      <c r="H19" t="s">
        <v>4</v>
      </c>
      <c r="I19">
        <f>IMABS(P19)</f>
        <v>0.73774033317147392</v>
      </c>
      <c r="J19">
        <f>DEGREES(IMARGUMENT(P19))</f>
        <v>42.460719284191306</v>
      </c>
      <c r="K19">
        <v>0.70399999999999996</v>
      </c>
      <c r="L19" s="2">
        <v>1.137E-5</v>
      </c>
      <c r="M19" s="5">
        <f>DEGREES(omega*(L19))</f>
        <v>40.932000000000002</v>
      </c>
      <c r="N19" s="4">
        <f t="shared" si="1"/>
        <v>4.5734700482522823E-2</v>
      </c>
      <c r="O19" s="4">
        <f>ABS((J19-M19)/J19)</f>
        <v>3.6003141490833543E-2</v>
      </c>
      <c r="P19" t="str">
        <f>IMSUB(v_in,IMSUM(P17,P18))</f>
        <v>0.544260799187957+0.498037128791864i</v>
      </c>
      <c r="Q19" s="5" t="str">
        <f>COMPLEX(K19*COS(RADIANS(M19)),K19*SIN(RADIANS(M19)))</f>
        <v>0.531863323232626+0.461234653294771i</v>
      </c>
    </row>
    <row r="20" spans="1:17" x14ac:dyDescent="0.25">
      <c r="A20" t="s">
        <v>2</v>
      </c>
      <c r="B20">
        <f>DEGREES(ATAN((B17+B18)/r_res))</f>
        <v>-42.460719284191335</v>
      </c>
      <c r="C20">
        <f>DEGREES(IMARGUMENT(IMDIV(COMPLEX(1,0),$G$19)))</f>
        <v>-40.932000000000031</v>
      </c>
      <c r="D20" s="4">
        <f t="shared" si="0"/>
        <v>3.6003141490833522E-2</v>
      </c>
    </row>
    <row r="26" spans="1:17" x14ac:dyDescent="0.25">
      <c r="A26" t="str">
        <f>IMSUM(COMPLEX(0,$B$17),COMPLEX(0,$B$18),COMPLEX(r_res,0))</f>
        <v>980.48-897.208552896733i</v>
      </c>
    </row>
    <row r="27" spans="1:17" x14ac:dyDescent="0.25">
      <c r="B27">
        <f>IMABS(A26)</f>
        <v>1329.0313080552503</v>
      </c>
    </row>
    <row r="28" spans="1:17" x14ac:dyDescent="0.25">
      <c r="B28">
        <f>DEGREES(IMARGUMENT(A26))</f>
        <v>-42.460719284191271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c_cap</vt:lpstr>
      <vt:lpstr>l_ind</vt:lpstr>
      <vt:lpstr>omega</vt:lpstr>
      <vt:lpstr>r_res</vt:lpstr>
      <vt:lpstr>t_period</vt:lpstr>
      <vt:lpstr>v_in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ABSOLUTE INSANITY</dc:creator>
  <cp:lastModifiedBy>ABSOLUTE INSANITY</cp:lastModifiedBy>
  <dcterms:created xsi:type="dcterms:W3CDTF">2019-10-01T19:26:39Z</dcterms:created>
  <dcterms:modified xsi:type="dcterms:W3CDTF">2019-10-03T20:26:16Z</dcterms:modified>
</cp:coreProperties>
</file>