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petersharpe/Google Drive/School/Senior Year Summer/E-Bike/"/>
    </mc:Choice>
  </mc:AlternateContent>
  <bookViews>
    <workbookView xWindow="0" yWindow="440" windowWidth="28800" windowHeight="16660" tabRatio="500"/>
  </bookViews>
  <sheets>
    <sheet name="Parts v2" sheetId="4" r:id="rId1"/>
    <sheet name="Parts" sheetId="2" r:id="rId2"/>
    <sheet name="Speeds" sheetId="1" r:id="rId3"/>
  </sheets>
  <definedNames>
    <definedName name="solver_adj" localSheetId="2" hidden="1">Speeds!$E$20</definedName>
    <definedName name="solver_cvg" localSheetId="2" hidden="1">0.0001</definedName>
    <definedName name="solver_drv" localSheetId="2" hidden="1">1</definedName>
    <definedName name="solver_eng" localSheetId="2" hidden="1">3</definedName>
    <definedName name="solver_itr" localSheetId="2" hidden="1">2147483647</definedName>
    <definedName name="solver_lhs1" localSheetId="2" hidden="1">Speeds!$E$20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od" localSheetId="2" hidden="1">2147483647</definedName>
    <definedName name="solver_num" localSheetId="2" hidden="1">1</definedName>
    <definedName name="solver_opt" localSheetId="2" hidden="1">Speeds!$I$20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hs1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0</definedName>
    <definedName name="solver_ver" localSheetId="2" hidden="1">2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4" l="1"/>
  <c r="D20" i="4"/>
  <c r="D16" i="4"/>
  <c r="E12" i="1"/>
  <c r="E13" i="1"/>
  <c r="E17" i="1"/>
  <c r="E21" i="1"/>
  <c r="E14" i="1"/>
  <c r="G20" i="1"/>
  <c r="H20" i="1"/>
  <c r="E22" i="1"/>
  <c r="E24" i="1"/>
  <c r="E16" i="1"/>
  <c r="E19" i="1"/>
  <c r="E26" i="1"/>
  <c r="E27" i="1"/>
  <c r="E23" i="1"/>
  <c r="E15" i="1"/>
  <c r="E25" i="1"/>
  <c r="I20" i="1"/>
  <c r="E18" i="1"/>
  <c r="D15" i="4"/>
  <c r="G20" i="4"/>
  <c r="D11" i="4"/>
  <c r="D17" i="2"/>
  <c r="D16" i="2"/>
  <c r="D21" i="2"/>
  <c r="D26" i="2"/>
  <c r="F26" i="2"/>
  <c r="E3" i="1"/>
  <c r="E7" i="1"/>
  <c r="E4" i="1"/>
  <c r="E5" i="1"/>
  <c r="E6" i="1"/>
</calcChain>
</file>

<file path=xl/sharedStrings.xml><?xml version="1.0" encoding="utf-8"?>
<sst xmlns="http://schemas.openxmlformats.org/spreadsheetml/2006/main" count="207" uniqueCount="133">
  <si>
    <t>Cells</t>
  </si>
  <si>
    <t>Voltage</t>
  </si>
  <si>
    <t>RPM</t>
  </si>
  <si>
    <t>kV</t>
  </si>
  <si>
    <t>Drive Pulley Diam</t>
  </si>
  <si>
    <t>Wheel Pulley Diam</t>
  </si>
  <si>
    <t>Wheel RPM</t>
  </si>
  <si>
    <t>mm</t>
  </si>
  <si>
    <t>Speed, mph</t>
  </si>
  <si>
    <t>Tire Diam</t>
  </si>
  <si>
    <t>Energy, Wh</t>
  </si>
  <si>
    <t>Battery Capacity</t>
  </si>
  <si>
    <t>Ah</t>
  </si>
  <si>
    <t>Parts</t>
  </si>
  <si>
    <t>Bike</t>
  </si>
  <si>
    <t>Batteries</t>
  </si>
  <si>
    <t>ESC</t>
  </si>
  <si>
    <t>BMS</t>
  </si>
  <si>
    <t>Power Supply</t>
  </si>
  <si>
    <t>Motor</t>
  </si>
  <si>
    <t>Throttle Handle</t>
  </si>
  <si>
    <t>Drive Pulley</t>
  </si>
  <si>
    <t>Belt</t>
  </si>
  <si>
    <t>Zip Ties</t>
  </si>
  <si>
    <t>Cost</t>
  </si>
  <si>
    <t>Link</t>
  </si>
  <si>
    <t>https://www.amazon.com/Vilano-Urbana-Single-Speed-Folding/dp/B010RH72M4/ref=sr_1_2?ie=UTF8&amp;qid=1528326831&amp;sr=8-2&amp;keywords=vilano+urbana</t>
  </si>
  <si>
    <t>Description</t>
  </si>
  <si>
    <t>S&amp;H</t>
  </si>
  <si>
    <t>VESC</t>
  </si>
  <si>
    <t>Vilano Urbana Folding Bike</t>
  </si>
  <si>
    <t>12s 15A</t>
  </si>
  <si>
    <t>https://www.ebay.com/itm/12S-15A-Balance-Protect-Circuit-PCM-BMS-for-43-2v-44-4v-Li-ion-Li-Po-Battery-873/323217175378?hash=item4b413eb352:g:qooAAOSwNvxa2rCm</t>
  </si>
  <si>
    <t>https://hobbyking.com/en_us/turnigy-sk8-esc-v4-12-for-electric-skateboard-conversion-w-bec.html</t>
  </si>
  <si>
    <t>350W 48V</t>
  </si>
  <si>
    <t>https://www.ebay.com/itm/Mean-Well-350W-48V-SE-350-48-AC-DC-Single-Output-Switching-Power-Supply-MW-PSU-/141679524646?_trksid=p2349526.m4383.l4275.c10#viTabs_0</t>
  </si>
  <si>
    <t>https://hobbyking.com/en_us/turnigy-sk8-6374-149kv-sensored-brushless-motor-14p.html</t>
  </si>
  <si>
    <t>149kV, 3500W</t>
  </si>
  <si>
    <t>https://www.amazon.com/Electric-Scooter-Pocket-Control-Throttle/dp/B01NAP9N1Z/ref=sr_1_7?s=sporting-goods&amp;ie=UTF8&amp;qid=1527727520&amp;sr=1-7&amp;keywords=bike+throttle#customerReviews</t>
  </si>
  <si>
    <t>HTD5 12-tooth, 8mm bore, keyed</t>
  </si>
  <si>
    <t>http://www.beltingonline.com/12-tooth-htd5-pulley-12-5m-15f-7708</t>
  </si>
  <si>
    <t>http://www.beltingonline.com/5mm-htd-timing-belts-4575</t>
  </si>
  <si>
    <t>https://www.amazon.com/Heavy-Cable-500pcs-Self-Locking-Plastic/dp/B07478C7P2/ref=sr_1_2_sspa?s=electronics&amp;ie=UTF8&amp;qid=1527727955&amp;sr=1-2-spons&amp;keywords=zip+ties&amp;psc=1</t>
  </si>
  <si>
    <t>Total</t>
  </si>
  <si>
    <t>Thumb Brake</t>
  </si>
  <si>
    <t>For electronic braking</t>
  </si>
  <si>
    <t>https://www.amazon.com/gp/product/B01N1N29T0/ref=ox_sc_saved_title_7?smid=A35CTC57566HA8&amp;psc=1</t>
  </si>
  <si>
    <t>Brake Cables</t>
  </si>
  <si>
    <t>https://www.amazon.com/Shimano-Universal-Standard-Brake-Cable/dp/B0050LUBZ8/ref=sr_1_3?s=sporting-goods&amp;ie=UTF8&amp;qid=1528328158&amp;sr=1-3&amp;keywords=bike+brake+cable</t>
  </si>
  <si>
    <t>Brake Handle</t>
  </si>
  <si>
    <t>https://www.amazon.com/BicycleStore%C2%AE-Universal-Aluminum-Bicycle-Mountain/dp/B013QLONKM/ref=sr_1_3?s=sporting-goods&amp;ie=UTF8&amp;qid=1528328135&amp;sr=1-3&amp;keywords=brake+handle</t>
  </si>
  <si>
    <t>V-Brakes</t>
  </si>
  <si>
    <t>https://www.amazon.com/Brakes-Mountain-Replacement-Bicycle-Aluminum/dp/B078XFY8PZ/ref=sr_1_1_sspa?s=sporting-goods&amp;ie=UTF8&amp;qid=1528328267&amp;sr=1-1-spons&amp;keywords=bike+brakes&amp;psc=1</t>
  </si>
  <si>
    <t>Folding Helmet</t>
  </si>
  <si>
    <t>https://vod.ebay.com/vod/FetchOrderDetails?itemid=292582609126&amp;transid=1574382291019&amp;ul_noapp=true</t>
  </si>
  <si>
    <t>XT90s Connectors</t>
  </si>
  <si>
    <t>https://hobbyking.com/en_us/xt90-s-anti-spark-connector-2pairs-bag.html</t>
  </si>
  <si>
    <t>XT90 Female Connectors</t>
  </si>
  <si>
    <t>https://hobbyking.com/en_us/nylonxt90connectorsfemale-5pcs-bag.html</t>
  </si>
  <si>
    <t>2x bag of 5</t>
  </si>
  <si>
    <t>Arduino Nano</t>
  </si>
  <si>
    <t>Throttle &amp; Brake processing</t>
  </si>
  <si>
    <t>https://www.amazon.com/ATmega328P-Microcontroller-Board-Cable-Arduino/dp/B00NLAMS9C/ref=sr_1_4?ie=UTF8&amp;qid=1528329413&amp;sr=8-4&amp;keywords=arduino+nano</t>
  </si>
  <si>
    <t>Silicone Wire</t>
  </si>
  <si>
    <t>2x; one black, one red</t>
  </si>
  <si>
    <t>https://hobbyking.com/en_us/turnigy-high-quality-10awg-silicone-wire-2m-black.html</t>
  </si>
  <si>
    <t>XH Connectors</t>
  </si>
  <si>
    <t>For balance charging, x6</t>
  </si>
  <si>
    <t>https://www.getfpv.com/balance-lead-extension-cable-4s-jst-xh.html?utm_source=google&amp;utm_medium=cpc&amp;adpos=1o1&amp;scid=scplp8582&amp;sc_intid=8582&amp;gclid=EAIaIQobChMI_rmLz6PA2wIVCA9pCh0Y6wSIEAQYASABEgKfFvD_BwE</t>
  </si>
  <si>
    <t>12s 20 Ah, 5.0 kg</t>
  </si>
  <si>
    <t>https://hobbyking.com/en_us/multistar-high-capacity-6s-20000mah-multi-rotor-lipo-pack.html</t>
  </si>
  <si>
    <t>Bike Rack</t>
  </si>
  <si>
    <t>For mounting</t>
  </si>
  <si>
    <t>https://www.amazon.com/dp/B075QKG6D7/ref=sspa_dk_detail_5?psc=1</t>
  </si>
  <si>
    <t>Subsystem</t>
  </si>
  <si>
    <t>Electric</t>
  </si>
  <si>
    <t>Base</t>
  </si>
  <si>
    <t>Structures</t>
  </si>
  <si>
    <t>Charging</t>
  </si>
  <si>
    <t>Braking</t>
  </si>
  <si>
    <t>https://hobbyking.com/en_us/turnigy-sk8-6364-110kv-sensored-brushless-motor-14p.html</t>
  </si>
  <si>
    <t>Target</t>
  </si>
  <si>
    <t>https://www.ebay.com/itm/272283234780</t>
  </si>
  <si>
    <t>15V 5A</t>
  </si>
  <si>
    <t>Charger</t>
  </si>
  <si>
    <t>Turnigy B6</t>
  </si>
  <si>
    <t>https://www.ebay.com/itm/163158708441</t>
  </si>
  <si>
    <t>Bought</t>
  </si>
  <si>
    <t>XT90 Anti-Spark</t>
  </si>
  <si>
    <t>XT90 Y-harness</t>
  </si>
  <si>
    <t>https://hobbyking.com/en_us/xt90-battery-harness-10awg-for-2-packs-in-series.html</t>
  </si>
  <si>
    <t>2x</t>
  </si>
  <si>
    <t>XT90 Generic</t>
  </si>
  <si>
    <t>https://hobbyking.com/en_us/nylon-xt90-connectors-male-female-5-pairs-black-1.html</t>
  </si>
  <si>
    <t>Pulley Drive</t>
  </si>
  <si>
    <t>Friction Drive</t>
  </si>
  <si>
    <t>Can Diameter</t>
  </si>
  <si>
    <t>No-load RPM</t>
  </si>
  <si>
    <t>No-load speed, mph</t>
  </si>
  <si>
    <t>Max Amperage</t>
  </si>
  <si>
    <t>Amps</t>
  </si>
  <si>
    <t>System Mass</t>
  </si>
  <si>
    <t>lb</t>
  </si>
  <si>
    <t>Instantaneous Accel., mph/s</t>
  </si>
  <si>
    <t>Instantaneous Accel., g</t>
  </si>
  <si>
    <t>Top Speed, mph</t>
  </si>
  <si>
    <t>Top Speed, m/s</t>
  </si>
  <si>
    <t>Max torque, Nm</t>
  </si>
  <si>
    <t>Rolling Resistance Coeff</t>
  </si>
  <si>
    <t>CdA</t>
  </si>
  <si>
    <t>m^2</t>
  </si>
  <si>
    <t>Max Wattage</t>
  </si>
  <si>
    <t>W</t>
  </si>
  <si>
    <t>Power in, W</t>
  </si>
  <si>
    <t>Power out, W</t>
  </si>
  <si>
    <t>Residual</t>
  </si>
  <si>
    <t>Torque @ Max Power, Nm</t>
  </si>
  <si>
    <t>Wh/mi at Top Speed</t>
  </si>
  <si>
    <t>Power at Top Speed, W</t>
  </si>
  <si>
    <t>Range at Top Speed, mi.</t>
  </si>
  <si>
    <t>Current at Top Speed, A</t>
  </si>
  <si>
    <t>Max Hill Climb Angle, deg</t>
  </si>
  <si>
    <t>Max Hill Climb Angle, % grade</t>
  </si>
  <si>
    <t>12s 12 Ah</t>
  </si>
  <si>
    <t>https://hobbyking.com/en_us/multistar-high-capacity-6s-12000mah-multi-rotor-lipo-pack-1.html</t>
  </si>
  <si>
    <t>x</t>
  </si>
  <si>
    <t>McMaster Parts</t>
  </si>
  <si>
    <t>Assorted parts</t>
  </si>
  <si>
    <t>See image to the right</t>
  </si>
  <si>
    <t>Total of unpurchased parts</t>
  </si>
  <si>
    <t>Total including already-purchased parts</t>
  </si>
  <si>
    <t>https://www.ebay.com/itm/VESC-6-Electronic-Speed-Controller-eBike-eSkateboard-RC-Model-Car-Boat-Drone/123335666851?hash=item1cb760eca3:g:sU8AAOSwdudbhESP</t>
  </si>
  <si>
    <t>VESC6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</si>
</sst>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20"/>
      <color theme="8" tint="-0.249977111117893"/>
      <name val="Calibri"/>
      <family val="2"/>
      <scheme val="minor"/>
    </font>
    <font>
      <sz val="12"/>
      <color theme="10"/>
      <name val="Calibri"/>
      <family val="2"/>
      <scheme val="minor"/>
    </font>
    <font>
      <sz val="2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8"/>
      </top>
      <bottom style="thin">
        <color theme="8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0" xfId="2"/>
    <xf numFmtId="0" fontId="3" fillId="0" borderId="0" xfId="0" applyFont="1"/>
    <xf numFmtId="0" fontId="3" fillId="0" borderId="0" xfId="1" applyNumberFormat="1" applyFont="1" applyAlignment="1">
      <alignment horizontal="left"/>
    </xf>
    <xf numFmtId="44" fontId="3" fillId="0" borderId="0" xfId="1" applyFont="1"/>
    <xf numFmtId="0" fontId="4" fillId="0" borderId="0" xfId="2" applyFont="1"/>
    <xf numFmtId="44" fontId="3" fillId="0" borderId="0" xfId="0" applyNumberFormat="1" applyFont="1"/>
    <xf numFmtId="0" fontId="3" fillId="0" borderId="0" xfId="0" applyNumberFormat="1" applyFont="1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0" fontId="5" fillId="0" borderId="0" xfId="0" applyFont="1"/>
    <xf numFmtId="164" fontId="5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4" fontId="6" fillId="0" borderId="1" xfId="0" applyNumberFormat="1" applyFont="1" applyBorder="1"/>
    <xf numFmtId="0" fontId="7" fillId="0" borderId="0" xfId="2" applyFont="1"/>
    <xf numFmtId="0" fontId="8" fillId="0" borderId="0" xfId="2" applyFont="1"/>
    <xf numFmtId="0" fontId="0" fillId="0" borderId="0" xfId="0" applyFont="1"/>
    <xf numFmtId="0" fontId="7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602-4187-A231-881036E33A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602-4187-A231-881036E33A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602-4187-A231-881036E33A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602-4187-A231-881036E33A1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E602-4187-A231-881036E33A1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E602-4187-A231-881036E33A1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E602-4187-A231-881036E33A1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602-4187-A231-881036E33A1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E602-4187-A231-881036E33A1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E602-4187-A231-881036E33A1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E602-4187-A231-881036E33A1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E602-4187-A231-881036E33A1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E602-4187-A231-881036E33A1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E602-4187-A231-881036E33A1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E602-4187-A231-881036E33A1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E602-4187-A231-881036E33A1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E602-4187-A231-881036E33A1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E602-4187-A231-881036E33A1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E602-4187-A231-881036E33A1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E602-4187-A231-881036E33A1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9-E602-4187-A231-881036E33A1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B-E602-4187-A231-881036E33A1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D-E602-4187-A231-881036E33A1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F-E602-4187-A231-881036E33A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'Parts v2'!$A$2:$A$20</c:f>
              <c:strCache>
                <c:ptCount val="16"/>
                <c:pt idx="0">
                  <c:v>Batteries</c:v>
                </c:pt>
                <c:pt idx="1">
                  <c:v>Bike</c:v>
                </c:pt>
                <c:pt idx="2">
                  <c:v>Motor</c:v>
                </c:pt>
                <c:pt idx="3">
                  <c:v>ESC</c:v>
                </c:pt>
                <c:pt idx="4">
                  <c:v>Bike Rack</c:v>
                </c:pt>
                <c:pt idx="5">
                  <c:v>Power Supply</c:v>
                </c:pt>
                <c:pt idx="6">
                  <c:v>Throttle Handle</c:v>
                </c:pt>
                <c:pt idx="7">
                  <c:v>Folding Helmet</c:v>
                </c:pt>
                <c:pt idx="8">
                  <c:v>Zip Ties</c:v>
                </c:pt>
                <c:pt idx="9">
                  <c:v>Silicone Wire</c:v>
                </c:pt>
                <c:pt idx="10">
                  <c:v>Arduino Nano</c:v>
                </c:pt>
                <c:pt idx="11">
                  <c:v>XT90 Generic</c:v>
                </c:pt>
                <c:pt idx="12">
                  <c:v>XT90 Anti-Spark</c:v>
                </c:pt>
                <c:pt idx="13">
                  <c:v>XT90 Y-harness</c:v>
                </c:pt>
                <c:pt idx="14">
                  <c:v>Charger</c:v>
                </c:pt>
                <c:pt idx="15">
                  <c:v>McMaster Parts</c:v>
                </c:pt>
              </c:strCache>
            </c:strRef>
          </c:cat>
          <c:val>
            <c:numRef>
              <c:f>'Parts v2'!$D$2:$D$19</c:f>
              <c:numCache>
                <c:formatCode>_("$"* #,##0.00_);_("$"* \(#,##0.00\);_("$"* "-"??_);_(@_)</c:formatCode>
                <c:ptCount val="18"/>
                <c:pt idx="0">
                  <c:v>219.22</c:v>
                </c:pt>
                <c:pt idx="1">
                  <c:v>199.0</c:v>
                </c:pt>
                <c:pt idx="2">
                  <c:v>91.2</c:v>
                </c:pt>
                <c:pt idx="3">
                  <c:v>180.67</c:v>
                </c:pt>
                <c:pt idx="4">
                  <c:v>25.0</c:v>
                </c:pt>
                <c:pt idx="5">
                  <c:v>13.98</c:v>
                </c:pt>
                <c:pt idx="6">
                  <c:v>15.95</c:v>
                </c:pt>
                <c:pt idx="7">
                  <c:v>13.25</c:v>
                </c:pt>
                <c:pt idx="8">
                  <c:v>11.49</c:v>
                </c:pt>
                <c:pt idx="9">
                  <c:v>11.16</c:v>
                </c:pt>
                <c:pt idx="10">
                  <c:v>8.29</c:v>
                </c:pt>
                <c:pt idx="11">
                  <c:v>5.93</c:v>
                </c:pt>
                <c:pt idx="12">
                  <c:v>5.8</c:v>
                </c:pt>
                <c:pt idx="13">
                  <c:v>9.1</c:v>
                </c:pt>
                <c:pt idx="14">
                  <c:v>31.84</c:v>
                </c:pt>
                <c:pt idx="15">
                  <c:v>25.17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0-E602-4187-A231-881036E33A1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46A-443E-87BC-1FB0BF9003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46A-443E-87BC-1FB0BF9003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46A-443E-87BC-1FB0BF9003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46A-443E-87BC-1FB0BF90035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46A-443E-87BC-1FB0BF90035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46A-443E-87BC-1FB0BF90035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246A-443E-87BC-1FB0BF90035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246A-443E-87BC-1FB0BF90035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246A-443E-87BC-1FB0BF90035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246A-443E-87BC-1FB0BF90035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246A-443E-87BC-1FB0BF90035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246A-443E-87BC-1FB0BF90035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246A-443E-87BC-1FB0BF90035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246A-443E-87BC-1FB0BF90035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246A-443E-87BC-1FB0BF90035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246A-443E-87BC-1FB0BF90035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246A-443E-87BC-1FB0BF90035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246A-443E-87BC-1FB0BF90035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246A-443E-87BC-1FB0BF90035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246A-443E-87BC-1FB0BF90035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9-246A-443E-87BC-1FB0BF900352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B-246A-443E-87BC-1FB0BF900352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D-246A-443E-87BC-1FB0BF900352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F-246A-443E-87BC-1FB0BF9003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Parts!$A$2:$A$25</c:f>
              <c:strCache>
                <c:ptCount val="21"/>
                <c:pt idx="0">
                  <c:v>Batteries</c:v>
                </c:pt>
                <c:pt idx="1">
                  <c:v>Bike</c:v>
                </c:pt>
                <c:pt idx="2">
                  <c:v>Motor</c:v>
                </c:pt>
                <c:pt idx="3">
                  <c:v>ESC</c:v>
                </c:pt>
                <c:pt idx="4">
                  <c:v>Bike Rack</c:v>
                </c:pt>
                <c:pt idx="5">
                  <c:v>Power Supply</c:v>
                </c:pt>
                <c:pt idx="6">
                  <c:v>BMS</c:v>
                </c:pt>
                <c:pt idx="7">
                  <c:v>V-Brakes</c:v>
                </c:pt>
                <c:pt idx="8">
                  <c:v>Throttle Handle</c:v>
                </c:pt>
                <c:pt idx="9">
                  <c:v>Folding Helmet</c:v>
                </c:pt>
                <c:pt idx="10">
                  <c:v>Thumb Brake</c:v>
                </c:pt>
                <c:pt idx="11">
                  <c:v>Drive Pulley</c:v>
                </c:pt>
                <c:pt idx="12">
                  <c:v>Belt</c:v>
                </c:pt>
                <c:pt idx="13">
                  <c:v>Zip Ties</c:v>
                </c:pt>
                <c:pt idx="14">
                  <c:v>Silicone Wire</c:v>
                </c:pt>
                <c:pt idx="15">
                  <c:v>XH Connectors</c:v>
                </c:pt>
                <c:pt idx="16">
                  <c:v>Brake Cables</c:v>
                </c:pt>
                <c:pt idx="17">
                  <c:v>Brake Handle</c:v>
                </c:pt>
                <c:pt idx="18">
                  <c:v>Arduino Nano</c:v>
                </c:pt>
                <c:pt idx="19">
                  <c:v>XT90 Female Connectors</c:v>
                </c:pt>
                <c:pt idx="20">
                  <c:v>XT90s Connectors</c:v>
                </c:pt>
              </c:strCache>
            </c:strRef>
          </c:cat>
          <c:val>
            <c:numRef>
              <c:f>Parts!$D$2:$D$25</c:f>
              <c:numCache>
                <c:formatCode>_("$"* #,##0.00_);_("$"* \(#,##0.00\);_("$"* "-"??_);_(@_)</c:formatCode>
                <c:ptCount val="24"/>
                <c:pt idx="0">
                  <c:v>259.08</c:v>
                </c:pt>
                <c:pt idx="1">
                  <c:v>199.0</c:v>
                </c:pt>
                <c:pt idx="2">
                  <c:v>97.63</c:v>
                </c:pt>
                <c:pt idx="3">
                  <c:v>91.82</c:v>
                </c:pt>
                <c:pt idx="4">
                  <c:v>34.99</c:v>
                </c:pt>
                <c:pt idx="5">
                  <c:v>32.96</c:v>
                </c:pt>
                <c:pt idx="6">
                  <c:v>24.95</c:v>
                </c:pt>
                <c:pt idx="7">
                  <c:v>17.99</c:v>
                </c:pt>
                <c:pt idx="8">
                  <c:v>15.95</c:v>
                </c:pt>
                <c:pt idx="9">
                  <c:v>13.25</c:v>
                </c:pt>
                <c:pt idx="10">
                  <c:v>12.95</c:v>
                </c:pt>
                <c:pt idx="11">
                  <c:v>12.31</c:v>
                </c:pt>
                <c:pt idx="12">
                  <c:v>12.22</c:v>
                </c:pt>
                <c:pt idx="13">
                  <c:v>11.49</c:v>
                </c:pt>
                <c:pt idx="14">
                  <c:v>11.16</c:v>
                </c:pt>
                <c:pt idx="15">
                  <c:v>10.74</c:v>
                </c:pt>
                <c:pt idx="16">
                  <c:v>10.55</c:v>
                </c:pt>
                <c:pt idx="17">
                  <c:v>9.99</c:v>
                </c:pt>
                <c:pt idx="18">
                  <c:v>8.29</c:v>
                </c:pt>
                <c:pt idx="19">
                  <c:v>5.82</c:v>
                </c:pt>
                <c:pt idx="20">
                  <c:v>5.8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0-246A-443E-87BC-1FB0BF90035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6</xdr:col>
      <xdr:colOff>2524127</xdr:colOff>
      <xdr:row>37</xdr:row>
      <xdr:rowOff>280448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455899</xdr:colOff>
      <xdr:row>15</xdr:row>
      <xdr:rowOff>162820</xdr:rowOff>
    </xdr:from>
    <xdr:to>
      <xdr:col>29</xdr:col>
      <xdr:colOff>386537</xdr:colOff>
      <xdr:row>30</xdr:row>
      <xdr:rowOff>40704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9745" y="5047435"/>
          <a:ext cx="18199100" cy="47625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26</xdr:row>
      <xdr:rowOff>0</xdr:rowOff>
    </xdr:from>
    <xdr:to>
      <xdr:col>5</xdr:col>
      <xdr:colOff>5486401</xdr:colOff>
      <xdr:row>42</xdr:row>
      <xdr:rowOff>280449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3" displayName="Table13" ref="A1:G20" totalsRowCount="1" headerRowDxfId="26">
  <autoFilter ref="A1:G19"/>
  <sortState ref="A2:F25">
    <sortCondition descending="1" ref="D1:D25"/>
  </sortState>
  <tableColumns count="7">
    <tableColumn id="1" name="Parts" totalsRowLabel="Total of unpurchased parts" dataDxfId="9" totalsRowDxfId="6"/>
    <tableColumn id="6" name="Subsystem" dataDxfId="25" totalsRowDxfId="5"/>
    <tableColumn id="2" name="Description" dataDxfId="24" totalsRowDxfId="4"/>
    <tableColumn id="3" name="Cost" totalsRowFunction="custom" dataDxfId="7" totalsRowDxfId="3" dataCellStyle="Currency">
      <totalsRowFormula>SUMIF(Table13[Bought],"",Table13[Cost])</totalsRowFormula>
    </tableColumn>
    <tableColumn id="4" name="S&amp;H" dataDxfId="23" totalsRowDxfId="2" dataCellStyle="Currency"/>
    <tableColumn id="7" name="Bought" dataDxfId="8" totalsRowDxfId="1" dataCellStyle="Currency"/>
    <tableColumn id="5" name="Link" totalsRowFunction="count" dataDxfId="10" totalsRowDxfId="0" dataCellStyle="Hyperlink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F26" totalsRowCount="1" headerRowDxfId="22">
  <autoFilter ref="A1:F25"/>
  <sortState ref="A2:F25">
    <sortCondition descending="1" ref="D1:D25"/>
  </sortState>
  <tableColumns count="6">
    <tableColumn id="1" name="Parts" totalsRowLabel="Total" dataDxfId="21" totalsRowDxfId="16"/>
    <tableColumn id="6" name="Subsystem" dataDxfId="20" totalsRowDxfId="15"/>
    <tableColumn id="2" name="Description" dataDxfId="19" totalsRowDxfId="14"/>
    <tableColumn id="3" name="Cost" totalsRowFunction="custom" dataDxfId="18" totalsRowDxfId="13" dataCellStyle="Currency">
      <totalsRowFormula>SUM(Table1[Cost])+SUM(Table1[S&amp;H])</totalsRowFormula>
    </tableColumn>
    <tableColumn id="4" name="S&amp;H" dataDxfId="17" totalsRowDxfId="12" dataCellStyle="Currency"/>
    <tableColumn id="5" name="Link" totalsRowFunction="count" totalsRowDxfId="11" dataCellStyle="Hyperlink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Heavy-Cable-500pcs-Self-Locking-Plastic/dp/B07478C7P2/ref=sr_1_2_sspa?s=electronics&amp;ie=UTF8&amp;qid=1527727955&amp;sr=1-2-spons&amp;keywords=zip+ties&amp;psc=1" TargetMode="External"/><Relationship Id="rId4" Type="http://schemas.openxmlformats.org/officeDocument/2006/relationships/drawing" Target="../drawings/drawing1.xml"/><Relationship Id="rId5" Type="http://schemas.openxmlformats.org/officeDocument/2006/relationships/table" Target="../tables/table1.xml"/><Relationship Id="rId1" Type="http://schemas.openxmlformats.org/officeDocument/2006/relationships/hyperlink" Target="https://www.amazon.com/Vilano-Urbana-Single-Speed-Folding/dp/B010RH72M4/ref=sr_1_2?ie=UTF8&amp;qid=1528326831&amp;sr=8-2&amp;keywords=vilano+urbana" TargetMode="External"/><Relationship Id="rId2" Type="http://schemas.openxmlformats.org/officeDocument/2006/relationships/hyperlink" Target="https://www.amazon.com/Electric-Scooter-Pocket-Control-Throttle/dp/B01NAP9N1Z/ref=sr_1_7?s=sporting-goods&amp;ie=UTF8&amp;qid=1527727520&amp;sr=1-7&amp;keywords=bike+throttl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hobbyking.com/en_us/turnigy-sk8-esc-v4-12-for-electric-skateboard-conversion-w-bec.html" TargetMode="External"/><Relationship Id="rId4" Type="http://schemas.openxmlformats.org/officeDocument/2006/relationships/hyperlink" Target="https://www.ebay.com/itm/Mean-Well-350W-48V-SE-350-48-AC-DC-Single-Output-Switching-Power-Supply-MW-PSU-/141679524646?_trksid=p2349526.m4383.l4275.c10" TargetMode="External"/><Relationship Id="rId5" Type="http://schemas.openxmlformats.org/officeDocument/2006/relationships/hyperlink" Target="https://hobbyking.com/en_us/turnigy-sk8-6374-149kv-sensored-brushless-motor-14p.html" TargetMode="External"/><Relationship Id="rId6" Type="http://schemas.openxmlformats.org/officeDocument/2006/relationships/hyperlink" Target="https://www.amazon.com/Electric-Scooter-Pocket-Control-Throttle/dp/B01NAP9N1Z/ref=sr_1_7?s=sporting-goods&amp;ie=UTF8&amp;qid=1527727520&amp;sr=1-7&amp;keywords=bike+throttle" TargetMode="External"/><Relationship Id="rId7" Type="http://schemas.openxmlformats.org/officeDocument/2006/relationships/hyperlink" Target="http://www.beltingonline.com/12-tooth-htd5-pulley-12-5m-15f-7708" TargetMode="External"/><Relationship Id="rId8" Type="http://schemas.openxmlformats.org/officeDocument/2006/relationships/hyperlink" Target="http://www.beltingonline.com/5mm-htd-timing-belts-4575" TargetMode="External"/><Relationship Id="rId9" Type="http://schemas.openxmlformats.org/officeDocument/2006/relationships/hyperlink" Target="https://www.amazon.com/Heavy-Cable-500pcs-Self-Locking-Plastic/dp/B07478C7P2/ref=sr_1_2_sspa?s=electronics&amp;ie=UTF8&amp;qid=1527727955&amp;sr=1-2-spons&amp;keywords=zip+ties&amp;psc=1" TargetMode="External"/><Relationship Id="rId10" Type="http://schemas.openxmlformats.org/officeDocument/2006/relationships/drawing" Target="../drawings/drawing2.xml"/><Relationship Id="rId11" Type="http://schemas.openxmlformats.org/officeDocument/2006/relationships/table" Target="../tables/table2.xml"/><Relationship Id="rId1" Type="http://schemas.openxmlformats.org/officeDocument/2006/relationships/hyperlink" Target="https://www.amazon.com/Vilano-Urbana-Single-Speed-Folding/dp/B010RH72M4/ref=sr_1_2?ie=UTF8&amp;qid=1528326831&amp;sr=8-2&amp;keywords=vilano+urbana" TargetMode="External"/><Relationship Id="rId2" Type="http://schemas.openxmlformats.org/officeDocument/2006/relationships/hyperlink" Target="https://www.ebay.com/itm/12S-15A-Balance-Protect-Circuit-PCM-BMS-for-43-2v-44-4v-Li-ion-Li-Po-Battery-873/323217175378?hash=item4b413eb352:g:qooAAOSwNvxa2rC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="78" zoomScaleNormal="78" zoomScalePageLayoutView="78" workbookViewId="0">
      <selection activeCell="D21" sqref="D21"/>
    </sheetView>
  </sheetViews>
  <sheetFormatPr baseColWidth="10" defaultColWidth="10.83203125" defaultRowHeight="26" x14ac:dyDescent="0.3"/>
  <cols>
    <col min="1" max="1" width="22.6640625" style="5" bestFit="1" customWidth="1"/>
    <col min="2" max="2" width="22.6640625" style="5" customWidth="1"/>
    <col min="3" max="3" width="39.83203125" style="5" bestFit="1" customWidth="1"/>
    <col min="4" max="4" width="14.83203125" style="7" bestFit="1" customWidth="1"/>
    <col min="5" max="5" width="11.33203125" style="7" bestFit="1" customWidth="1"/>
    <col min="6" max="6" width="14.83203125" style="7" bestFit="1" customWidth="1"/>
    <col min="7" max="7" width="33.1640625" style="5" customWidth="1"/>
    <col min="8" max="16384" width="10.83203125" style="5"/>
  </cols>
  <sheetData>
    <row r="1" spans="1:7" x14ac:dyDescent="0.3">
      <c r="A1" s="5" t="s">
        <v>13</v>
      </c>
      <c r="B1" s="5" t="s">
        <v>74</v>
      </c>
      <c r="C1" s="5" t="s">
        <v>27</v>
      </c>
      <c r="D1" s="6" t="s">
        <v>24</v>
      </c>
      <c r="E1" s="6" t="s">
        <v>28</v>
      </c>
      <c r="F1" s="6" t="s">
        <v>87</v>
      </c>
      <c r="G1" s="5" t="s">
        <v>25</v>
      </c>
    </row>
    <row r="2" spans="1:7" x14ac:dyDescent="0.3">
      <c r="A2" s="5" t="s">
        <v>15</v>
      </c>
      <c r="B2" s="5" t="s">
        <v>75</v>
      </c>
      <c r="C2" s="5" t="s">
        <v>123</v>
      </c>
      <c r="D2" s="7">
        <f>109.61*2</f>
        <v>219.22</v>
      </c>
      <c r="E2" s="7">
        <v>0</v>
      </c>
      <c r="G2" s="19" t="s">
        <v>124</v>
      </c>
    </row>
    <row r="3" spans="1:7" x14ac:dyDescent="0.3">
      <c r="A3" s="5" t="s">
        <v>14</v>
      </c>
      <c r="B3" s="5" t="s">
        <v>76</v>
      </c>
      <c r="C3" s="5" t="s">
        <v>30</v>
      </c>
      <c r="D3" s="7">
        <v>199</v>
      </c>
      <c r="E3" s="7">
        <v>0</v>
      </c>
      <c r="F3" s="7" t="s">
        <v>125</v>
      </c>
      <c r="G3" s="20" t="s">
        <v>26</v>
      </c>
    </row>
    <row r="4" spans="1:7" x14ac:dyDescent="0.3">
      <c r="A4" s="5" t="s">
        <v>19</v>
      </c>
      <c r="B4" s="5" t="s">
        <v>75</v>
      </c>
      <c r="C4" s="5" t="s">
        <v>37</v>
      </c>
      <c r="D4" s="7">
        <v>91.2</v>
      </c>
      <c r="E4" s="7">
        <v>0</v>
      </c>
      <c r="G4" s="19" t="s">
        <v>80</v>
      </c>
    </row>
    <row r="5" spans="1:7" x14ac:dyDescent="0.3">
      <c r="A5" s="5" t="s">
        <v>16</v>
      </c>
      <c r="B5" s="5" t="s">
        <v>75</v>
      </c>
      <c r="C5" s="5" t="s">
        <v>132</v>
      </c>
      <c r="D5" s="7">
        <v>180.67</v>
      </c>
      <c r="E5" s="7">
        <v>0</v>
      </c>
      <c r="G5" s="19" t="s">
        <v>131</v>
      </c>
    </row>
    <row r="6" spans="1:7" x14ac:dyDescent="0.3">
      <c r="A6" s="5" t="s">
        <v>71</v>
      </c>
      <c r="B6" s="5" t="s">
        <v>77</v>
      </c>
      <c r="C6" s="5" t="s">
        <v>72</v>
      </c>
      <c r="D6" s="7">
        <v>25</v>
      </c>
      <c r="E6" s="7">
        <v>0</v>
      </c>
      <c r="F6" s="7" t="s">
        <v>125</v>
      </c>
      <c r="G6" s="19" t="s">
        <v>81</v>
      </c>
    </row>
    <row r="7" spans="1:7" x14ac:dyDescent="0.3">
      <c r="A7" s="5" t="s">
        <v>18</v>
      </c>
      <c r="B7" s="5" t="s">
        <v>78</v>
      </c>
      <c r="C7" s="5" t="s">
        <v>83</v>
      </c>
      <c r="D7" s="7">
        <v>13.98</v>
      </c>
      <c r="E7" s="7">
        <v>0</v>
      </c>
      <c r="G7" s="19" t="s">
        <v>82</v>
      </c>
    </row>
    <row r="8" spans="1:7" x14ac:dyDescent="0.3">
      <c r="A8" s="5" t="s">
        <v>20</v>
      </c>
      <c r="B8" s="5" t="s">
        <v>75</v>
      </c>
      <c r="D8" s="7">
        <v>15.95</v>
      </c>
      <c r="E8" s="7">
        <v>0</v>
      </c>
      <c r="G8" s="19" t="s">
        <v>38</v>
      </c>
    </row>
    <row r="9" spans="1:7" x14ac:dyDescent="0.3">
      <c r="A9" s="5" t="s">
        <v>53</v>
      </c>
      <c r="B9" s="5" t="s">
        <v>76</v>
      </c>
      <c r="D9" s="7">
        <v>13.25</v>
      </c>
      <c r="E9" s="7">
        <v>0</v>
      </c>
      <c r="F9" s="7" t="s">
        <v>125</v>
      </c>
      <c r="G9" s="19" t="s">
        <v>54</v>
      </c>
    </row>
    <row r="10" spans="1:7" x14ac:dyDescent="0.3">
      <c r="A10" s="5" t="s">
        <v>23</v>
      </c>
      <c r="B10" s="5" t="s">
        <v>77</v>
      </c>
      <c r="D10" s="7">
        <v>11.49</v>
      </c>
      <c r="E10" s="7">
        <v>0</v>
      </c>
      <c r="F10" s="7" t="s">
        <v>125</v>
      </c>
      <c r="G10" s="19" t="s">
        <v>42</v>
      </c>
    </row>
    <row r="11" spans="1:7" x14ac:dyDescent="0.3">
      <c r="A11" s="5" t="s">
        <v>63</v>
      </c>
      <c r="B11" s="5" t="s">
        <v>75</v>
      </c>
      <c r="C11" s="5" t="s">
        <v>64</v>
      </c>
      <c r="D11" s="7">
        <f>5.58*2</f>
        <v>11.16</v>
      </c>
      <c r="E11" s="7">
        <v>0</v>
      </c>
      <c r="G11" s="19" t="s">
        <v>65</v>
      </c>
    </row>
    <row r="12" spans="1:7" x14ac:dyDescent="0.3">
      <c r="A12" s="5" t="s">
        <v>60</v>
      </c>
      <c r="B12" s="5" t="s">
        <v>75</v>
      </c>
      <c r="C12" s="5" t="s">
        <v>61</v>
      </c>
      <c r="D12" s="7">
        <v>8.2899999999999991</v>
      </c>
      <c r="E12" s="7">
        <v>0</v>
      </c>
      <c r="F12" s="7" t="s">
        <v>125</v>
      </c>
      <c r="G12" s="19" t="s">
        <v>62</v>
      </c>
    </row>
    <row r="13" spans="1:7" x14ac:dyDescent="0.3">
      <c r="A13" s="5" t="s">
        <v>92</v>
      </c>
      <c r="B13" s="5" t="s">
        <v>75</v>
      </c>
      <c r="D13" s="7">
        <v>5.93</v>
      </c>
      <c r="E13" s="7">
        <v>0</v>
      </c>
      <c r="G13" s="19" t="s">
        <v>93</v>
      </c>
    </row>
    <row r="14" spans="1:7" x14ac:dyDescent="0.3">
      <c r="A14" s="5" t="s">
        <v>88</v>
      </c>
      <c r="B14" s="5" t="s">
        <v>75</v>
      </c>
      <c r="D14" s="7">
        <v>5.8</v>
      </c>
      <c r="E14" s="7">
        <v>0</v>
      </c>
      <c r="G14" s="19" t="s">
        <v>56</v>
      </c>
    </row>
    <row r="15" spans="1:7" x14ac:dyDescent="0.3">
      <c r="A15" s="5" t="s">
        <v>89</v>
      </c>
      <c r="B15" s="5" t="s">
        <v>75</v>
      </c>
      <c r="C15" s="5" t="s">
        <v>91</v>
      </c>
      <c r="D15" s="7">
        <f>4.55*2</f>
        <v>9.1</v>
      </c>
      <c r="E15" s="7">
        <v>0</v>
      </c>
      <c r="G15" s="19" t="s">
        <v>90</v>
      </c>
    </row>
    <row r="16" spans="1:7" x14ac:dyDescent="0.3">
      <c r="A16" s="5" t="s">
        <v>84</v>
      </c>
      <c r="B16" s="5" t="s">
        <v>78</v>
      </c>
      <c r="C16" s="5" t="s">
        <v>85</v>
      </c>
      <c r="D16" s="7">
        <f>15.92*2</f>
        <v>31.84</v>
      </c>
      <c r="E16" s="7">
        <v>0</v>
      </c>
      <c r="G16" s="19" t="s">
        <v>86</v>
      </c>
    </row>
    <row r="17" spans="1:7" x14ac:dyDescent="0.3">
      <c r="A17" s="5" t="s">
        <v>126</v>
      </c>
      <c r="B17" s="5" t="s">
        <v>77</v>
      </c>
      <c r="C17" s="5" t="s">
        <v>127</v>
      </c>
      <c r="D17" s="7">
        <v>25.17</v>
      </c>
      <c r="E17" s="7">
        <v>5</v>
      </c>
      <c r="G17" s="21" t="s">
        <v>128</v>
      </c>
    </row>
    <row r="18" spans="1:7" x14ac:dyDescent="0.3">
      <c r="G18" s="19"/>
    </row>
    <row r="19" spans="1:7" x14ac:dyDescent="0.3">
      <c r="G19" s="19"/>
    </row>
    <row r="20" spans="1:7" x14ac:dyDescent="0.3">
      <c r="A20" s="5" t="s">
        <v>129</v>
      </c>
      <c r="D20" s="9">
        <f>SUMIF(Table13[Bought],"",Table13[Cost])</f>
        <v>610.02</v>
      </c>
      <c r="E20" s="10"/>
      <c r="F20" s="5"/>
      <c r="G20" s="22">
        <f>SUBTOTAL(103,Table13[Link])</f>
        <v>16</v>
      </c>
    </row>
    <row r="21" spans="1:7" x14ac:dyDescent="0.3">
      <c r="A21" s="5" t="s">
        <v>130</v>
      </c>
      <c r="D21" s="18"/>
      <c r="E21" s="10"/>
      <c r="F21" s="9"/>
      <c r="G21" s="22"/>
    </row>
  </sheetData>
  <hyperlinks>
    <hyperlink ref="G3" r:id="rId1"/>
    <hyperlink ref="G8" r:id="rId2" location="customerReviews"/>
    <hyperlink ref="G10" r:id="rId3"/>
  </hyperlinks>
  <pageMargins left="0.7" right="0.7" top="0.75" bottom="0.75" header="0.3" footer="0.3"/>
  <pageSetup orientation="portrait" horizontalDpi="0" verticalDpi="0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zoomScale="121" zoomScaleNormal="121" zoomScalePageLayoutView="121" workbookViewId="0">
      <selection activeCell="C7" sqref="C7"/>
    </sheetView>
  </sheetViews>
  <sheetFormatPr baseColWidth="10" defaultColWidth="10.83203125" defaultRowHeight="26" x14ac:dyDescent="0.3"/>
  <cols>
    <col min="1" max="1" width="22.6640625" style="5" bestFit="1" customWidth="1"/>
    <col min="2" max="2" width="22.6640625" style="5" customWidth="1"/>
    <col min="3" max="3" width="18.5" style="5" customWidth="1"/>
    <col min="4" max="4" width="14.33203125" style="7" bestFit="1" customWidth="1"/>
    <col min="5" max="5" width="11" style="7" bestFit="1" customWidth="1"/>
    <col min="6" max="6" width="213" style="5" bestFit="1" customWidth="1"/>
    <col min="7" max="16384" width="10.83203125" style="5"/>
  </cols>
  <sheetData>
    <row r="1" spans="1:6" x14ac:dyDescent="0.4">
      <c r="A1" s="5" t="s">
        <v>13</v>
      </c>
      <c r="B1" s="5" t="s">
        <v>74</v>
      </c>
      <c r="C1" s="5" t="s">
        <v>27</v>
      </c>
      <c r="D1" s="6" t="s">
        <v>24</v>
      </c>
      <c r="E1" s="6" t="s">
        <v>28</v>
      </c>
      <c r="F1" s="5" t="s">
        <v>25</v>
      </c>
    </row>
    <row r="2" spans="1:6" x14ac:dyDescent="0.4">
      <c r="A2" s="5" t="s">
        <v>15</v>
      </c>
      <c r="B2" s="5" t="s">
        <v>75</v>
      </c>
      <c r="C2" s="5" t="s">
        <v>69</v>
      </c>
      <c r="D2" s="7">
        <v>259.08</v>
      </c>
      <c r="E2" s="7">
        <v>0</v>
      </c>
      <c r="F2" s="8" t="s">
        <v>70</v>
      </c>
    </row>
    <row r="3" spans="1:6" x14ac:dyDescent="0.4">
      <c r="A3" s="5" t="s">
        <v>14</v>
      </c>
      <c r="B3" s="5" t="s">
        <v>76</v>
      </c>
      <c r="C3" s="5" t="s">
        <v>30</v>
      </c>
      <c r="D3" s="7">
        <v>199</v>
      </c>
      <c r="E3" s="7">
        <v>0</v>
      </c>
      <c r="F3" s="8" t="s">
        <v>26</v>
      </c>
    </row>
    <row r="4" spans="1:6" x14ac:dyDescent="0.4">
      <c r="A4" s="5" t="s">
        <v>19</v>
      </c>
      <c r="B4" s="5" t="s">
        <v>75</v>
      </c>
      <c r="C4" s="5" t="s">
        <v>37</v>
      </c>
      <c r="D4" s="7">
        <v>97.63</v>
      </c>
      <c r="E4" s="7">
        <v>0</v>
      </c>
      <c r="F4" s="4" t="s">
        <v>36</v>
      </c>
    </row>
    <row r="5" spans="1:6" x14ac:dyDescent="0.4">
      <c r="A5" s="5" t="s">
        <v>16</v>
      </c>
      <c r="B5" s="5" t="s">
        <v>75</v>
      </c>
      <c r="C5" s="5" t="s">
        <v>29</v>
      </c>
      <c r="D5" s="7">
        <v>91.82</v>
      </c>
      <c r="E5" s="7">
        <v>0</v>
      </c>
      <c r="F5" s="4" t="s">
        <v>33</v>
      </c>
    </row>
    <row r="6" spans="1:6" x14ac:dyDescent="0.4">
      <c r="A6" s="5" t="s">
        <v>71</v>
      </c>
      <c r="B6" s="5" t="s">
        <v>77</v>
      </c>
      <c r="C6" s="5" t="s">
        <v>72</v>
      </c>
      <c r="D6" s="7">
        <v>34.99</v>
      </c>
      <c r="E6" s="7">
        <v>0</v>
      </c>
      <c r="F6" s="4" t="s">
        <v>73</v>
      </c>
    </row>
    <row r="7" spans="1:6" x14ac:dyDescent="0.4">
      <c r="A7" s="5" t="s">
        <v>18</v>
      </c>
      <c r="B7" s="5" t="s">
        <v>78</v>
      </c>
      <c r="C7" s="5" t="s">
        <v>34</v>
      </c>
      <c r="D7" s="7">
        <v>32.96</v>
      </c>
      <c r="E7" s="7">
        <v>0</v>
      </c>
      <c r="F7" s="4" t="s">
        <v>35</v>
      </c>
    </row>
    <row r="8" spans="1:6" x14ac:dyDescent="0.4">
      <c r="A8" s="5" t="s">
        <v>17</v>
      </c>
      <c r="B8" s="5" t="s">
        <v>78</v>
      </c>
      <c r="C8" s="5" t="s">
        <v>31</v>
      </c>
      <c r="D8" s="7">
        <v>24.95</v>
      </c>
      <c r="E8" s="7">
        <v>0</v>
      </c>
      <c r="F8" s="4" t="s">
        <v>32</v>
      </c>
    </row>
    <row r="9" spans="1:6" x14ac:dyDescent="0.4">
      <c r="A9" s="5" t="s">
        <v>51</v>
      </c>
      <c r="B9" s="5" t="s">
        <v>79</v>
      </c>
      <c r="D9" s="7">
        <v>17.989999999999998</v>
      </c>
      <c r="E9" s="7">
        <v>0</v>
      </c>
      <c r="F9" s="4" t="s">
        <v>52</v>
      </c>
    </row>
    <row r="10" spans="1:6" x14ac:dyDescent="0.4">
      <c r="A10" s="5" t="s">
        <v>20</v>
      </c>
      <c r="B10" s="5" t="s">
        <v>75</v>
      </c>
      <c r="D10" s="7">
        <v>15.95</v>
      </c>
      <c r="E10" s="7">
        <v>0</v>
      </c>
      <c r="F10" s="4" t="s">
        <v>38</v>
      </c>
    </row>
    <row r="11" spans="1:6" x14ac:dyDescent="0.4">
      <c r="A11" s="5" t="s">
        <v>53</v>
      </c>
      <c r="B11" s="5" t="s">
        <v>76</v>
      </c>
      <c r="D11" s="7">
        <v>13.25</v>
      </c>
      <c r="E11" s="7">
        <v>0</v>
      </c>
      <c r="F11" s="4" t="s">
        <v>54</v>
      </c>
    </row>
    <row r="12" spans="1:6" x14ac:dyDescent="0.4">
      <c r="A12" s="5" t="s">
        <v>44</v>
      </c>
      <c r="B12" s="5" t="s">
        <v>75</v>
      </c>
      <c r="C12" s="5" t="s">
        <v>45</v>
      </c>
      <c r="D12" s="7">
        <v>12.95</v>
      </c>
      <c r="E12" s="7">
        <v>0</v>
      </c>
      <c r="F12" s="4" t="s">
        <v>46</v>
      </c>
    </row>
    <row r="13" spans="1:6" x14ac:dyDescent="0.4">
      <c r="A13" s="5" t="s">
        <v>21</v>
      </c>
      <c r="B13" s="5" t="s">
        <v>77</v>
      </c>
      <c r="C13" s="5" t="s">
        <v>39</v>
      </c>
      <c r="D13" s="7">
        <v>12.31</v>
      </c>
      <c r="F13" s="4" t="s">
        <v>40</v>
      </c>
    </row>
    <row r="14" spans="1:6" x14ac:dyDescent="0.4">
      <c r="A14" s="5" t="s">
        <v>22</v>
      </c>
      <c r="B14" s="5" t="s">
        <v>77</v>
      </c>
      <c r="D14" s="7">
        <v>12.22</v>
      </c>
      <c r="F14" s="4" t="s">
        <v>41</v>
      </c>
    </row>
    <row r="15" spans="1:6" x14ac:dyDescent="0.4">
      <c r="A15" s="5" t="s">
        <v>23</v>
      </c>
      <c r="B15" s="5" t="s">
        <v>77</v>
      </c>
      <c r="D15" s="7">
        <v>11.49</v>
      </c>
      <c r="E15" s="7">
        <v>0</v>
      </c>
      <c r="F15" s="4" t="s">
        <v>42</v>
      </c>
    </row>
    <row r="16" spans="1:6" x14ac:dyDescent="0.4">
      <c r="A16" s="5" t="s">
        <v>63</v>
      </c>
      <c r="B16" s="5" t="s">
        <v>75</v>
      </c>
      <c r="C16" s="5" t="s">
        <v>64</v>
      </c>
      <c r="D16" s="7">
        <f>5.58*2</f>
        <v>11.16</v>
      </c>
      <c r="E16" s="7">
        <v>0</v>
      </c>
      <c r="F16" s="4" t="s">
        <v>65</v>
      </c>
    </row>
    <row r="17" spans="1:6" x14ac:dyDescent="0.4">
      <c r="A17" s="5" t="s">
        <v>66</v>
      </c>
      <c r="B17" s="5" t="s">
        <v>78</v>
      </c>
      <c r="C17" s="5" t="s">
        <v>67</v>
      </c>
      <c r="D17" s="7">
        <f>1.79*6</f>
        <v>10.74</v>
      </c>
      <c r="F17" s="4" t="s">
        <v>68</v>
      </c>
    </row>
    <row r="18" spans="1:6" x14ac:dyDescent="0.4">
      <c r="A18" s="5" t="s">
        <v>47</v>
      </c>
      <c r="B18" s="5" t="s">
        <v>79</v>
      </c>
      <c r="D18" s="7">
        <v>10.55</v>
      </c>
      <c r="E18" s="7">
        <v>0</v>
      </c>
      <c r="F18" s="4" t="s">
        <v>48</v>
      </c>
    </row>
    <row r="19" spans="1:6" x14ac:dyDescent="0.4">
      <c r="A19" s="5" t="s">
        <v>49</v>
      </c>
      <c r="B19" s="5" t="s">
        <v>79</v>
      </c>
      <c r="D19" s="7">
        <v>9.99</v>
      </c>
      <c r="E19" s="7">
        <v>0</v>
      </c>
      <c r="F19" s="4" t="s">
        <v>50</v>
      </c>
    </row>
    <row r="20" spans="1:6" x14ac:dyDescent="0.4">
      <c r="A20" s="5" t="s">
        <v>60</v>
      </c>
      <c r="B20" s="5" t="s">
        <v>75</v>
      </c>
      <c r="C20" s="5" t="s">
        <v>61</v>
      </c>
      <c r="D20" s="7">
        <v>8.2899999999999991</v>
      </c>
      <c r="E20" s="7">
        <v>0</v>
      </c>
      <c r="F20" s="4" t="s">
        <v>62</v>
      </c>
    </row>
    <row r="21" spans="1:6" x14ac:dyDescent="0.4">
      <c r="A21" s="5" t="s">
        <v>57</v>
      </c>
      <c r="B21" s="5" t="s">
        <v>75</v>
      </c>
      <c r="C21" s="5" t="s">
        <v>59</v>
      </c>
      <c r="D21" s="7">
        <f>2.91*2</f>
        <v>5.82</v>
      </c>
      <c r="E21" s="7">
        <v>0</v>
      </c>
      <c r="F21" s="4" t="s">
        <v>58</v>
      </c>
    </row>
    <row r="22" spans="1:6" x14ac:dyDescent="0.4">
      <c r="A22" s="5" t="s">
        <v>55</v>
      </c>
      <c r="B22" s="5" t="s">
        <v>75</v>
      </c>
      <c r="D22" s="7">
        <v>5.8</v>
      </c>
      <c r="E22" s="7">
        <v>0</v>
      </c>
      <c r="F22" s="4" t="s">
        <v>56</v>
      </c>
    </row>
    <row r="23" spans="1:6" x14ac:dyDescent="0.4">
      <c r="F23" s="4"/>
    </row>
    <row r="24" spans="1:6" x14ac:dyDescent="0.3">
      <c r="F24" s="4"/>
    </row>
    <row r="25" spans="1:6" x14ac:dyDescent="0.3">
      <c r="F25" s="4"/>
    </row>
    <row r="26" spans="1:6" x14ac:dyDescent="0.3">
      <c r="A26" s="5" t="s">
        <v>43</v>
      </c>
      <c r="D26" s="9">
        <f>SUM(Table1[Cost])+SUM(Table1[S&amp;H])</f>
        <v>898.94</v>
      </c>
      <c r="E26" s="10"/>
      <c r="F26" s="11">
        <f>SUBTOTAL(103,Table1[Link])</f>
        <v>21</v>
      </c>
    </row>
  </sheetData>
  <hyperlinks>
    <hyperlink ref="F3" r:id="rId1"/>
    <hyperlink ref="F8" r:id="rId2"/>
    <hyperlink ref="F5" r:id="rId3"/>
    <hyperlink ref="F7" r:id="rId4" location="viTabs_0"/>
    <hyperlink ref="F4" r:id="rId5"/>
    <hyperlink ref="F10" r:id="rId6" location="customerReviews"/>
    <hyperlink ref="F13" r:id="rId7"/>
    <hyperlink ref="F14" r:id="rId8"/>
    <hyperlink ref="F15" r:id="rId9"/>
  </hyperlinks>
  <pageMargins left="0.7" right="0.7" top="0.75" bottom="0.75" header="0.3" footer="0.3"/>
  <pageSetup orientation="portrait" horizontalDpi="0" verticalDpi="0"/>
  <drawing r:id="rId10"/>
  <tableParts count="1"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I18" sqref="I18"/>
    </sheetView>
  </sheetViews>
  <sheetFormatPr baseColWidth="10" defaultColWidth="11" defaultRowHeight="16" x14ac:dyDescent="0.2"/>
  <cols>
    <col min="1" max="1" width="16.33203125" bestFit="1" customWidth="1"/>
    <col min="4" max="4" width="25.33203125" bestFit="1" customWidth="1"/>
    <col min="5" max="5" width="13.1640625" bestFit="1" customWidth="1"/>
    <col min="8" max="8" width="12.33203125" bestFit="1" customWidth="1"/>
    <col min="9" max="9" width="12" bestFit="1" customWidth="1"/>
  </cols>
  <sheetData>
    <row r="1" spans="1:14" x14ac:dyDescent="0.2">
      <c r="A1" s="16" t="s">
        <v>94</v>
      </c>
      <c r="B1" s="16"/>
      <c r="C1" s="16"/>
      <c r="D1" s="16"/>
      <c r="E1" s="16"/>
      <c r="J1" s="17"/>
      <c r="K1" s="17"/>
      <c r="L1" s="17"/>
      <c r="M1" s="17"/>
      <c r="N1" s="17"/>
    </row>
    <row r="2" spans="1:14" x14ac:dyDescent="0.2">
      <c r="A2" s="16"/>
      <c r="B2" s="16"/>
      <c r="C2" s="16"/>
      <c r="D2" s="16"/>
      <c r="E2" s="16"/>
      <c r="J2" s="17"/>
      <c r="K2" s="17"/>
      <c r="L2" s="17"/>
      <c r="M2" s="17"/>
      <c r="N2" s="17"/>
    </row>
    <row r="3" spans="1:14" x14ac:dyDescent="0.2">
      <c r="A3" t="s">
        <v>0</v>
      </c>
      <c r="B3">
        <v>12</v>
      </c>
      <c r="D3" t="s">
        <v>1</v>
      </c>
      <c r="E3" s="1">
        <f>B3*3.7</f>
        <v>44.400000000000006</v>
      </c>
    </row>
    <row r="4" spans="1:14" x14ac:dyDescent="0.25">
      <c r="A4" t="s">
        <v>3</v>
      </c>
      <c r="B4">
        <v>149</v>
      </c>
      <c r="D4" t="s">
        <v>2</v>
      </c>
      <c r="E4" s="2">
        <f>E3*B4</f>
        <v>6615.6000000000013</v>
      </c>
    </row>
    <row r="5" spans="1:14" x14ac:dyDescent="0.25">
      <c r="A5" t="s">
        <v>4</v>
      </c>
      <c r="B5">
        <v>12</v>
      </c>
      <c r="C5" t="s">
        <v>7</v>
      </c>
      <c r="D5" t="s">
        <v>6</v>
      </c>
      <c r="E5" s="2">
        <f>E4*B5/B6</f>
        <v>567.05142857142869</v>
      </c>
    </row>
    <row r="6" spans="1:14" x14ac:dyDescent="0.25">
      <c r="A6" t="s">
        <v>5</v>
      </c>
      <c r="B6">
        <v>140</v>
      </c>
      <c r="C6" t="s">
        <v>7</v>
      </c>
      <c r="D6" t="s">
        <v>8</v>
      </c>
      <c r="E6" s="3">
        <f>E5*PI()/30*(B7/2)/1000*2.24</f>
        <v>33.785690695734495</v>
      </c>
    </row>
    <row r="7" spans="1:14" x14ac:dyDescent="0.25">
      <c r="A7" t="s">
        <v>9</v>
      </c>
      <c r="B7">
        <v>508</v>
      </c>
      <c r="C7" t="s">
        <v>7</v>
      </c>
      <c r="D7" t="s">
        <v>10</v>
      </c>
      <c r="E7">
        <f>E3*B8</f>
        <v>444.00000000000006</v>
      </c>
    </row>
    <row r="8" spans="1:14" x14ac:dyDescent="0.25">
      <c r="A8" t="s">
        <v>11</v>
      </c>
      <c r="B8">
        <v>10</v>
      </c>
      <c r="C8" t="s">
        <v>12</v>
      </c>
    </row>
    <row r="10" spans="1:14" x14ac:dyDescent="0.2">
      <c r="A10" s="16" t="s">
        <v>95</v>
      </c>
      <c r="B10" s="16"/>
      <c r="C10" s="16"/>
      <c r="D10" s="16"/>
      <c r="E10" s="16"/>
    </row>
    <row r="11" spans="1:14" x14ac:dyDescent="0.2">
      <c r="A11" s="16"/>
      <c r="B11" s="16"/>
      <c r="C11" s="16"/>
      <c r="D11" s="16"/>
      <c r="E11" s="16"/>
    </row>
    <row r="12" spans="1:14" x14ac:dyDescent="0.2">
      <c r="A12" t="s">
        <v>0</v>
      </c>
      <c r="B12">
        <v>12</v>
      </c>
      <c r="D12" t="s">
        <v>1</v>
      </c>
      <c r="E12">
        <f>3.7*B12</f>
        <v>44.400000000000006</v>
      </c>
    </row>
    <row r="13" spans="1:14" x14ac:dyDescent="0.2">
      <c r="A13" t="s">
        <v>3</v>
      </c>
      <c r="B13">
        <v>110</v>
      </c>
      <c r="D13" t="s">
        <v>97</v>
      </c>
      <c r="E13">
        <f>E12*B13</f>
        <v>4884.0000000000009</v>
      </c>
    </row>
    <row r="14" spans="1:14" x14ac:dyDescent="0.2">
      <c r="A14" t="s">
        <v>96</v>
      </c>
      <c r="B14">
        <v>61</v>
      </c>
      <c r="C14" t="s">
        <v>7</v>
      </c>
      <c r="D14" t="s">
        <v>98</v>
      </c>
      <c r="E14" s="13">
        <f>E13*PI()/30*(B14/1000)/2*2.24</f>
        <v>34.942351723181865</v>
      </c>
    </row>
    <row r="15" spans="1:14" x14ac:dyDescent="0.2">
      <c r="A15" t="s">
        <v>11</v>
      </c>
      <c r="B15">
        <v>10</v>
      </c>
      <c r="C15" t="s">
        <v>12</v>
      </c>
      <c r="D15" t="s">
        <v>10</v>
      </c>
      <c r="E15">
        <f>B15*E12</f>
        <v>444.00000000000006</v>
      </c>
    </row>
    <row r="16" spans="1:14" x14ac:dyDescent="0.2">
      <c r="A16" t="s">
        <v>99</v>
      </c>
      <c r="B16">
        <v>60</v>
      </c>
      <c r="C16" t="s">
        <v>100</v>
      </c>
      <c r="D16" t="s">
        <v>107</v>
      </c>
      <c r="E16" s="12">
        <f>B16/(B13*PI()/30)</f>
        <v>5.2087072284620293</v>
      </c>
    </row>
    <row r="17" spans="1:9" x14ac:dyDescent="0.2">
      <c r="A17" t="s">
        <v>101</v>
      </c>
      <c r="B17">
        <v>170</v>
      </c>
      <c r="C17" t="s">
        <v>102</v>
      </c>
      <c r="D17" t="s">
        <v>116</v>
      </c>
      <c r="E17" s="12">
        <f>B20/(E13*PI()/30)</f>
        <v>3.6171577975430758</v>
      </c>
    </row>
    <row r="18" spans="1:9" x14ac:dyDescent="0.2">
      <c r="A18" t="s">
        <v>108</v>
      </c>
      <c r="B18">
        <v>5.0000000000000001E-3</v>
      </c>
      <c r="D18" t="s">
        <v>103</v>
      </c>
      <c r="E18" s="13">
        <f>E16/(B14/1000/2)/(B17/2.205)*2.24</f>
        <v>4.9617833640925095</v>
      </c>
    </row>
    <row r="19" spans="1:9" x14ac:dyDescent="0.2">
      <c r="A19" t="s">
        <v>109</v>
      </c>
      <c r="B19">
        <v>0.4</v>
      </c>
      <c r="C19" t="s">
        <v>110</v>
      </c>
      <c r="D19" t="s">
        <v>104</v>
      </c>
      <c r="E19" s="12">
        <f>E16/(B14/1000/2)/(B17/2.205)/9.81</f>
        <v>0.22579835463505299</v>
      </c>
      <c r="G19" t="s">
        <v>113</v>
      </c>
      <c r="H19" t="s">
        <v>114</v>
      </c>
      <c r="I19" t="s">
        <v>115</v>
      </c>
    </row>
    <row r="20" spans="1:9" x14ac:dyDescent="0.2">
      <c r="A20" t="s">
        <v>111</v>
      </c>
      <c r="B20">
        <v>1850</v>
      </c>
      <c r="C20" t="s">
        <v>112</v>
      </c>
      <c r="D20" t="s">
        <v>106</v>
      </c>
      <c r="E20" s="13">
        <v>12.674426292895188</v>
      </c>
      <c r="G20" s="13">
        <f>MIN(E20/(B14/2000)*(E17*2)*(1-(E21/E14)),B20)</f>
        <v>563.66829323986087</v>
      </c>
      <c r="H20" s="13">
        <f>(E20)*((B18*B17/2.205*9.81)+(1/2*1.225*E20^2*B19))+G20*0.03</f>
        <v>563.66829325984713</v>
      </c>
      <c r="I20">
        <f>(G20-H20)/G20</f>
        <v>-3.5457484478008342E-11</v>
      </c>
    </row>
    <row r="21" spans="1:9" x14ac:dyDescent="0.2">
      <c r="D21" s="14" t="s">
        <v>105</v>
      </c>
      <c r="E21" s="15">
        <f>E20*2.24</f>
        <v>28.390714896085225</v>
      </c>
    </row>
    <row r="22" spans="1:9" x14ac:dyDescent="0.2">
      <c r="D22" t="s">
        <v>118</v>
      </c>
      <c r="E22" s="13">
        <f>H20</f>
        <v>563.66829325984713</v>
      </c>
    </row>
    <row r="23" spans="1:9" x14ac:dyDescent="0.2">
      <c r="D23" t="s">
        <v>120</v>
      </c>
      <c r="E23" s="13">
        <f>E22/E12</f>
        <v>12.695231830176736</v>
      </c>
    </row>
    <row r="24" spans="1:9" x14ac:dyDescent="0.2">
      <c r="D24" t="s">
        <v>117</v>
      </c>
      <c r="E24" s="13">
        <f>E22/E21</f>
        <v>19.853966176018023</v>
      </c>
    </row>
    <row r="25" spans="1:9" x14ac:dyDescent="0.2">
      <c r="D25" s="14" t="s">
        <v>119</v>
      </c>
      <c r="E25" s="15">
        <f>E15/E24</f>
        <v>22.363289836582677</v>
      </c>
    </row>
    <row r="26" spans="1:9" x14ac:dyDescent="0.2">
      <c r="D26" t="s">
        <v>121</v>
      </c>
      <c r="E26" s="13">
        <f>DEGREES(ASIN(E19))</f>
        <v>13.049828717695965</v>
      </c>
    </row>
    <row r="27" spans="1:9" x14ac:dyDescent="0.2">
      <c r="D27" s="14" t="s">
        <v>122</v>
      </c>
      <c r="E27" s="15">
        <f>100*TAN(RADIANS(E26))</f>
        <v>23.17844042932029</v>
      </c>
    </row>
  </sheetData>
  <mergeCells count="3">
    <mergeCell ref="A1:E2"/>
    <mergeCell ref="A10:E11"/>
    <mergeCell ref="J1:N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Parts v2</vt:lpstr>
      <vt:lpstr>Parts</vt:lpstr>
      <vt:lpstr>Speeds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Sharpe</dc:creator>
  <cp:lastModifiedBy>Peter Sharpe</cp:lastModifiedBy>
  <dcterms:created xsi:type="dcterms:W3CDTF">2018-05-28T23:37:58Z</dcterms:created>
  <dcterms:modified xsi:type="dcterms:W3CDTF">2018-09-05T01:26:13Z</dcterms:modified>
</cp:coreProperties>
</file>