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mzafeiridis\Documents\Izipen\250_FINANCIAL EVALUATION OF RES-BA\"/>
    </mc:Choice>
  </mc:AlternateContent>
  <xr:revisionPtr revIDLastSave="0" documentId="13_ncr:1_{B9EFC4E1-C377-4078-A573-5DCCBCBA48F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cenario panels" sheetId="1" r:id="rId1"/>
    <sheet name="Scenario wind turbines" sheetId="4" r:id="rId2"/>
    <sheet name="Scenario diesel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5" l="1"/>
  <c r="I29" i="5" s="1"/>
  <c r="J32" i="5"/>
  <c r="J31" i="5"/>
  <c r="J30" i="5"/>
  <c r="J29" i="5"/>
  <c r="J30" i="4"/>
  <c r="J31" i="4" s="1"/>
  <c r="I30" i="4"/>
  <c r="I31" i="4" s="1"/>
  <c r="K31" i="4" s="1"/>
  <c r="J29" i="4"/>
  <c r="I29" i="4"/>
  <c r="K31" i="1"/>
  <c r="I31" i="1"/>
  <c r="I30" i="1"/>
  <c r="I29" i="1"/>
  <c r="H30" i="4"/>
  <c r="B17" i="5"/>
  <c r="B13" i="5"/>
  <c r="B5" i="5"/>
  <c r="B18" i="5" s="1"/>
  <c r="B3" i="5"/>
  <c r="B12" i="5" s="1"/>
  <c r="B1" i="5"/>
  <c r="B17" i="4"/>
  <c r="B13" i="4"/>
  <c r="B5" i="4"/>
  <c r="B3" i="4"/>
  <c r="B12" i="4" s="1"/>
  <c r="B1" i="4"/>
  <c r="I32" i="5" l="1"/>
  <c r="I31" i="5"/>
  <c r="I30" i="5"/>
  <c r="B15" i="4"/>
  <c r="B14" i="5"/>
  <c r="B21" i="5" s="1"/>
  <c r="B22" i="5" s="1"/>
  <c r="G28" i="5" s="1"/>
  <c r="F28" i="5" s="1"/>
  <c r="B15" i="5"/>
  <c r="B16" i="5"/>
  <c r="B19" i="5" s="1"/>
  <c r="B20" i="5" s="1"/>
  <c r="C31" i="5" s="1"/>
  <c r="B14" i="4"/>
  <c r="B18" i="4"/>
  <c r="B16" i="4"/>
  <c r="B19" i="4" s="1"/>
  <c r="B20" i="4" s="1"/>
  <c r="C30" i="4" s="1"/>
  <c r="B31" i="5"/>
  <c r="B23" i="4"/>
  <c r="B21" i="4"/>
  <c r="B22" i="4" s="1"/>
  <c r="G28" i="4" s="1"/>
  <c r="F28" i="4" s="1"/>
  <c r="B13" i="1"/>
  <c r="B17" i="1"/>
  <c r="B5" i="1"/>
  <c r="B18" i="1" s="1"/>
  <c r="B3" i="1"/>
  <c r="B16" i="1" s="1"/>
  <c r="B1" i="1"/>
  <c r="K32" i="5" l="1"/>
  <c r="D31" i="5"/>
  <c r="E31" i="5" s="1"/>
  <c r="F31" i="5" s="1"/>
  <c r="C29" i="4"/>
  <c r="B24" i="5"/>
  <c r="B25" i="5" s="1"/>
  <c r="C29" i="5"/>
  <c r="C30" i="5"/>
  <c r="B30" i="5"/>
  <c r="B29" i="5"/>
  <c r="B30" i="4"/>
  <c r="D30" i="4" s="1"/>
  <c r="B29" i="4"/>
  <c r="B24" i="4"/>
  <c r="B25" i="4" s="1"/>
  <c r="B12" i="1"/>
  <c r="B14" i="1"/>
  <c r="B15" i="1"/>
  <c r="B19" i="1"/>
  <c r="B20" i="1" l="1"/>
  <c r="C29" i="1" s="1"/>
  <c r="J30" i="1"/>
  <c r="J29" i="1"/>
  <c r="D29" i="4"/>
  <c r="D30" i="5"/>
  <c r="D29" i="5"/>
  <c r="E29" i="5" s="1"/>
  <c r="F29" i="5" s="1"/>
  <c r="E30" i="5"/>
  <c r="F30" i="5" s="1"/>
  <c r="E29" i="4"/>
  <c r="F29" i="4" s="1"/>
  <c r="G29" i="4" s="1"/>
  <c r="E30" i="4"/>
  <c r="F30" i="4" s="1"/>
  <c r="B21" i="1"/>
  <c r="B22" i="1" s="1"/>
  <c r="G28" i="1" s="1"/>
  <c r="B23" i="1"/>
  <c r="C30" i="1" l="1"/>
  <c r="B24" i="1"/>
  <c r="J31" i="1"/>
  <c r="G29" i="5"/>
  <c r="G30" i="5" s="1"/>
  <c r="G31" i="5" s="1"/>
  <c r="H31" i="5"/>
  <c r="F28" i="1"/>
  <c r="G30" i="4"/>
  <c r="B25" i="1"/>
  <c r="B30" i="1"/>
  <c r="B29" i="1"/>
  <c r="D29" i="1" s="1"/>
  <c r="E29" i="1" s="1"/>
  <c r="D30" i="1" l="1"/>
  <c r="E30" i="1" s="1"/>
  <c r="F29" i="1"/>
  <c r="G29" i="1" s="1"/>
  <c r="F30" i="1" l="1"/>
  <c r="H30" i="1"/>
  <c r="G30" i="1"/>
</calcChain>
</file>

<file path=xl/sharedStrings.xml><?xml version="1.0" encoding="utf-8"?>
<sst xmlns="http://schemas.openxmlformats.org/spreadsheetml/2006/main" count="141" uniqueCount="47">
  <si>
    <t>price of el</t>
  </si>
  <si>
    <t>turnkey price wind</t>
  </si>
  <si>
    <t>M&amp;O cost inflation rate</t>
  </si>
  <si>
    <t>loan cost</t>
  </si>
  <si>
    <t>electr price escalation rate</t>
  </si>
  <si>
    <t>Cash-Flow</t>
  </si>
  <si>
    <t>Year</t>
  </si>
  <si>
    <t>FCn</t>
  </si>
  <si>
    <t>Rn</t>
  </si>
  <si>
    <t>Tax Payments</t>
  </si>
  <si>
    <t>m_wind=</t>
  </si>
  <si>
    <t>discount rate</t>
  </si>
  <si>
    <t>C-F after tax in PV</t>
  </si>
  <si>
    <t>Gn</t>
  </si>
  <si>
    <t>CFw</t>
  </si>
  <si>
    <t>Cfpanels</t>
  </si>
  <si>
    <t>Requested power [MW]</t>
  </si>
  <si>
    <t>Requested peak load demand [MW]</t>
  </si>
  <si>
    <t>Power of each panel [MW]</t>
  </si>
  <si>
    <t>Power of each wind turbine [MW]</t>
  </si>
  <si>
    <t>Power of diesel engine [MW]</t>
  </si>
  <si>
    <t>Panels [pieces]</t>
  </si>
  <si>
    <t>Wind turbines [pieces]</t>
  </si>
  <si>
    <t>Diesel engines [pieces]</t>
  </si>
  <si>
    <t>Ptotal [MW]</t>
  </si>
  <si>
    <t>Diesel efficiency</t>
  </si>
  <si>
    <t>Epanels [MWh/year]</t>
  </si>
  <si>
    <t>Ewind [MWh/year]</t>
  </si>
  <si>
    <t>Ediesel [MWh/year]</t>
  </si>
  <si>
    <t>Etot [MWh/year]</t>
  </si>
  <si>
    <t>Fco[M€]</t>
  </si>
  <si>
    <t>turnkey price panels</t>
  </si>
  <si>
    <t>P panels [MW]</t>
  </si>
  <si>
    <t>P Wind turbines [MW]</t>
  </si>
  <si>
    <t>P Diesel engines [MW]</t>
  </si>
  <si>
    <t>m_panels=</t>
  </si>
  <si>
    <t>Ico [M€] - Cost of investment</t>
  </si>
  <si>
    <t>Simple payback period[years]</t>
  </si>
  <si>
    <t>Average annual cash flow</t>
  </si>
  <si>
    <t>Ro [M€] - Annual revenue</t>
  </si>
  <si>
    <t>VAT</t>
  </si>
  <si>
    <t>Ico [M€] - Cost of investment without VAT</t>
  </si>
  <si>
    <t>turnkey price diesel</t>
  </si>
  <si>
    <t>IRR</t>
  </si>
  <si>
    <t>NPV of electrical energy</t>
  </si>
  <si>
    <t>NPV of costs</t>
  </si>
  <si>
    <t>LCOE (euro/kWh)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</si>
</sst>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0"/>
    <numFmt numFmtId="169" formatCode="0.0000"/>
    <numFmt numFmtId="170" formatCode="0.000"/>
  </numFmts>
  <fonts count="5" x14ac:knownFonts="1">
    <font>
      <sz val="11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</font>
    <font>
      <sz val="11"/>
      <color theme="1"/>
      <name val="Calibri"/>
      <family val="2"/>
      <charset val="161"/>
      <scheme val="minor"/>
    </font>
    <font>
      <sz val="11"/>
      <color theme="1"/>
      <name val="Century Gothic"/>
      <family val="2"/>
    </font>
    <font>
      <sz val="9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3" fillId="0" borderId="0" xfId="0" applyFont="1"/>
    <xf numFmtId="9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right"/>
    </xf>
    <xf numFmtId="9" fontId="4" fillId="0" borderId="0" xfId="0" applyNumberFormat="1" applyFont="1" applyFill="1"/>
    <xf numFmtId="9" fontId="4" fillId="0" borderId="0" xfId="1" applyFont="1"/>
    <xf numFmtId="9" fontId="4" fillId="0" borderId="0" xfId="0" applyNumberFormat="1" applyFont="1"/>
    <xf numFmtId="10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1" xfId="0" applyFont="1" applyBorder="1"/>
    <xf numFmtId="0" fontId="4" fillId="0" borderId="0" xfId="0" applyFont="1" applyAlignment="1">
      <alignment horizontal="right" wrapText="1"/>
    </xf>
    <xf numFmtId="168" fontId="4" fillId="0" borderId="0" xfId="0" applyNumberFormat="1" applyFont="1"/>
    <xf numFmtId="169" fontId="4" fillId="0" borderId="0" xfId="0" applyNumberFormat="1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170" fontId="4" fillId="0" borderId="0" xfId="0" applyNumberFormat="1" applyFont="1"/>
    <xf numFmtId="2" fontId="4" fillId="0" borderId="0" xfId="0" applyNumberFormat="1" applyFont="1"/>
    <xf numFmtId="169" fontId="4" fillId="0" borderId="1" xfId="0" applyNumberFormat="1" applyFont="1" applyBorder="1"/>
  </cellXfs>
  <cellStyles count="2"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opLeftCell="A19" zoomScale="130" zoomScaleNormal="130" workbookViewId="0">
      <selection activeCell="A27" sqref="A27:K31"/>
    </sheetView>
  </sheetViews>
  <sheetFormatPr defaultRowHeight="16.5" x14ac:dyDescent="0.3"/>
  <cols>
    <col min="1" max="1" width="14.7109375" style="5" customWidth="1"/>
    <col min="2" max="2" width="9.7109375" style="2" customWidth="1"/>
    <col min="3" max="3" width="14.7109375" style="2" customWidth="1"/>
    <col min="4" max="7" width="9.7109375" style="2" customWidth="1"/>
    <col min="8" max="8" width="5.5703125" style="2" bestFit="1" customWidth="1"/>
    <col min="9" max="9" width="12" style="2" bestFit="1" customWidth="1"/>
    <col min="10" max="10" width="15.140625" style="2" bestFit="1" customWidth="1"/>
    <col min="11" max="11" width="10.5703125" style="2" bestFit="1" customWidth="1"/>
    <col min="12" max="17" width="9.140625" style="2"/>
    <col min="18" max="18" width="13.7109375" style="2" bestFit="1" customWidth="1"/>
    <col min="19" max="16384" width="9.140625" style="2"/>
  </cols>
  <sheetData>
    <row r="1" spans="1:4" ht="28.5" x14ac:dyDescent="0.3">
      <c r="A1" s="12" t="s">
        <v>16</v>
      </c>
      <c r="B1" s="4">
        <f>4.5*1000</f>
        <v>4500</v>
      </c>
      <c r="C1" s="12" t="s">
        <v>0</v>
      </c>
      <c r="D1" s="4">
        <v>300</v>
      </c>
    </row>
    <row r="2" spans="1:4" ht="42.75" x14ac:dyDescent="0.3">
      <c r="A2" s="12" t="s">
        <v>17</v>
      </c>
      <c r="B2" s="4">
        <v>1.1000000000000001</v>
      </c>
      <c r="C2" s="12" t="s">
        <v>31</v>
      </c>
      <c r="D2" s="4">
        <v>3000000</v>
      </c>
    </row>
    <row r="3" spans="1:4" ht="28.5" x14ac:dyDescent="0.3">
      <c r="A3" s="12" t="s">
        <v>18</v>
      </c>
      <c r="B3" s="4">
        <f>0.5/1000</f>
        <v>5.0000000000000001E-4</v>
      </c>
      <c r="C3" s="12" t="s">
        <v>1</v>
      </c>
      <c r="D3" s="4">
        <v>1300000</v>
      </c>
    </row>
    <row r="4" spans="1:4" ht="42.75" x14ac:dyDescent="0.3">
      <c r="A4" s="12" t="s">
        <v>19</v>
      </c>
      <c r="B4" s="4">
        <v>0.6</v>
      </c>
      <c r="C4" s="12" t="s">
        <v>42</v>
      </c>
      <c r="D4" s="4">
        <v>5000000</v>
      </c>
    </row>
    <row r="5" spans="1:4" ht="28.5" x14ac:dyDescent="0.3">
      <c r="A5" s="12" t="s">
        <v>20</v>
      </c>
      <c r="B5" s="4">
        <f>500/1000</f>
        <v>0.5</v>
      </c>
      <c r="C5" s="12" t="s">
        <v>2</v>
      </c>
      <c r="D5" s="6">
        <v>0.03</v>
      </c>
    </row>
    <row r="6" spans="1:4" x14ac:dyDescent="0.3">
      <c r="A6" s="12" t="s">
        <v>14</v>
      </c>
      <c r="B6" s="7">
        <v>0.27</v>
      </c>
      <c r="C6" s="12" t="s">
        <v>3</v>
      </c>
      <c r="D6" s="8">
        <v>0.05</v>
      </c>
    </row>
    <row r="7" spans="1:4" ht="28.5" x14ac:dyDescent="0.3">
      <c r="A7" s="12" t="s">
        <v>15</v>
      </c>
      <c r="B7" s="7">
        <v>0.18</v>
      </c>
      <c r="C7" s="12" t="s">
        <v>4</v>
      </c>
      <c r="D7" s="9">
        <v>1.4999999999999999E-2</v>
      </c>
    </row>
    <row r="8" spans="1:4" ht="28.5" x14ac:dyDescent="0.3">
      <c r="A8" s="12" t="s">
        <v>25</v>
      </c>
      <c r="B8" s="7">
        <v>0.32</v>
      </c>
      <c r="C8" s="12" t="s">
        <v>40</v>
      </c>
      <c r="D8" s="8">
        <v>0.2</v>
      </c>
    </row>
    <row r="9" spans="1:4" x14ac:dyDescent="0.3">
      <c r="A9" s="12" t="s">
        <v>21</v>
      </c>
      <c r="B9" s="4">
        <v>5800</v>
      </c>
      <c r="C9" s="12" t="s">
        <v>35</v>
      </c>
      <c r="D9" s="9">
        <v>5.0000000000000001E-3</v>
      </c>
    </row>
    <row r="10" spans="1:4" ht="28.5" x14ac:dyDescent="0.3">
      <c r="A10" s="12" t="s">
        <v>22</v>
      </c>
      <c r="B10" s="4">
        <v>0</v>
      </c>
      <c r="C10" s="12" t="s">
        <v>10</v>
      </c>
      <c r="D10" s="8">
        <v>0.02</v>
      </c>
    </row>
    <row r="11" spans="1:4" ht="28.5" x14ac:dyDescent="0.3">
      <c r="A11" s="12" t="s">
        <v>23</v>
      </c>
      <c r="B11" s="4">
        <v>0</v>
      </c>
      <c r="C11" s="12" t="s">
        <v>11</v>
      </c>
      <c r="D11" s="8">
        <v>0.08</v>
      </c>
    </row>
    <row r="12" spans="1:4" x14ac:dyDescent="0.3">
      <c r="A12" s="12" t="s">
        <v>32</v>
      </c>
      <c r="B12" s="4">
        <f>B9*B3*B7</f>
        <v>0.52200000000000002</v>
      </c>
      <c r="C12" s="10"/>
      <c r="D12" s="4"/>
    </row>
    <row r="13" spans="1:4" ht="28.5" x14ac:dyDescent="0.3">
      <c r="A13" s="12" t="s">
        <v>33</v>
      </c>
      <c r="B13" s="4">
        <f>B4*B10*B6</f>
        <v>0</v>
      </c>
      <c r="C13" s="4"/>
      <c r="D13" s="4"/>
    </row>
    <row r="14" spans="1:4" ht="28.5" x14ac:dyDescent="0.3">
      <c r="A14" s="12" t="s">
        <v>34</v>
      </c>
      <c r="B14" s="4">
        <f>B11*B5*B8</f>
        <v>0</v>
      </c>
      <c r="C14" s="4"/>
      <c r="D14" s="4"/>
    </row>
    <row r="15" spans="1:4" x14ac:dyDescent="0.3">
      <c r="A15" s="12" t="s">
        <v>24</v>
      </c>
      <c r="B15" s="4">
        <f>B11*B5*B8+B4*B10*B6+B9*B3*B7</f>
        <v>0.52200000000000002</v>
      </c>
      <c r="C15" s="4"/>
      <c r="D15" s="4"/>
    </row>
    <row r="16" spans="1:4" ht="28.5" x14ac:dyDescent="0.3">
      <c r="A16" s="12" t="s">
        <v>26</v>
      </c>
      <c r="B16" s="4">
        <f>8760*B9*B7*B3</f>
        <v>4572.72</v>
      </c>
      <c r="C16" s="4"/>
      <c r="D16" s="4"/>
    </row>
    <row r="17" spans="1:11" ht="28.5" x14ac:dyDescent="0.3">
      <c r="A17" s="12" t="s">
        <v>27</v>
      </c>
      <c r="B17" s="4">
        <f>8760*B10*B6*B4</f>
        <v>0</v>
      </c>
      <c r="C17" s="4"/>
      <c r="D17" s="4"/>
    </row>
    <row r="18" spans="1:11" ht="28.5" x14ac:dyDescent="0.3">
      <c r="A18" s="12" t="s">
        <v>28</v>
      </c>
      <c r="B18" s="4">
        <f>8760*B11*B8*B5</f>
        <v>0</v>
      </c>
      <c r="C18" s="4"/>
      <c r="D18" s="4"/>
    </row>
    <row r="19" spans="1:11" ht="28.5" x14ac:dyDescent="0.3">
      <c r="A19" s="12" t="s">
        <v>29</v>
      </c>
      <c r="B19" s="4">
        <f>SUM(B16:B18)</f>
        <v>4572.72</v>
      </c>
      <c r="C19" s="4"/>
      <c r="D19" s="4"/>
    </row>
    <row r="20" spans="1:11" ht="28.5" x14ac:dyDescent="0.3">
      <c r="A20" s="12" t="s">
        <v>39</v>
      </c>
      <c r="B20" s="4">
        <f>B19*$D$1/1000/1000</f>
        <v>1.3718159999999999</v>
      </c>
      <c r="C20" s="4"/>
      <c r="D20" s="4"/>
    </row>
    <row r="21" spans="1:11" ht="28.5" x14ac:dyDescent="0.3">
      <c r="A21" s="12" t="s">
        <v>36</v>
      </c>
      <c r="B21" s="4">
        <f>(B12*$D$2+B13*$D$3)/1000/1000</f>
        <v>1.5660000000000001</v>
      </c>
      <c r="C21" s="4"/>
      <c r="D21" s="4"/>
    </row>
    <row r="22" spans="1:11" ht="42.75" x14ac:dyDescent="0.3">
      <c r="A22" s="12" t="s">
        <v>41</v>
      </c>
      <c r="B22" s="4">
        <f>B21*(1-D8)</f>
        <v>1.2528000000000001</v>
      </c>
      <c r="C22" s="4"/>
      <c r="D22" s="4"/>
    </row>
    <row r="23" spans="1:11" x14ac:dyDescent="0.3">
      <c r="A23" s="12" t="s">
        <v>30</v>
      </c>
      <c r="B23" s="4">
        <f>$D$9*B12*$D$2/1000/1000+$D$10*B13*$D$3/1000/1000</f>
        <v>7.8300000000000002E-3</v>
      </c>
      <c r="C23" s="4"/>
      <c r="D23" s="4"/>
    </row>
    <row r="24" spans="1:11" ht="29.25" thickBot="1" x14ac:dyDescent="0.35">
      <c r="A24" s="12" t="s">
        <v>38</v>
      </c>
      <c r="B24" s="4">
        <f>B20-B23</f>
        <v>1.3639859999999999</v>
      </c>
      <c r="C24" s="4"/>
      <c r="D24" s="4"/>
    </row>
    <row r="25" spans="1:11" ht="29.25" thickBot="1" x14ac:dyDescent="0.35">
      <c r="A25" s="12" t="s">
        <v>37</v>
      </c>
      <c r="B25" s="11">
        <f>B22/B24</f>
        <v>0.91848450057405295</v>
      </c>
      <c r="C25" s="4"/>
      <c r="D25" s="4"/>
    </row>
    <row r="27" spans="1:11" ht="42.75" x14ac:dyDescent="0.3">
      <c r="A27" s="12" t="s">
        <v>6</v>
      </c>
      <c r="B27" s="16" t="s">
        <v>7</v>
      </c>
      <c r="C27" s="16" t="s">
        <v>8</v>
      </c>
      <c r="D27" s="16" t="s">
        <v>5</v>
      </c>
      <c r="E27" s="16" t="s">
        <v>9</v>
      </c>
      <c r="F27" s="16" t="s">
        <v>12</v>
      </c>
      <c r="G27" s="16" t="s">
        <v>13</v>
      </c>
      <c r="H27" s="4" t="s">
        <v>43</v>
      </c>
      <c r="I27" s="16" t="s">
        <v>45</v>
      </c>
      <c r="J27" s="16" t="s">
        <v>44</v>
      </c>
      <c r="K27" s="16" t="s">
        <v>46</v>
      </c>
    </row>
    <row r="28" spans="1:11" x14ac:dyDescent="0.3">
      <c r="A28" s="10">
        <v>0</v>
      </c>
      <c r="B28" s="4"/>
      <c r="C28" s="4"/>
      <c r="D28" s="4"/>
      <c r="E28" s="4"/>
      <c r="F28" s="4">
        <f>G28</f>
        <v>-1.2528000000000001</v>
      </c>
      <c r="G28" s="17">
        <f>-B22</f>
        <v>-1.2528000000000001</v>
      </c>
      <c r="I28" s="4"/>
      <c r="J28" s="4"/>
      <c r="K28" s="4"/>
    </row>
    <row r="29" spans="1:11" x14ac:dyDescent="0.3">
      <c r="A29" s="10">
        <v>1</v>
      </c>
      <c r="B29" s="14">
        <f>$B$23*(1+$D$5)^A29</f>
        <v>8.0648999999999998E-3</v>
      </c>
      <c r="C29" s="14">
        <f>$B$20*(1+$D$7)^A29</f>
        <v>1.3923932399999999</v>
      </c>
      <c r="D29" s="14">
        <f>C29-B29</f>
        <v>1.3843283399999999</v>
      </c>
      <c r="E29" s="17">
        <f>(D29)*$D$8</f>
        <v>0.27686566800000001</v>
      </c>
      <c r="F29" s="17">
        <f>(D29-E29)/(1+$D$11)^A29</f>
        <v>1.0254284</v>
      </c>
      <c r="G29" s="17">
        <f>F29+G28</f>
        <v>-0.22737160000000012</v>
      </c>
      <c r="I29" s="17">
        <f>$B$23/(1+$D$11)^A29</f>
        <v>7.2499999999999995E-3</v>
      </c>
      <c r="J29" s="4">
        <f>$B$19/(1+$D$11)^A29</f>
        <v>4234</v>
      </c>
      <c r="K29" s="4"/>
    </row>
    <row r="30" spans="1:11" ht="17.25" thickBot="1" x14ac:dyDescent="0.35">
      <c r="A30" s="10">
        <v>2</v>
      </c>
      <c r="B30" s="13">
        <f>$B$23*(1+$D$5)^A30</f>
        <v>8.3068469999999991E-3</v>
      </c>
      <c r="C30" s="14">
        <f>$B$20*(1+$D$7)^A30</f>
        <v>1.4132791385999997</v>
      </c>
      <c r="D30" s="14">
        <f t="shared" ref="D30" si="0">C30-B30</f>
        <v>1.4049722915999996</v>
      </c>
      <c r="E30" s="17">
        <f>(D30)*$D$8</f>
        <v>0.28099445831999992</v>
      </c>
      <c r="F30" s="17">
        <f>(D30-E30)/(1+$D$11)^A30</f>
        <v>0.96362982962962929</v>
      </c>
      <c r="G30" s="17">
        <f>F30+G29</f>
        <v>0.73625822962962917</v>
      </c>
      <c r="H30" s="8">
        <f>IRR(F28:F30)</f>
        <v>0.37707189046163303</v>
      </c>
      <c r="I30" s="17">
        <f>$B$23/(1+$D$11)^A30</f>
        <v>6.7129629629629622E-3</v>
      </c>
      <c r="J30" s="18">
        <f>$B$19/(1+$D$11)^A30</f>
        <v>3920.3703703703704</v>
      </c>
      <c r="K30" s="4"/>
    </row>
    <row r="31" spans="1:11" ht="17.25" thickBot="1" x14ac:dyDescent="0.35">
      <c r="I31" s="17">
        <f>SUM(I29:I30)</f>
        <v>1.3962962962962962E-2</v>
      </c>
      <c r="J31" s="18">
        <f>J30+J29</f>
        <v>8154.3703703703704</v>
      </c>
      <c r="K31" s="19">
        <f>1000*I31/J31</f>
        <v>1.7123287671232876E-3</v>
      </c>
    </row>
  </sheetData>
  <conditionalFormatting sqref="D15">
    <cfRule type="cellIs" dxfId="11" priority="4" operator="greaterThan">
      <formula>$B$1</formula>
    </cfRule>
  </conditionalFormatting>
  <conditionalFormatting sqref="B19">
    <cfRule type="cellIs" dxfId="10" priority="3" operator="greaterThan">
      <formula>$B$1</formula>
    </cfRule>
  </conditionalFormatting>
  <conditionalFormatting sqref="C19">
    <cfRule type="cellIs" dxfId="9" priority="5" operator="greaterThan">
      <formula>#REF!</formula>
    </cfRule>
  </conditionalFormatting>
  <conditionalFormatting sqref="D19">
    <cfRule type="cellIs" dxfId="8" priority="6" operator="greaterThan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C18A-9122-430D-8F13-3ED6F9BDE1ED}">
  <dimension ref="A1:L31"/>
  <sheetViews>
    <sheetView topLeftCell="A17" zoomScale="115" zoomScaleNormal="115" workbookViewId="0">
      <selection activeCell="A28" sqref="A28:K31"/>
    </sheetView>
  </sheetViews>
  <sheetFormatPr defaultRowHeight="15" x14ac:dyDescent="0.25"/>
  <cols>
    <col min="1" max="1" width="13.7109375" customWidth="1"/>
    <col min="2" max="2" width="9.7109375" customWidth="1"/>
    <col min="3" max="3" width="13.7109375" customWidth="1"/>
    <col min="4" max="7" width="9.7109375" customWidth="1"/>
    <col min="8" max="8" width="5.28515625" bestFit="1" customWidth="1"/>
    <col min="10" max="10" width="15.5703125" bestFit="1" customWidth="1"/>
    <col min="11" max="11" width="10.5703125" bestFit="1" customWidth="1"/>
  </cols>
  <sheetData>
    <row r="1" spans="1:12" ht="28.5" x14ac:dyDescent="0.3">
      <c r="A1" s="12" t="s">
        <v>16</v>
      </c>
      <c r="B1" s="4">
        <f>4.5*1000</f>
        <v>4500</v>
      </c>
      <c r="C1" s="12" t="s">
        <v>0</v>
      </c>
      <c r="D1" s="4">
        <v>300</v>
      </c>
    </row>
    <row r="2" spans="1:12" ht="42.75" x14ac:dyDescent="0.3">
      <c r="A2" s="12" t="s">
        <v>17</v>
      </c>
      <c r="B2" s="4">
        <v>1.1000000000000001</v>
      </c>
      <c r="C2" s="12" t="s">
        <v>31</v>
      </c>
      <c r="D2" s="4">
        <v>3000000</v>
      </c>
    </row>
    <row r="3" spans="1:12" ht="28.5" x14ac:dyDescent="0.3">
      <c r="A3" s="12" t="s">
        <v>18</v>
      </c>
      <c r="B3" s="4">
        <f>0.5/1000</f>
        <v>5.0000000000000001E-4</v>
      </c>
      <c r="C3" s="12" t="s">
        <v>1</v>
      </c>
      <c r="D3" s="4">
        <v>1300000</v>
      </c>
    </row>
    <row r="4" spans="1:12" ht="42.75" x14ac:dyDescent="0.3">
      <c r="A4" s="12" t="s">
        <v>19</v>
      </c>
      <c r="B4" s="4">
        <v>0.6</v>
      </c>
      <c r="C4" s="12" t="s">
        <v>42</v>
      </c>
      <c r="D4" s="4">
        <v>5000000</v>
      </c>
    </row>
    <row r="5" spans="1:12" ht="42.75" x14ac:dyDescent="0.3">
      <c r="A5" s="12" t="s">
        <v>20</v>
      </c>
      <c r="B5" s="4">
        <f>500/1000</f>
        <v>0.5</v>
      </c>
      <c r="C5" s="12" t="s">
        <v>2</v>
      </c>
      <c r="D5" s="6">
        <v>0.03</v>
      </c>
    </row>
    <row r="6" spans="1:12" ht="15.75" x14ac:dyDescent="0.3">
      <c r="A6" s="12" t="s">
        <v>14</v>
      </c>
      <c r="B6" s="7">
        <v>0.27</v>
      </c>
      <c r="C6" s="12" t="s">
        <v>3</v>
      </c>
      <c r="D6" s="8">
        <v>0.05</v>
      </c>
    </row>
    <row r="7" spans="1:12" ht="42.75" x14ac:dyDescent="0.3">
      <c r="A7" s="12" t="s">
        <v>15</v>
      </c>
      <c r="B7" s="7">
        <v>0.18</v>
      </c>
      <c r="C7" s="12" t="s">
        <v>4</v>
      </c>
      <c r="D7" s="9">
        <v>1.4999999999999999E-2</v>
      </c>
    </row>
    <row r="8" spans="1:12" ht="28.5" x14ac:dyDescent="0.3">
      <c r="A8" s="12" t="s">
        <v>25</v>
      </c>
      <c r="B8" s="7">
        <v>0.32</v>
      </c>
      <c r="C8" s="12" t="s">
        <v>40</v>
      </c>
      <c r="D8" s="8">
        <v>0.2</v>
      </c>
    </row>
    <row r="9" spans="1:12" ht="28.5" x14ac:dyDescent="0.3">
      <c r="A9" s="12" t="s">
        <v>21</v>
      </c>
      <c r="B9" s="4">
        <v>0</v>
      </c>
      <c r="C9" s="12" t="s">
        <v>35</v>
      </c>
      <c r="D9" s="9">
        <v>5.0000000000000001E-3</v>
      </c>
    </row>
    <row r="10" spans="1:12" ht="28.5" x14ac:dyDescent="0.3">
      <c r="A10" s="12" t="s">
        <v>22</v>
      </c>
      <c r="B10" s="4">
        <v>4</v>
      </c>
      <c r="C10" s="12" t="s">
        <v>10</v>
      </c>
      <c r="D10" s="8">
        <v>0.02</v>
      </c>
    </row>
    <row r="11" spans="1:12" ht="28.5" x14ac:dyDescent="0.3">
      <c r="A11" s="12" t="s">
        <v>23</v>
      </c>
      <c r="B11" s="4">
        <v>0</v>
      </c>
      <c r="C11" s="12" t="s">
        <v>11</v>
      </c>
      <c r="D11" s="8">
        <v>0.08</v>
      </c>
    </row>
    <row r="12" spans="1:12" ht="15.75" x14ac:dyDescent="0.3">
      <c r="A12" s="12" t="s">
        <v>32</v>
      </c>
      <c r="B12" s="4">
        <f>B9*B3*B7</f>
        <v>0</v>
      </c>
      <c r="C12" s="4"/>
      <c r="D12" s="4"/>
    </row>
    <row r="13" spans="1:12" ht="28.5" x14ac:dyDescent="0.3">
      <c r="A13" s="12" t="s">
        <v>33</v>
      </c>
      <c r="B13" s="4">
        <f>B4*B10*B6</f>
        <v>0.64800000000000002</v>
      </c>
      <c r="C13" s="4"/>
      <c r="D13" s="4"/>
    </row>
    <row r="14" spans="1:12" ht="28.5" x14ac:dyDescent="0.3">
      <c r="A14" s="12" t="s">
        <v>34</v>
      </c>
      <c r="B14" s="4">
        <f>B11*B5*B8</f>
        <v>0</v>
      </c>
      <c r="C14" s="4"/>
      <c r="D14" s="4"/>
    </row>
    <row r="15" spans="1:12" ht="15.75" x14ac:dyDescent="0.3">
      <c r="A15" s="12" t="s">
        <v>24</v>
      </c>
      <c r="B15" s="4">
        <f>B11*B5*B8+B4*B10*B6+B9*B3*B7</f>
        <v>0.64800000000000002</v>
      </c>
      <c r="C15" s="4"/>
      <c r="D15" s="4"/>
    </row>
    <row r="16" spans="1:12" ht="28.5" x14ac:dyDescent="0.3">
      <c r="A16" s="12" t="s">
        <v>26</v>
      </c>
      <c r="B16" s="4">
        <f>8760*B9*B7*B3</f>
        <v>0</v>
      </c>
      <c r="C16" s="4"/>
      <c r="D16" s="4"/>
      <c r="L16" s="1"/>
    </row>
    <row r="17" spans="1:12" ht="28.5" x14ac:dyDescent="0.3">
      <c r="A17" s="12" t="s">
        <v>27</v>
      </c>
      <c r="B17" s="4">
        <f>8760*B10*B6*B4</f>
        <v>5676.4800000000005</v>
      </c>
      <c r="C17" s="4"/>
      <c r="D17" s="4"/>
      <c r="L17" s="1"/>
    </row>
    <row r="18" spans="1:12" ht="28.5" x14ac:dyDescent="0.3">
      <c r="A18" s="12" t="s">
        <v>28</v>
      </c>
      <c r="B18" s="4">
        <f>8760*B11*B8*B5</f>
        <v>0</v>
      </c>
      <c r="C18" s="4"/>
      <c r="D18" s="4"/>
      <c r="L18" s="1"/>
    </row>
    <row r="19" spans="1:12" ht="28.5" x14ac:dyDescent="0.3">
      <c r="A19" s="12" t="s">
        <v>29</v>
      </c>
      <c r="B19" s="4">
        <f>SUM(B16:B18)</f>
        <v>5676.4800000000005</v>
      </c>
      <c r="C19" s="4"/>
      <c r="D19" s="4"/>
      <c r="L19" s="1"/>
    </row>
    <row r="20" spans="1:12" ht="42.75" x14ac:dyDescent="0.3">
      <c r="A20" s="12" t="s">
        <v>39</v>
      </c>
      <c r="B20" s="4">
        <f>B19*$D$1/1000/1000</f>
        <v>1.7029440000000002</v>
      </c>
      <c r="C20" s="4"/>
      <c r="D20" s="4"/>
      <c r="L20" s="1"/>
    </row>
    <row r="21" spans="1:12" ht="28.5" x14ac:dyDescent="0.3">
      <c r="A21" s="12" t="s">
        <v>36</v>
      </c>
      <c r="B21" s="4">
        <f>(B12*$D$2+B13*$D$3)/1000/1000</f>
        <v>0.84239999999999993</v>
      </c>
      <c r="C21" s="4"/>
      <c r="D21" s="4"/>
      <c r="L21" s="1"/>
    </row>
    <row r="22" spans="1:12" ht="42.75" x14ac:dyDescent="0.3">
      <c r="A22" s="12" t="s">
        <v>41</v>
      </c>
      <c r="B22" s="4">
        <f>B21*(1-D8)</f>
        <v>0.67391999999999996</v>
      </c>
      <c r="C22" s="4"/>
      <c r="D22" s="4"/>
      <c r="L22" s="1"/>
    </row>
    <row r="23" spans="1:12" ht="16.5" x14ac:dyDescent="0.3">
      <c r="A23" s="12" t="s">
        <v>30</v>
      </c>
      <c r="B23" s="4">
        <f>$D$9*B12*$D$2/1000/1000+$D$10*B13*$D$3/1000/1000</f>
        <v>1.6847999999999998E-2</v>
      </c>
      <c r="C23" s="4"/>
      <c r="D23" s="4"/>
      <c r="L23" s="1"/>
    </row>
    <row r="24" spans="1:12" ht="42.75" x14ac:dyDescent="0.3">
      <c r="A24" s="12" t="s">
        <v>38</v>
      </c>
      <c r="B24" s="4">
        <f>B20-B23</f>
        <v>1.6860960000000003</v>
      </c>
      <c r="C24" s="4"/>
      <c r="D24" s="4"/>
      <c r="L24" s="1"/>
    </row>
    <row r="25" spans="1:12" ht="42.75" x14ac:dyDescent="0.3">
      <c r="A25" s="12" t="s">
        <v>37</v>
      </c>
      <c r="B25" s="4">
        <f>B22/B24</f>
        <v>0.39969254419677164</v>
      </c>
      <c r="C25" s="4"/>
      <c r="D25" s="4"/>
      <c r="L25" s="1"/>
    </row>
    <row r="27" spans="1:12" ht="28.5" x14ac:dyDescent="0.3">
      <c r="A27" s="12" t="s">
        <v>6</v>
      </c>
      <c r="B27" s="16" t="s">
        <v>7</v>
      </c>
      <c r="C27" s="16" t="s">
        <v>8</v>
      </c>
      <c r="D27" s="16" t="s">
        <v>5</v>
      </c>
      <c r="E27" s="16" t="s">
        <v>9</v>
      </c>
      <c r="F27" s="16" t="s">
        <v>12</v>
      </c>
      <c r="G27" s="16" t="s">
        <v>13</v>
      </c>
      <c r="H27" s="16" t="s">
        <v>43</v>
      </c>
      <c r="I27" s="16" t="s">
        <v>45</v>
      </c>
      <c r="J27" s="16" t="s">
        <v>44</v>
      </c>
      <c r="K27" s="16" t="s">
        <v>46</v>
      </c>
    </row>
    <row r="28" spans="1:12" ht="15.75" x14ac:dyDescent="0.3">
      <c r="A28" s="4">
        <v>0</v>
      </c>
      <c r="B28" s="4"/>
      <c r="C28" s="4"/>
      <c r="D28" s="4"/>
      <c r="E28" s="4"/>
      <c r="F28" s="4">
        <f>G28</f>
        <v>-0.67391999999999996</v>
      </c>
      <c r="G28" s="4">
        <f>-B22</f>
        <v>-0.67391999999999996</v>
      </c>
      <c r="I28" s="4"/>
      <c r="J28" s="4"/>
      <c r="K28" s="4"/>
    </row>
    <row r="29" spans="1:12" ht="15.75" x14ac:dyDescent="0.3">
      <c r="A29" s="4">
        <v>1</v>
      </c>
      <c r="B29" s="17">
        <f>$B$23*(1+$D$5)^A29</f>
        <v>1.7353439999999998E-2</v>
      </c>
      <c r="C29" s="17">
        <f>$B$20*(1+$D$7)^A29</f>
        <v>1.7284881600000002</v>
      </c>
      <c r="D29" s="17">
        <f>C29-B29</f>
        <v>1.7111347200000002</v>
      </c>
      <c r="E29" s="17">
        <f>(D29)*$D$8</f>
        <v>0.34222694400000009</v>
      </c>
      <c r="F29" s="17">
        <f>(D29-E29)/(1+$D$11)^A29</f>
        <v>1.2675072000000001</v>
      </c>
      <c r="G29" s="14">
        <f>F29+G28</f>
        <v>0.59358720000000009</v>
      </c>
      <c r="I29" s="17">
        <f>$B$23/(1+$D$11)^A29</f>
        <v>1.5599999999999998E-2</v>
      </c>
      <c r="J29" s="4">
        <f>$B$19/(1+$D$11)^A29</f>
        <v>5256</v>
      </c>
      <c r="K29" s="4"/>
    </row>
    <row r="30" spans="1:12" ht="16.5" thickBot="1" x14ac:dyDescent="0.35">
      <c r="A30" s="4">
        <v>2</v>
      </c>
      <c r="B30" s="17">
        <f>$B$23*(1+$D$5)^A30</f>
        <v>1.7874043199999998E-2</v>
      </c>
      <c r="C30" s="17">
        <f>$B$20*(1+$D$7)^A30</f>
        <v>1.7544154823999998</v>
      </c>
      <c r="D30" s="17">
        <f t="shared" ref="D30" si="0">C30-B30</f>
        <v>1.7365414391999998</v>
      </c>
      <c r="E30" s="17">
        <f>(D30)*$D$8</f>
        <v>0.34730828784000001</v>
      </c>
      <c r="F30" s="17">
        <f>(D30-E30)/(1+$D$11)^A30</f>
        <v>1.1910435111111108</v>
      </c>
      <c r="G30" s="14">
        <f>F30+G29</f>
        <v>1.7846307111111108</v>
      </c>
      <c r="H30" s="8">
        <f>IRR(F28:F30)</f>
        <v>1.5687988912939139</v>
      </c>
      <c r="I30" s="17">
        <f>$B$23/(1+$D$11)^A30</f>
        <v>1.4444444444444442E-2</v>
      </c>
      <c r="J30" s="18">
        <f>$B$19/(1+$D$11)^A30</f>
        <v>4866.666666666667</v>
      </c>
      <c r="K30" s="4"/>
    </row>
    <row r="31" spans="1:12" ht="16.5" thickBot="1" x14ac:dyDescent="0.35">
      <c r="I31" s="17">
        <f>SUM(I29:I30)</f>
        <v>3.004444444444444E-2</v>
      </c>
      <c r="J31" s="18">
        <f>J30+J29</f>
        <v>10122.666666666668</v>
      </c>
      <c r="K31" s="19">
        <f>1000*I31/J31</f>
        <v>2.9680365296803645E-3</v>
      </c>
    </row>
  </sheetData>
  <conditionalFormatting sqref="D15">
    <cfRule type="cellIs" dxfId="7" priority="2" operator="greaterThan">
      <formula>$B$1</formula>
    </cfRule>
  </conditionalFormatting>
  <conditionalFormatting sqref="B19">
    <cfRule type="cellIs" dxfId="6" priority="1" operator="greaterThan">
      <formula>$B$1</formula>
    </cfRule>
  </conditionalFormatting>
  <conditionalFormatting sqref="C19">
    <cfRule type="cellIs" dxfId="5" priority="3" operator="greaterThan">
      <formula>#REF!</formula>
    </cfRule>
  </conditionalFormatting>
  <conditionalFormatting sqref="D19">
    <cfRule type="cellIs" dxfId="4" priority="4" operator="greaterThan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23AF-A90A-4C02-ABD8-96D72A83508F}">
  <dimension ref="A1:L32"/>
  <sheetViews>
    <sheetView tabSelected="1" topLeftCell="A20" zoomScale="115" zoomScaleNormal="115" workbookViewId="0">
      <selection activeCell="A28" sqref="A28:K32"/>
    </sheetView>
  </sheetViews>
  <sheetFormatPr defaultRowHeight="15" x14ac:dyDescent="0.25"/>
  <cols>
    <col min="1" max="1" width="14.140625" customWidth="1"/>
    <col min="2" max="2" width="9.7109375" customWidth="1"/>
    <col min="3" max="3" width="15.85546875" customWidth="1"/>
    <col min="4" max="7" width="9.7109375" customWidth="1"/>
    <col min="8" max="8" width="5" bestFit="1" customWidth="1"/>
    <col min="9" max="9" width="11" bestFit="1" customWidth="1"/>
    <col min="10" max="10" width="16" customWidth="1"/>
    <col min="11" max="11" width="9" bestFit="1" customWidth="1"/>
  </cols>
  <sheetData>
    <row r="1" spans="1:12" ht="28.5" x14ac:dyDescent="0.3">
      <c r="A1" s="12" t="s">
        <v>16</v>
      </c>
      <c r="B1" s="4">
        <f>4.5*1000</f>
        <v>4500</v>
      </c>
      <c r="C1" s="12" t="s">
        <v>0</v>
      </c>
      <c r="D1" s="4">
        <v>300</v>
      </c>
    </row>
    <row r="2" spans="1:12" ht="42.75" x14ac:dyDescent="0.3">
      <c r="A2" s="12" t="s">
        <v>17</v>
      </c>
      <c r="B2" s="4">
        <v>1.1000000000000001</v>
      </c>
      <c r="C2" s="12" t="s">
        <v>31</v>
      </c>
      <c r="D2" s="4">
        <v>3000000</v>
      </c>
      <c r="E2" s="4"/>
      <c r="F2" s="4"/>
      <c r="G2" s="4"/>
    </row>
    <row r="3" spans="1:12" ht="28.5" x14ac:dyDescent="0.3">
      <c r="A3" s="12" t="s">
        <v>18</v>
      </c>
      <c r="B3" s="4">
        <f>0.5/1000</f>
        <v>5.0000000000000001E-4</v>
      </c>
      <c r="C3" s="12" t="s">
        <v>1</v>
      </c>
      <c r="D3" s="4">
        <v>1300000</v>
      </c>
      <c r="E3" s="4"/>
      <c r="F3" s="4"/>
      <c r="G3" s="4"/>
    </row>
    <row r="4" spans="1:12" ht="42.75" x14ac:dyDescent="0.3">
      <c r="A4" s="12" t="s">
        <v>19</v>
      </c>
      <c r="B4" s="4">
        <v>0.6</v>
      </c>
      <c r="C4" s="12" t="s">
        <v>42</v>
      </c>
      <c r="D4" s="4">
        <v>5000000</v>
      </c>
      <c r="E4" s="4"/>
      <c r="F4" s="4"/>
      <c r="G4" s="4"/>
    </row>
    <row r="5" spans="1:12" ht="28.5" x14ac:dyDescent="0.3">
      <c r="A5" s="12" t="s">
        <v>20</v>
      </c>
      <c r="B5" s="4">
        <f>500/1000</f>
        <v>0.5</v>
      </c>
      <c r="C5" s="12" t="s">
        <v>2</v>
      </c>
      <c r="D5" s="6">
        <v>0.03</v>
      </c>
      <c r="E5" s="4"/>
      <c r="F5" s="4"/>
      <c r="G5" s="4"/>
    </row>
    <row r="6" spans="1:12" ht="15.75" x14ac:dyDescent="0.3">
      <c r="A6" s="12" t="s">
        <v>14</v>
      </c>
      <c r="B6" s="7">
        <v>0.27</v>
      </c>
      <c r="C6" s="12" t="s">
        <v>3</v>
      </c>
      <c r="D6" s="8">
        <v>0.05</v>
      </c>
      <c r="E6" s="4"/>
      <c r="F6" s="4"/>
      <c r="G6" s="4"/>
    </row>
    <row r="7" spans="1:12" ht="28.5" x14ac:dyDescent="0.3">
      <c r="A7" s="12" t="s">
        <v>15</v>
      </c>
      <c r="B7" s="7">
        <v>0.18</v>
      </c>
      <c r="C7" s="12" t="s">
        <v>4</v>
      </c>
      <c r="D7" s="9">
        <v>1.4999999999999999E-2</v>
      </c>
      <c r="E7" s="4"/>
      <c r="F7" s="4"/>
      <c r="G7" s="4"/>
    </row>
    <row r="8" spans="1:12" ht="28.5" x14ac:dyDescent="0.3">
      <c r="A8" s="12" t="s">
        <v>25</v>
      </c>
      <c r="B8" s="7">
        <v>0.32</v>
      </c>
      <c r="C8" s="12" t="s">
        <v>40</v>
      </c>
      <c r="D8" s="8">
        <v>0.2</v>
      </c>
      <c r="E8" s="4"/>
      <c r="F8" s="4"/>
      <c r="G8" s="4"/>
    </row>
    <row r="9" spans="1:12" ht="15.75" x14ac:dyDescent="0.3">
      <c r="A9" s="12" t="s">
        <v>21</v>
      </c>
      <c r="B9" s="4">
        <v>0</v>
      </c>
      <c r="C9" s="12" t="s">
        <v>35</v>
      </c>
      <c r="D9" s="9">
        <v>5.0000000000000001E-3</v>
      </c>
      <c r="E9" s="4"/>
      <c r="F9" s="4"/>
      <c r="G9" s="4"/>
    </row>
    <row r="10" spans="1:12" ht="28.5" x14ac:dyDescent="0.3">
      <c r="A10" s="12" t="s">
        <v>22</v>
      </c>
      <c r="B10" s="4">
        <v>0</v>
      </c>
      <c r="C10" s="12" t="s">
        <v>10</v>
      </c>
      <c r="D10" s="8">
        <v>0.02</v>
      </c>
      <c r="E10" s="4"/>
      <c r="F10" s="4"/>
      <c r="G10" s="4"/>
    </row>
    <row r="11" spans="1:12" ht="28.5" x14ac:dyDescent="0.3">
      <c r="A11" s="12" t="s">
        <v>23</v>
      </c>
      <c r="B11" s="4">
        <v>4</v>
      </c>
      <c r="E11" s="4"/>
      <c r="F11" s="4"/>
      <c r="G11" s="4"/>
    </row>
    <row r="12" spans="1:12" ht="15.75" x14ac:dyDescent="0.3">
      <c r="A12" s="12" t="s">
        <v>32</v>
      </c>
      <c r="B12" s="4">
        <f>B9*B3*B7</f>
        <v>0</v>
      </c>
      <c r="C12" s="12" t="s">
        <v>11</v>
      </c>
      <c r="D12" s="8">
        <v>0.08</v>
      </c>
      <c r="E12" s="4"/>
      <c r="F12" s="4"/>
      <c r="G12" s="4"/>
    </row>
    <row r="13" spans="1:12" ht="28.5" x14ac:dyDescent="0.3">
      <c r="A13" s="12" t="s">
        <v>33</v>
      </c>
      <c r="B13" s="4">
        <f>B4*B10*B6</f>
        <v>0</v>
      </c>
      <c r="C13" s="4"/>
      <c r="D13" s="4"/>
      <c r="E13" s="4"/>
      <c r="F13" s="4"/>
      <c r="G13" s="4"/>
    </row>
    <row r="14" spans="1:12" ht="28.5" x14ac:dyDescent="0.3">
      <c r="A14" s="12" t="s">
        <v>34</v>
      </c>
      <c r="B14" s="4">
        <f>B11*B5*B8</f>
        <v>0.64</v>
      </c>
      <c r="C14" s="4"/>
      <c r="D14" s="4"/>
      <c r="E14" s="4"/>
      <c r="F14" s="4"/>
      <c r="G14" s="4"/>
    </row>
    <row r="15" spans="1:12" ht="15.75" x14ac:dyDescent="0.3">
      <c r="A15" s="12" t="s">
        <v>24</v>
      </c>
      <c r="B15" s="4">
        <f>B11*B5*B8+B4*B10*B6+B9*B3*B7</f>
        <v>0.64</v>
      </c>
      <c r="C15" s="4"/>
      <c r="D15" s="4"/>
      <c r="E15" s="4"/>
      <c r="F15" s="4"/>
      <c r="G15" s="4"/>
    </row>
    <row r="16" spans="1:12" ht="28.5" x14ac:dyDescent="0.3">
      <c r="A16" s="12" t="s">
        <v>26</v>
      </c>
      <c r="B16" s="4">
        <f>8760*B9*B7*B3</f>
        <v>0</v>
      </c>
      <c r="C16" s="4"/>
      <c r="D16" s="4"/>
      <c r="E16" s="4"/>
      <c r="F16" s="4"/>
      <c r="G16" s="4"/>
      <c r="L16" s="1"/>
    </row>
    <row r="17" spans="1:12" ht="28.5" x14ac:dyDescent="0.3">
      <c r="A17" s="12" t="s">
        <v>27</v>
      </c>
      <c r="B17" s="4">
        <f>8760*B10*B6*B4</f>
        <v>0</v>
      </c>
      <c r="C17" s="4"/>
      <c r="D17" s="4"/>
      <c r="E17" s="4"/>
      <c r="F17" s="4"/>
      <c r="G17" s="4"/>
      <c r="L17" s="1"/>
    </row>
    <row r="18" spans="1:12" ht="28.5" x14ac:dyDescent="0.3">
      <c r="A18" s="12" t="s">
        <v>28</v>
      </c>
      <c r="B18" s="4">
        <f>8760*B11*B8*B5</f>
        <v>5606.4000000000005</v>
      </c>
      <c r="C18" s="4"/>
      <c r="D18" s="4"/>
      <c r="E18" s="4"/>
      <c r="F18" s="4"/>
      <c r="G18" s="4"/>
      <c r="L18" s="1"/>
    </row>
    <row r="19" spans="1:12" ht="28.5" x14ac:dyDescent="0.3">
      <c r="A19" s="12" t="s">
        <v>29</v>
      </c>
      <c r="B19" s="4">
        <f>SUM(B16:B18)</f>
        <v>5606.4000000000005</v>
      </c>
      <c r="C19" s="4"/>
      <c r="D19" s="4"/>
      <c r="E19" s="4"/>
      <c r="F19" s="4"/>
      <c r="G19" s="4"/>
      <c r="L19" s="1"/>
    </row>
    <row r="20" spans="1:12" ht="42.75" x14ac:dyDescent="0.3">
      <c r="A20" s="12" t="s">
        <v>39</v>
      </c>
      <c r="B20" s="4">
        <f>B19*$D$1/1000/1000</f>
        <v>1.6819200000000003</v>
      </c>
      <c r="C20" s="4"/>
      <c r="D20" s="4"/>
      <c r="E20" s="4"/>
      <c r="F20" s="4"/>
      <c r="G20" s="4"/>
      <c r="L20" s="1"/>
    </row>
    <row r="21" spans="1:12" ht="28.5" x14ac:dyDescent="0.3">
      <c r="A21" s="12" t="s">
        <v>36</v>
      </c>
      <c r="B21" s="4">
        <f>(B14*$D$4)/1000/1000</f>
        <v>3.2</v>
      </c>
      <c r="C21" s="4"/>
      <c r="D21" s="4"/>
      <c r="E21" s="4"/>
      <c r="F21" s="4"/>
      <c r="G21" s="4"/>
      <c r="L21" s="1"/>
    </row>
    <row r="22" spans="1:12" ht="42.75" x14ac:dyDescent="0.3">
      <c r="A22" s="12" t="s">
        <v>41</v>
      </c>
      <c r="B22" s="4">
        <f>B21*(1-D8)</f>
        <v>2.5600000000000005</v>
      </c>
      <c r="C22" s="4"/>
      <c r="D22" s="4"/>
      <c r="E22" s="4"/>
      <c r="F22" s="4"/>
      <c r="G22" s="4"/>
      <c r="L22" s="1"/>
    </row>
    <row r="23" spans="1:12" ht="16.5" x14ac:dyDescent="0.3">
      <c r="A23" s="12" t="s">
        <v>30</v>
      </c>
      <c r="B23" s="4">
        <f>B19*1000*0.01/1000000</f>
        <v>5.606400000000001E-2</v>
      </c>
      <c r="C23" s="4"/>
      <c r="D23" s="4"/>
      <c r="E23" s="4"/>
      <c r="F23" s="4"/>
      <c r="G23" s="4"/>
      <c r="L23" s="1"/>
    </row>
    <row r="24" spans="1:12" ht="42.75" x14ac:dyDescent="0.3">
      <c r="A24" s="12" t="s">
        <v>38</v>
      </c>
      <c r="B24" s="4">
        <f>B20-B23</f>
        <v>1.6258560000000002</v>
      </c>
      <c r="C24" s="4"/>
      <c r="D24" s="4"/>
      <c r="E24" s="4"/>
      <c r="F24" s="4"/>
      <c r="G24" s="4"/>
      <c r="L24" s="1"/>
    </row>
    <row r="25" spans="1:12" ht="42.75" x14ac:dyDescent="0.3">
      <c r="A25" s="12" t="s">
        <v>37</v>
      </c>
      <c r="B25" s="4">
        <f>B22/B24</f>
        <v>1.5745551881593451</v>
      </c>
      <c r="C25" s="4"/>
      <c r="D25" s="4"/>
      <c r="E25" s="4"/>
      <c r="F25" s="4"/>
      <c r="G25" s="4"/>
      <c r="L25" s="1"/>
    </row>
    <row r="26" spans="1:12" ht="15.75" x14ac:dyDescent="0.3">
      <c r="A26" s="4"/>
      <c r="B26" s="4"/>
      <c r="C26" s="4"/>
      <c r="D26" s="4"/>
      <c r="E26" s="4"/>
      <c r="F26" s="4"/>
      <c r="G26" s="4"/>
    </row>
    <row r="27" spans="1:12" ht="42.75" x14ac:dyDescent="0.3">
      <c r="A27" s="12" t="s">
        <v>6</v>
      </c>
      <c r="B27" s="15" t="s">
        <v>7</v>
      </c>
      <c r="C27" s="15" t="s">
        <v>8</v>
      </c>
      <c r="D27" s="15" t="s">
        <v>5</v>
      </c>
      <c r="E27" s="15" t="s">
        <v>9</v>
      </c>
      <c r="F27" s="15" t="s">
        <v>12</v>
      </c>
      <c r="G27" s="15" t="s">
        <v>13</v>
      </c>
      <c r="H27" s="15" t="s">
        <v>43</v>
      </c>
      <c r="I27" s="16" t="s">
        <v>45</v>
      </c>
      <c r="J27" s="16" t="s">
        <v>44</v>
      </c>
      <c r="K27" s="16" t="s">
        <v>46</v>
      </c>
    </row>
    <row r="28" spans="1:12" ht="16.5" x14ac:dyDescent="0.3">
      <c r="A28" s="4">
        <v>0</v>
      </c>
      <c r="B28" s="4"/>
      <c r="C28" s="4"/>
      <c r="D28" s="4"/>
      <c r="E28" s="4"/>
      <c r="F28" s="4">
        <f>G28</f>
        <v>-2.5600000000000005</v>
      </c>
      <c r="G28" s="4">
        <f>-B22</f>
        <v>-2.5600000000000005</v>
      </c>
      <c r="H28" s="2"/>
      <c r="I28" s="4"/>
      <c r="J28" s="4"/>
      <c r="K28" s="4"/>
    </row>
    <row r="29" spans="1:12" ht="16.5" x14ac:dyDescent="0.3">
      <c r="A29" s="4">
        <v>1</v>
      </c>
      <c r="B29" s="17">
        <f>$B$23*(1+$D$5)^A29</f>
        <v>5.7745920000000013E-2</v>
      </c>
      <c r="C29" s="17">
        <f>$B$20*(1+$D$7)^A29</f>
        <v>1.7071488000000001</v>
      </c>
      <c r="D29" s="17">
        <f>C29-B29</f>
        <v>1.64940288</v>
      </c>
      <c r="E29" s="17">
        <f>(D29)*$D$8</f>
        <v>0.32988057600000004</v>
      </c>
      <c r="F29" s="17">
        <f>(D29-E29)/(1+$D$12)^A29</f>
        <v>1.221779911111111</v>
      </c>
      <c r="G29" s="17">
        <f>F29+G28</f>
        <v>-1.3382200888888895</v>
      </c>
      <c r="H29" s="2"/>
      <c r="I29" s="14">
        <f>$B$23/(1+$D$12)^A29</f>
        <v>5.1911111111111116E-2</v>
      </c>
      <c r="J29" s="18">
        <f>$B$19/(1+$D$12)^A29</f>
        <v>5191.1111111111113</v>
      </c>
      <c r="K29" s="4"/>
    </row>
    <row r="30" spans="1:12" ht="16.5" x14ac:dyDescent="0.3">
      <c r="A30" s="4">
        <v>2</v>
      </c>
      <c r="B30" s="17">
        <f>$B$23*(1+$D$5)^A30</f>
        <v>5.9478297600000007E-2</v>
      </c>
      <c r="C30" s="17">
        <f>$B$20*(1+$D$7)^A30</f>
        <v>1.7327560319999999</v>
      </c>
      <c r="D30" s="17">
        <f t="shared" ref="D30" si="0">C30-B30</f>
        <v>1.6732777344</v>
      </c>
      <c r="E30" s="17">
        <f>(D30)*$D$8</f>
        <v>0.33465554688000004</v>
      </c>
      <c r="F30" s="17">
        <f>(D30-E30)/(1+$D$12)^A30</f>
        <v>1.1476527670781891</v>
      </c>
      <c r="G30" s="17">
        <f>F30+G29</f>
        <v>-0.19056732181070046</v>
      </c>
      <c r="H30" s="2"/>
      <c r="I30" s="14">
        <f>$B$23/(1+$D$12)^A30</f>
        <v>4.8065843621399179E-2</v>
      </c>
      <c r="J30" s="18">
        <f>$B$19/(1+$D$12)^A30</f>
        <v>4806.5843621399181</v>
      </c>
      <c r="K30" s="4"/>
    </row>
    <row r="31" spans="1:12" ht="17.25" thickBot="1" x14ac:dyDescent="0.35">
      <c r="A31" s="4">
        <v>3</v>
      </c>
      <c r="B31" s="17">
        <f>$B$23*(1+$D$5)^A31</f>
        <v>6.1262646528000009E-2</v>
      </c>
      <c r="C31" s="17">
        <f>$B$20*(1+$D$7)^A31</f>
        <v>1.7587473724799996</v>
      </c>
      <c r="D31" s="17">
        <f>C31-B31</f>
        <v>1.6974847259519996</v>
      </c>
      <c r="E31" s="17">
        <f>(D31)*$D$8</f>
        <v>0.33949694519039997</v>
      </c>
      <c r="F31" s="17">
        <f>(D31-E31)/(1+$D$12)^A31</f>
        <v>1.0780144832799874</v>
      </c>
      <c r="G31" s="17">
        <f>F31+G30</f>
        <v>0.88744716146928693</v>
      </c>
      <c r="H31" s="3">
        <f>IRR(F28:F31)</f>
        <v>0.16894333846412235</v>
      </c>
      <c r="I31" s="14">
        <f>$B$23/(1+$D$12)^A31</f>
        <v>4.4505410760554795E-2</v>
      </c>
      <c r="J31" s="18">
        <f>$B$19/(1+$D$12)^A31</f>
        <v>4450.5410760554796</v>
      </c>
    </row>
    <row r="32" spans="1:12" ht="16.5" thickBot="1" x14ac:dyDescent="0.35">
      <c r="I32" s="14">
        <f>SUM(I29:I31)</f>
        <v>0.14448236549306509</v>
      </c>
      <c r="J32" s="18">
        <f>J30+J29+J31</f>
        <v>14448.236549306508</v>
      </c>
      <c r="K32" s="19">
        <f>1000*I32/J32</f>
        <v>0.01</v>
      </c>
    </row>
  </sheetData>
  <conditionalFormatting sqref="D15">
    <cfRule type="cellIs" dxfId="3" priority="2" operator="greaterThan">
      <formula>$B$1</formula>
    </cfRule>
  </conditionalFormatting>
  <conditionalFormatting sqref="B19">
    <cfRule type="cellIs" dxfId="2" priority="1" operator="greaterThan">
      <formula>$B$1</formula>
    </cfRule>
  </conditionalFormatting>
  <conditionalFormatting sqref="C19">
    <cfRule type="cellIs" dxfId="1" priority="3" operator="greaterThan">
      <formula>#REF!</formula>
    </cfRule>
  </conditionalFormatting>
  <conditionalFormatting sqref="D19">
    <cfRule type="cellIs" dxfId="0" priority="4" operator="greaterThan">
      <formula>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panels</vt:lpstr>
      <vt:lpstr>Scenario wind turbines</vt:lpstr>
      <vt:lpstr>Scenario diesel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Menelaos Zafeiridis</cp:lastModifiedBy>
  <dcterms:created xsi:type="dcterms:W3CDTF">2022-01-14T16:34:52Z</dcterms:created>
  <dcterms:modified xsi:type="dcterms:W3CDTF">2023-02-02T13:34:28Z</dcterms:modified>
</cp:coreProperties>
</file>