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6_MSBA UTD\2016 Fall Classes\OPRE 6301_Quantitative Intro\Excel workbooks\"/>
    </mc:Choice>
  </mc:AlternateContent>
  <bookViews>
    <workbookView xWindow="0" yWindow="0" windowWidth="7470" windowHeight="2055" tabRatio="956" activeTab="3"/>
  </bookViews>
  <sheets>
    <sheet name="z-Test_Mean" sheetId="1" r:id="rId1"/>
    <sheet name="t-Test_Mean" sheetId="2" r:id="rId2"/>
    <sheet name="Chi-squared Test_Variance" sheetId="7" r:id="rId3"/>
    <sheet name="z-Test_Proportion" sheetId="3" r:id="rId4"/>
    <sheet name="t-test_2 Means(Eq-Var)" sheetId="6" r:id="rId5"/>
    <sheet name="t-Test_2 Means(Uneq-Var)" sheetId="5" r:id="rId6"/>
    <sheet name="F-Test_2 Variances" sheetId="9" r:id="rId7"/>
    <sheet name="z-Test_2 Proportions(Case 1)" sheetId="4" r:id="rId8"/>
    <sheet name="z-Test_2 Proportions(Case 2)" sheetId="8" r:id="rId9"/>
    <sheet name="ANOVA" sheetId="10" r:id="rId10"/>
    <sheet name="Wilcoxon Rank Sum Test" sheetId="11" r:id="rId11"/>
    <sheet name="Wilcoxon Signed Rank Sum Test" sheetId="12" r:id="rId12"/>
  </sheets>
  <calcPr calcId="171027"/>
</workbook>
</file>

<file path=xl/calcChain.xml><?xml version="1.0" encoding="utf-8"?>
<calcChain xmlns="http://schemas.openxmlformats.org/spreadsheetml/2006/main">
  <c r="B3" i="3" l="1"/>
  <c r="C4" i="4" l="1"/>
  <c r="B4" i="4"/>
  <c r="C4" i="8" l="1"/>
  <c r="B4" i="8"/>
  <c r="E3" i="4" l="1"/>
  <c r="D9" i="12" l="1"/>
  <c r="D8" i="12"/>
  <c r="D7" i="12"/>
  <c r="D6" i="12"/>
  <c r="D5" i="12"/>
  <c r="D4" i="12"/>
  <c r="D3" i="12"/>
  <c r="E9" i="11"/>
  <c r="E8" i="11"/>
  <c r="E7" i="11"/>
  <c r="E6" i="11"/>
  <c r="E5" i="11"/>
  <c r="C5" i="11"/>
  <c r="E4" i="11"/>
  <c r="E3" i="11"/>
  <c r="C32" i="10"/>
  <c r="B32" i="10"/>
  <c r="D31" i="10"/>
  <c r="C31" i="10"/>
  <c r="B31" i="10"/>
  <c r="F30" i="10"/>
  <c r="E30" i="10"/>
  <c r="D30" i="10"/>
  <c r="C30" i="10"/>
  <c r="B26" i="10"/>
  <c r="C14" i="10"/>
  <c r="B14" i="10"/>
  <c r="D13" i="10"/>
  <c r="C13" i="10"/>
  <c r="B13" i="10"/>
  <c r="F12" i="10"/>
  <c r="E12" i="10"/>
  <c r="D12" i="10"/>
  <c r="C12" i="10"/>
  <c r="B8" i="10"/>
  <c r="E7" i="8"/>
  <c r="E5" i="8"/>
  <c r="E3" i="8"/>
  <c r="E4" i="8" s="1"/>
  <c r="E6" i="8" s="1"/>
  <c r="E7" i="4"/>
  <c r="E5" i="4"/>
  <c r="E4" i="4"/>
  <c r="E6" i="4" s="1"/>
  <c r="E8" i="9"/>
  <c r="E7" i="9"/>
  <c r="E5" i="9"/>
  <c r="E3" i="9"/>
  <c r="E4" i="9" s="1"/>
  <c r="E6" i="9" s="1"/>
  <c r="E8" i="5"/>
  <c r="E7" i="5"/>
  <c r="B7" i="5"/>
  <c r="E6" i="5"/>
  <c r="E5" i="5"/>
  <c r="E4" i="5"/>
  <c r="E7" i="6"/>
  <c r="B7" i="6"/>
  <c r="E6" i="6"/>
  <c r="E5" i="6"/>
  <c r="E4" i="6"/>
  <c r="E3" i="6"/>
  <c r="D7" i="3"/>
  <c r="D5" i="3"/>
  <c r="D3" i="3"/>
  <c r="D4" i="3" s="1"/>
  <c r="D6" i="3" s="1"/>
  <c r="E8" i="7"/>
  <c r="D8" i="7"/>
  <c r="E7" i="7"/>
  <c r="D7" i="7"/>
  <c r="D6" i="7"/>
  <c r="F5" i="7"/>
  <c r="E5" i="7"/>
  <c r="D5" i="7"/>
  <c r="D4" i="7"/>
  <c r="D3" i="7"/>
  <c r="D7" i="2"/>
  <c r="D6" i="2"/>
  <c r="D5" i="2"/>
  <c r="D4" i="2"/>
  <c r="D3" i="2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<sst xmlns="http://schemas.openxmlformats.org/spreadsheetml/2006/main" count="168" uniqueCount="78">
  <si>
    <t>z-Test of a Mean</t>
  </si>
  <si>
    <t>Sample mean</t>
  </si>
  <si>
    <t>z Stat</t>
  </si>
  <si>
    <t>Population standard deviation</t>
  </si>
  <si>
    <t>P(Z&lt;=z) one-tail</t>
  </si>
  <si>
    <t>Sample size</t>
  </si>
  <si>
    <t>z Critical one-tail</t>
  </si>
  <si>
    <t>Hypothesized mean</t>
  </si>
  <si>
    <t>P(Z&lt;=z) two-tail</t>
  </si>
  <si>
    <t>Alpha</t>
  </si>
  <si>
    <t>z Critical two-tail</t>
  </si>
  <si>
    <t>t-Test of a Mean</t>
  </si>
  <si>
    <t>t Stat</t>
  </si>
  <si>
    <t>Sample standard deviation</t>
  </si>
  <si>
    <t>P(T&lt;=t) one-tail</t>
  </si>
  <si>
    <t>t Critical one-tail</t>
  </si>
  <si>
    <t>P(T&lt;=t) two-tail</t>
  </si>
  <si>
    <t>t Critical two-tail</t>
  </si>
  <si>
    <t>z-Test of a Proportion</t>
  </si>
  <si>
    <t>Sample proportion</t>
  </si>
  <si>
    <t>Hypothesized proportion</t>
  </si>
  <si>
    <t>Chi-squared Test of a Variance</t>
  </si>
  <si>
    <t>Sample variance</t>
  </si>
  <si>
    <t>Chi-squared Stat</t>
  </si>
  <si>
    <t>P(CHI&lt;=chi) one-tail</t>
  </si>
  <si>
    <t>Hypothesized variance</t>
  </si>
  <si>
    <t>chi-squared Critical one-tail</t>
  </si>
  <si>
    <t>P(CHI&lt;=chi) two-tail</t>
  </si>
  <si>
    <t>chi-squared Critical two-tail</t>
  </si>
  <si>
    <t>t-Test of the Difference Between Two Means (Equal-Variances)</t>
  </si>
  <si>
    <t>Sample 1</t>
  </si>
  <si>
    <t>Sample 2</t>
  </si>
  <si>
    <t>Mean</t>
  </si>
  <si>
    <t>Variance</t>
  </si>
  <si>
    <t>Observations</t>
  </si>
  <si>
    <t>Pooled Variance estimate</t>
  </si>
  <si>
    <t>Hypothesized difference</t>
  </si>
  <si>
    <t>t-Test of the Difference Between Two Means (Unequal-Variances)</t>
  </si>
  <si>
    <t>Degrees of freedom</t>
  </si>
  <si>
    <t>z-Test of the Difference Between Two Proportions (Case 1)</t>
  </si>
  <si>
    <t>z-Test of the Difference Between Two Proportions (Case 2)</t>
  </si>
  <si>
    <t>F-Test of the Ratio of Two Variances</t>
  </si>
  <si>
    <t>F Stat</t>
  </si>
  <si>
    <t>P(F&lt;=f) one-tail</t>
  </si>
  <si>
    <t>P(F&lt;=f) two-tail</t>
  </si>
  <si>
    <t>f Critical one-tail</t>
  </si>
  <si>
    <t>f Critical two-tail</t>
  </si>
  <si>
    <t>Sample</t>
  </si>
  <si>
    <t>Sample Size</t>
  </si>
  <si>
    <t>Grand Mean</t>
  </si>
  <si>
    <t>ANOVA Table</t>
  </si>
  <si>
    <t>Source</t>
  </si>
  <si>
    <t>df</t>
  </si>
  <si>
    <t>Sums of Squares</t>
  </si>
  <si>
    <t>Mean Squares</t>
  </si>
  <si>
    <t>Treatments</t>
  </si>
  <si>
    <t>Error</t>
  </si>
  <si>
    <t>Total</t>
  </si>
  <si>
    <t>F-Statistic</t>
  </si>
  <si>
    <t>p-Value</t>
  </si>
  <si>
    <t>Rank Sum</t>
  </si>
  <si>
    <t>T+</t>
  </si>
  <si>
    <t>Expected Value</t>
  </si>
  <si>
    <t>Standard Deviation</t>
  </si>
  <si>
    <t>One-Way ANOVA 3 Treatments</t>
  </si>
  <si>
    <t>One-Way ANOVA 4 Treatments</t>
  </si>
  <si>
    <t>Wilcoxon Rank Sum Test</t>
  </si>
  <si>
    <t>Wilcoxon Signed Rank Sum Test</t>
  </si>
  <si>
    <t>test statistic</t>
  </si>
  <si>
    <t>p value</t>
  </si>
  <si>
    <t>critical value</t>
  </si>
  <si>
    <t>negative for left, Excel don't know left tail</t>
    <phoneticPr fontId="0" type="noConversion"/>
  </si>
  <si>
    <t>why double p-value?</t>
    <phoneticPr fontId="0" type="noConversion"/>
  </si>
  <si>
    <r>
      <t>C</t>
    </r>
    <r>
      <rPr>
        <sz val="10"/>
        <rFont val="Arial"/>
        <family val="2"/>
      </rPr>
      <t>HIINV</t>
    </r>
    <phoneticPr fontId="0" type="noConversion"/>
  </si>
  <si>
    <r>
      <t>C</t>
    </r>
    <r>
      <rPr>
        <sz val="10"/>
        <rFont val="Arial"/>
        <family val="2"/>
      </rPr>
      <t>HISQ.INV</t>
    </r>
    <phoneticPr fontId="0" type="noConversion"/>
  </si>
  <si>
    <r>
      <t>r</t>
    </r>
    <r>
      <rPr>
        <sz val="10"/>
        <rFont val="Arial"/>
        <family val="2"/>
      </rPr>
      <t>ight tail 0.01</t>
    </r>
    <phoneticPr fontId="0" type="noConversion"/>
  </si>
  <si>
    <r>
      <t>l</t>
    </r>
    <r>
      <rPr>
        <sz val="10"/>
        <rFont val="Arial"/>
        <family val="2"/>
      </rPr>
      <t>eft tail 0.01</t>
    </r>
    <phoneticPr fontId="0" type="noConversion"/>
  </si>
  <si>
    <t>P(Z&lt;=z) one-tail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</si>
</sst>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"/>
    <numFmt numFmtId="177" formatCode="0.000000"/>
    <numFmt numFmtId="179" formatCode="0.000"/>
    <numFmt numFmtId="180" formatCode="0.00_ "/>
  </numFmts>
  <fonts count="13" x14ac:knownFonts="1">
    <font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8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3" fillId="0" borderId="0" xfId="0" applyFont="1"/>
    <xf numFmtId="17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77" fontId="1" fillId="0" borderId="0" xfId="0" applyNumberFormat="1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/>
    <xf numFmtId="176" fontId="3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179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177" fontId="5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76" fontId="10" fillId="0" borderId="0" xfId="0" applyNumberFormat="1" applyFont="1" applyAlignment="1">
      <alignment horizontal="center"/>
    </xf>
    <xf numFmtId="176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6" fontId="5" fillId="2" borderId="0" xfId="0" applyNumberFormat="1" applyFont="1" applyFill="1" applyAlignment="1">
      <alignment horizontal="center"/>
    </xf>
    <xf numFmtId="0" fontId="11" fillId="0" borderId="0" xfId="0" applyFont="1"/>
    <xf numFmtId="2" fontId="5" fillId="2" borderId="0" xfId="0" applyNumberFormat="1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12" fillId="2" borderId="0" xfId="0" applyFont="1" applyFill="1"/>
    <xf numFmtId="2" fontId="12" fillId="2" borderId="0" xfId="0" applyNumberFormat="1" applyFont="1" applyFill="1" applyAlignment="1">
      <alignment horizontal="center"/>
    </xf>
    <xf numFmtId="180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8" sqref="B8"/>
    </sheetView>
  </sheetViews>
  <sheetFormatPr defaultColWidth="8.85546875" defaultRowHeight="23.25" x14ac:dyDescent="0.35"/>
  <cols>
    <col min="1" max="1" width="49.85546875" style="20" bestFit="1" customWidth="1"/>
    <col min="2" max="2" width="14.85546875" style="20" bestFit="1" customWidth="1"/>
    <col min="3" max="3" width="28.42578125" style="20" bestFit="1" customWidth="1"/>
    <col min="4" max="4" width="11.85546875" style="20" bestFit="1" customWidth="1"/>
    <col min="5" max="16384" width="8.85546875" style="20"/>
  </cols>
  <sheetData>
    <row r="1" spans="1:8" x14ac:dyDescent="0.35">
      <c r="A1" s="19" t="s">
        <v>0</v>
      </c>
    </row>
    <row r="3" spans="1:8" x14ac:dyDescent="0.35">
      <c r="A3" s="19" t="s">
        <v>1</v>
      </c>
      <c r="B3" s="21">
        <v>3.72</v>
      </c>
      <c r="C3" s="19" t="s">
        <v>2</v>
      </c>
      <c r="D3" s="42">
        <f>(B3-B6)/(B4/B5^0.5)</f>
        <v>2.1082926644998037</v>
      </c>
      <c r="E3" s="20" t="s">
        <v>68</v>
      </c>
    </row>
    <row r="4" spans="1:8" x14ac:dyDescent="0.35">
      <c r="A4" s="19" t="s">
        <v>3</v>
      </c>
      <c r="B4" s="21">
        <v>0.7</v>
      </c>
      <c r="C4" s="19" t="s">
        <v>4</v>
      </c>
      <c r="D4" s="40">
        <f>MIN(NORMSDIST(D3),1-NORMSDIST(D3))</f>
        <v>1.7502841038546491E-2</v>
      </c>
      <c r="E4" s="20" t="s">
        <v>69</v>
      </c>
    </row>
    <row r="5" spans="1:8" x14ac:dyDescent="0.35">
      <c r="A5" s="19" t="s">
        <v>5</v>
      </c>
      <c r="B5" s="21">
        <v>45</v>
      </c>
      <c r="C5" s="19" t="s">
        <v>6</v>
      </c>
      <c r="D5" s="40">
        <f>NORMSINV(1-B7)</f>
        <v>1.6448536269514715</v>
      </c>
      <c r="E5" s="20" t="s">
        <v>70</v>
      </c>
      <c r="H5" s="41" t="s">
        <v>71</v>
      </c>
    </row>
    <row r="6" spans="1:8" x14ac:dyDescent="0.35">
      <c r="A6" s="19" t="s">
        <v>7</v>
      </c>
      <c r="B6" s="21">
        <v>3.5</v>
      </c>
      <c r="C6" s="19" t="s">
        <v>8</v>
      </c>
      <c r="D6" s="23">
        <f>2*D4</f>
        <v>3.5005682077092981E-2</v>
      </c>
      <c r="H6" s="41" t="s">
        <v>72</v>
      </c>
    </row>
    <row r="7" spans="1:8" x14ac:dyDescent="0.35">
      <c r="A7" s="19" t="s">
        <v>9</v>
      </c>
      <c r="B7" s="21">
        <v>0.05</v>
      </c>
      <c r="C7" s="19" t="s">
        <v>10</v>
      </c>
      <c r="D7" s="40">
        <f>NORMSINV(1-B7/2)</f>
        <v>1.9599639845400536</v>
      </c>
    </row>
    <row r="8" spans="1:8" x14ac:dyDescent="0.35">
      <c r="D8" s="20">
        <f>_xlfn.NORM.S.INV(B7/2)</f>
        <v>-1.9599639845400538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Normal="100" workbookViewId="0"/>
  </sheetViews>
  <sheetFormatPr defaultRowHeight="12.75" x14ac:dyDescent="0.2"/>
  <cols>
    <col min="1" max="1" width="16.5703125" bestFit="1" customWidth="1"/>
    <col min="3" max="3" width="16.42578125" bestFit="1" customWidth="1"/>
    <col min="4" max="4" width="14.140625" bestFit="1" customWidth="1"/>
    <col min="5" max="5" width="9.85546875" bestFit="1" customWidth="1"/>
    <col min="6" max="6" width="8" bestFit="1" customWidth="1"/>
  </cols>
  <sheetData>
    <row r="1" spans="1:6" x14ac:dyDescent="0.2">
      <c r="A1" s="1" t="s">
        <v>64</v>
      </c>
    </row>
    <row r="3" spans="1:6" x14ac:dyDescent="0.2">
      <c r="A3" s="13" t="s">
        <v>47</v>
      </c>
      <c r="B3" s="13" t="s">
        <v>32</v>
      </c>
      <c r="C3" s="13" t="s">
        <v>33</v>
      </c>
      <c r="D3" s="13" t="s">
        <v>48</v>
      </c>
    </row>
    <row r="4" spans="1:6" x14ac:dyDescent="0.2">
      <c r="A4" s="13">
        <v>1</v>
      </c>
      <c r="B4" s="3">
        <v>20</v>
      </c>
      <c r="C4" s="3">
        <v>25</v>
      </c>
      <c r="D4" s="3">
        <v>4</v>
      </c>
    </row>
    <row r="5" spans="1:6" x14ac:dyDescent="0.2">
      <c r="A5" s="13">
        <v>2</v>
      </c>
      <c r="B5" s="8">
        <v>22</v>
      </c>
      <c r="C5" s="3">
        <v>25</v>
      </c>
      <c r="D5" s="3">
        <v>4</v>
      </c>
    </row>
    <row r="6" spans="1:6" x14ac:dyDescent="0.2">
      <c r="A6" s="13">
        <v>3</v>
      </c>
      <c r="B6" s="3">
        <v>25</v>
      </c>
      <c r="C6" s="3">
        <v>25</v>
      </c>
      <c r="D6" s="3">
        <v>4</v>
      </c>
    </row>
    <row r="8" spans="1:6" x14ac:dyDescent="0.2">
      <c r="A8" s="1" t="s">
        <v>49</v>
      </c>
      <c r="B8" s="4">
        <f>(D4*B4+D5*B5+D6*B6)/(D4+D5+D6)</f>
        <v>22.333333333333332</v>
      </c>
    </row>
    <row r="10" spans="1:6" x14ac:dyDescent="0.2">
      <c r="A10" s="16" t="s">
        <v>50</v>
      </c>
    </row>
    <row r="11" spans="1:6" x14ac:dyDescent="0.2">
      <c r="A11" s="16" t="s">
        <v>51</v>
      </c>
      <c r="B11" s="13" t="s">
        <v>52</v>
      </c>
      <c r="C11" s="1" t="s">
        <v>53</v>
      </c>
      <c r="D11" s="1" t="s">
        <v>54</v>
      </c>
      <c r="E11" s="1" t="s">
        <v>58</v>
      </c>
      <c r="F11" s="13" t="s">
        <v>59</v>
      </c>
    </row>
    <row r="12" spans="1:6" x14ac:dyDescent="0.2">
      <c r="A12" s="16" t="s">
        <v>55</v>
      </c>
      <c r="B12" s="13">
        <v>2</v>
      </c>
      <c r="C12" s="4">
        <f>(D4*(B4-B8)^2)+(D5*(B5-B8)^2)+(D6*(B6-B8)^2)</f>
        <v>50.666666666666671</v>
      </c>
      <c r="D12" s="4">
        <f>C12/B12</f>
        <v>25.333333333333336</v>
      </c>
      <c r="E12" s="4">
        <f>D12/D13</f>
        <v>1.0133333333333334</v>
      </c>
      <c r="F12" s="5">
        <f>FDIST(E12,B12,B13)</f>
        <v>0.40095181592625767</v>
      </c>
    </row>
    <row r="13" spans="1:6" x14ac:dyDescent="0.2">
      <c r="A13" s="16" t="s">
        <v>56</v>
      </c>
      <c r="B13" s="13">
        <f>D4+D5+D6-3</f>
        <v>9</v>
      </c>
      <c r="C13" s="4">
        <f>(D4-1)*C4+(D5-1)*C5+(D6-1)*C6</f>
        <v>225</v>
      </c>
      <c r="D13" s="4">
        <f>C13/B13</f>
        <v>25</v>
      </c>
      <c r="E13" s="3"/>
    </row>
    <row r="14" spans="1:6" x14ac:dyDescent="0.2">
      <c r="A14" s="16" t="s">
        <v>57</v>
      </c>
      <c r="B14" s="13">
        <f>B12+B13</f>
        <v>11</v>
      </c>
      <c r="C14" s="4">
        <f>C12+C13</f>
        <v>275.66666666666669</v>
      </c>
      <c r="D14" s="3"/>
      <c r="E14" s="3"/>
    </row>
    <row r="18" spans="1:6" x14ac:dyDescent="0.2">
      <c r="A18" s="1" t="s">
        <v>65</v>
      </c>
    </row>
    <row r="20" spans="1:6" x14ac:dyDescent="0.2">
      <c r="A20" s="13" t="s">
        <v>47</v>
      </c>
      <c r="B20" s="13" t="s">
        <v>32</v>
      </c>
      <c r="C20" s="13" t="s">
        <v>33</v>
      </c>
      <c r="D20" s="13" t="s">
        <v>48</v>
      </c>
      <c r="E20" s="3"/>
      <c r="F20" s="3"/>
    </row>
    <row r="21" spans="1:6" x14ac:dyDescent="0.2">
      <c r="A21" s="13">
        <v>1</v>
      </c>
      <c r="B21" s="14">
        <v>30</v>
      </c>
      <c r="C21" s="3">
        <v>10</v>
      </c>
      <c r="D21" s="13">
        <v>10</v>
      </c>
      <c r="E21" s="3"/>
      <c r="F21" s="3"/>
    </row>
    <row r="22" spans="1:6" x14ac:dyDescent="0.2">
      <c r="A22" s="13">
        <v>2</v>
      </c>
      <c r="B22" s="14">
        <v>35</v>
      </c>
      <c r="C22" s="3">
        <v>10</v>
      </c>
      <c r="D22" s="3">
        <v>14</v>
      </c>
      <c r="E22" s="3"/>
      <c r="F22" s="3"/>
    </row>
    <row r="23" spans="1:6" x14ac:dyDescent="0.2">
      <c r="A23" s="13">
        <v>3</v>
      </c>
      <c r="B23" s="14">
        <v>33</v>
      </c>
      <c r="C23" s="3">
        <v>10</v>
      </c>
      <c r="D23" s="3">
        <v>11</v>
      </c>
      <c r="E23" s="3"/>
      <c r="F23" s="3"/>
    </row>
    <row r="24" spans="1:6" x14ac:dyDescent="0.2">
      <c r="A24" s="13">
        <v>4</v>
      </c>
      <c r="B24" s="14">
        <v>40</v>
      </c>
      <c r="C24" s="3">
        <v>10</v>
      </c>
      <c r="D24" s="3">
        <v>18</v>
      </c>
      <c r="E24" s="3"/>
      <c r="F24" s="3"/>
    </row>
    <row r="25" spans="1:6" x14ac:dyDescent="0.2">
      <c r="A25" s="3"/>
      <c r="B25" s="3"/>
      <c r="C25" s="3"/>
      <c r="D25" s="3"/>
      <c r="E25" s="3"/>
      <c r="F25" s="3"/>
    </row>
    <row r="26" spans="1:6" x14ac:dyDescent="0.2">
      <c r="A26" s="13" t="s">
        <v>49</v>
      </c>
      <c r="B26" s="4">
        <f>SUMPRODUCT(B21:B24,D21:D24)/SUM(D21:D24)</f>
        <v>35.339622641509436</v>
      </c>
      <c r="C26" s="13"/>
      <c r="D26" s="13"/>
      <c r="E26" s="13"/>
      <c r="F26" s="13"/>
    </row>
    <row r="27" spans="1:6" x14ac:dyDescent="0.2">
      <c r="A27" s="13"/>
      <c r="B27" s="13"/>
      <c r="C27" s="13"/>
      <c r="D27" s="13"/>
      <c r="E27" s="13"/>
      <c r="F27" s="13"/>
    </row>
    <row r="28" spans="1:6" x14ac:dyDescent="0.2">
      <c r="A28" s="17" t="s">
        <v>50</v>
      </c>
      <c r="B28" s="13"/>
      <c r="C28" s="13"/>
      <c r="D28" s="13"/>
      <c r="E28" s="13"/>
      <c r="F28" s="13"/>
    </row>
    <row r="29" spans="1:6" x14ac:dyDescent="0.2">
      <c r="A29" s="17" t="s">
        <v>51</v>
      </c>
      <c r="B29" s="13" t="s">
        <v>52</v>
      </c>
      <c r="C29" s="13" t="s">
        <v>53</v>
      </c>
      <c r="D29" s="13" t="s">
        <v>54</v>
      </c>
      <c r="E29" s="13" t="s">
        <v>58</v>
      </c>
      <c r="F29" s="13" t="s">
        <v>59</v>
      </c>
    </row>
    <row r="30" spans="1:6" x14ac:dyDescent="0.2">
      <c r="A30" s="17" t="s">
        <v>55</v>
      </c>
      <c r="B30" s="13">
        <v>3</v>
      </c>
      <c r="C30" s="4">
        <f>(D21*(B21-B26)^2)+(D22*(B22-B26)^2)+(D23*(B23-B26)^2)+(D24*(B24-B26)^2)</f>
        <v>737.88679245283015</v>
      </c>
      <c r="D30" s="4">
        <f>C30/B30</f>
        <v>245.96226415094338</v>
      </c>
      <c r="E30" s="4">
        <f>D30/D31</f>
        <v>24.596226415094339</v>
      </c>
      <c r="F30" s="5">
        <f>FDIST(E30,B30,B31)</f>
        <v>7.4814850848127347E-10</v>
      </c>
    </row>
    <row r="31" spans="1:6" x14ac:dyDescent="0.2">
      <c r="A31" s="17" t="s">
        <v>56</v>
      </c>
      <c r="B31" s="13">
        <f>B32-B30</f>
        <v>49</v>
      </c>
      <c r="C31" s="4">
        <f>(D21-1)*C21+(D22-1)*C22+(D23-1)*C23+(D24-1)*C24</f>
        <v>490</v>
      </c>
      <c r="D31" s="4">
        <f>C31/B31</f>
        <v>10</v>
      </c>
      <c r="E31" s="13"/>
      <c r="F31" s="13"/>
    </row>
    <row r="32" spans="1:6" x14ac:dyDescent="0.2">
      <c r="A32" s="17" t="s">
        <v>57</v>
      </c>
      <c r="B32" s="13">
        <f>SUM(D21:D24)-1</f>
        <v>52</v>
      </c>
      <c r="C32" s="4">
        <f>C30+C31</f>
        <v>1227.8867924528302</v>
      </c>
      <c r="D32" s="13"/>
      <c r="E32" s="13"/>
      <c r="F32" s="1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2.75" x14ac:dyDescent="0.2"/>
  <cols>
    <col min="1" max="1" width="23.5703125" bestFit="1" customWidth="1"/>
    <col min="2" max="3" width="10.5703125" customWidth="1"/>
    <col min="4" max="4" width="18.5703125" bestFit="1" customWidth="1"/>
    <col min="5" max="5" width="10.5703125" customWidth="1"/>
  </cols>
  <sheetData>
    <row r="1" spans="1:5" x14ac:dyDescent="0.2">
      <c r="A1" s="1" t="s">
        <v>66</v>
      </c>
    </row>
    <row r="3" spans="1:5" x14ac:dyDescent="0.2">
      <c r="A3" s="1" t="s">
        <v>47</v>
      </c>
      <c r="B3" s="13">
        <v>1</v>
      </c>
      <c r="C3" s="13">
        <v>2</v>
      </c>
      <c r="D3" s="1" t="s">
        <v>62</v>
      </c>
      <c r="E3" s="13">
        <f>B4*(B4+C4+1)/2</f>
        <v>105</v>
      </c>
    </row>
    <row r="4" spans="1:5" x14ac:dyDescent="0.2">
      <c r="A4" s="1" t="s">
        <v>5</v>
      </c>
      <c r="B4" s="3">
        <v>10</v>
      </c>
      <c r="C4" s="3">
        <v>10</v>
      </c>
      <c r="D4" s="1" t="s">
        <v>63</v>
      </c>
      <c r="E4" s="4">
        <f>SQRT(B4*C4*(B4+C4+1)/12)</f>
        <v>13.228756555322953</v>
      </c>
    </row>
    <row r="5" spans="1:5" x14ac:dyDescent="0.2">
      <c r="A5" s="1" t="s">
        <v>60</v>
      </c>
      <c r="B5" s="3">
        <v>105</v>
      </c>
      <c r="C5" s="10">
        <f>(B4+C4)*(B4+C4+1)/2-B5</f>
        <v>105</v>
      </c>
      <c r="D5" s="1" t="s">
        <v>2</v>
      </c>
      <c r="E5" s="5">
        <f>(B5-E3)/E4</f>
        <v>0</v>
      </c>
    </row>
    <row r="6" spans="1:5" x14ac:dyDescent="0.2">
      <c r="A6" s="1"/>
      <c r="B6" s="3"/>
      <c r="C6" s="3"/>
      <c r="D6" s="1" t="s">
        <v>4</v>
      </c>
      <c r="E6" s="5">
        <f>MIN(NORMSDIST(E5),1-NORMSDIST(E5))</f>
        <v>0.5</v>
      </c>
    </row>
    <row r="7" spans="1:5" x14ac:dyDescent="0.2">
      <c r="A7" s="1" t="s">
        <v>9</v>
      </c>
      <c r="B7" s="3">
        <v>0.05</v>
      </c>
      <c r="C7" s="3"/>
      <c r="D7" s="1" t="s">
        <v>6</v>
      </c>
      <c r="E7" s="5">
        <f>NORMSINV(B7)</f>
        <v>-1.6448536269514726</v>
      </c>
    </row>
    <row r="8" spans="1:5" x14ac:dyDescent="0.2">
      <c r="C8" s="3"/>
      <c r="D8" s="1" t="s">
        <v>8</v>
      </c>
      <c r="E8" s="5">
        <f>2*E6</f>
        <v>1</v>
      </c>
    </row>
    <row r="9" spans="1:5" x14ac:dyDescent="0.2">
      <c r="D9" s="1" t="s">
        <v>10</v>
      </c>
      <c r="E9" s="5">
        <f>NORMSINV(1-B7/2)</f>
        <v>1.9599639845400536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2.75" x14ac:dyDescent="0.2"/>
  <cols>
    <col min="1" max="1" width="30.85546875" bestFit="1" customWidth="1"/>
    <col min="2" max="2" width="10.5703125" customWidth="1"/>
    <col min="3" max="3" width="18.5703125" customWidth="1"/>
  </cols>
  <sheetData>
    <row r="1" spans="1:4" x14ac:dyDescent="0.2">
      <c r="A1" s="1" t="s">
        <v>67</v>
      </c>
    </row>
    <row r="3" spans="1:4" x14ac:dyDescent="0.2">
      <c r="A3" s="1" t="s">
        <v>5</v>
      </c>
      <c r="B3" s="3">
        <v>10</v>
      </c>
      <c r="C3" s="1" t="s">
        <v>62</v>
      </c>
      <c r="D3" s="13">
        <f>B3*(B3+1)/4</f>
        <v>27.5</v>
      </c>
    </row>
    <row r="4" spans="1:4" x14ac:dyDescent="0.2">
      <c r="A4" s="1" t="s">
        <v>61</v>
      </c>
      <c r="B4" s="3">
        <v>35</v>
      </c>
      <c r="C4" s="1" t="s">
        <v>63</v>
      </c>
      <c r="D4" s="4">
        <f>SQRT(B3*(B3+1)*(2*B3+1)/24)</f>
        <v>9.8107084351742913</v>
      </c>
    </row>
    <row r="5" spans="1:4" x14ac:dyDescent="0.2">
      <c r="A5" s="1"/>
      <c r="B5" s="3"/>
      <c r="C5" s="1" t="s">
        <v>2</v>
      </c>
      <c r="D5" s="5">
        <f>(B4-D3)/D4</f>
        <v>0.76447078715643835</v>
      </c>
    </row>
    <row r="6" spans="1:4" x14ac:dyDescent="0.2">
      <c r="A6" s="1" t="s">
        <v>9</v>
      </c>
      <c r="B6" s="3">
        <v>0.05</v>
      </c>
      <c r="C6" s="1" t="s">
        <v>4</v>
      </c>
      <c r="D6" s="5">
        <f>MIN(NORMSDIST(D5),1-NORMSDIST(D5))</f>
        <v>0.22229336945587275</v>
      </c>
    </row>
    <row r="7" spans="1:4" x14ac:dyDescent="0.2">
      <c r="A7" s="1"/>
      <c r="B7" s="3"/>
      <c r="C7" s="1" t="s">
        <v>6</v>
      </c>
      <c r="D7" s="5">
        <f>NORMSINV(B6)</f>
        <v>-1.6448536269514726</v>
      </c>
    </row>
    <row r="8" spans="1:4" x14ac:dyDescent="0.2">
      <c r="C8" s="1" t="s">
        <v>8</v>
      </c>
      <c r="D8" s="5">
        <f>2*D6</f>
        <v>0.44458673891174549</v>
      </c>
    </row>
    <row r="9" spans="1:4" x14ac:dyDescent="0.2">
      <c r="C9" s="1" t="s">
        <v>10</v>
      </c>
      <c r="D9" s="5">
        <f>NORMSINV(1-B6/2)</f>
        <v>1.9599639845400536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5" sqref="D5"/>
    </sheetView>
  </sheetViews>
  <sheetFormatPr defaultColWidth="8.85546875" defaultRowHeight="25.5" x14ac:dyDescent="0.35"/>
  <cols>
    <col min="1" max="1" width="48.5703125" style="26" bestFit="1" customWidth="1"/>
    <col min="2" max="2" width="11.42578125" style="26" bestFit="1" customWidth="1"/>
    <col min="3" max="3" width="34" style="26" customWidth="1"/>
    <col min="4" max="4" width="22.28515625" style="26" customWidth="1"/>
    <col min="5" max="16384" width="8.85546875" style="26"/>
  </cols>
  <sheetData>
    <row r="1" spans="1:4" ht="26.25" x14ac:dyDescent="0.4">
      <c r="A1" s="25" t="s">
        <v>11</v>
      </c>
    </row>
    <row r="3" spans="1:4" ht="26.25" x14ac:dyDescent="0.4">
      <c r="A3" s="25" t="s">
        <v>1</v>
      </c>
      <c r="B3" s="27">
        <v>5.6875</v>
      </c>
      <c r="C3" s="25" t="s">
        <v>12</v>
      </c>
      <c r="D3" s="28">
        <f>(B3-B6)/(B4/B5^0.5)</f>
        <v>-0.68514668020920777</v>
      </c>
    </row>
    <row r="4" spans="1:4" ht="26.25" x14ac:dyDescent="0.4">
      <c r="A4" s="25" t="s">
        <v>13</v>
      </c>
      <c r="B4" s="27">
        <v>1.58</v>
      </c>
      <c r="C4" s="25" t="s">
        <v>14</v>
      </c>
      <c r="D4" s="29">
        <f>TDIST(ABS(D3),(B5-1),1)</f>
        <v>0.25371614866317294</v>
      </c>
    </row>
    <row r="5" spans="1:4" ht="26.25" x14ac:dyDescent="0.4">
      <c r="A5" s="25" t="s">
        <v>5</v>
      </c>
      <c r="B5" s="27">
        <v>12</v>
      </c>
      <c r="C5" s="25" t="s">
        <v>15</v>
      </c>
      <c r="D5" s="29">
        <f>TINV(2*B7,B5-1)</f>
        <v>1.7958848187040437</v>
      </c>
    </row>
    <row r="6" spans="1:4" ht="26.25" x14ac:dyDescent="0.4">
      <c r="A6" s="25" t="s">
        <v>7</v>
      </c>
      <c r="B6" s="27">
        <v>6</v>
      </c>
      <c r="C6" s="25" t="s">
        <v>16</v>
      </c>
      <c r="D6" s="29">
        <f>2*D4</f>
        <v>0.50743229732634587</v>
      </c>
    </row>
    <row r="7" spans="1:4" ht="26.25" x14ac:dyDescent="0.4">
      <c r="A7" s="25" t="s">
        <v>9</v>
      </c>
      <c r="B7" s="27">
        <v>0.05</v>
      </c>
      <c r="C7" s="25" t="s">
        <v>17</v>
      </c>
      <c r="D7" s="29">
        <f>TINV(B7,B5-1)</f>
        <v>2.2009851600916384</v>
      </c>
    </row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7" sqref="B7"/>
    </sheetView>
  </sheetViews>
  <sheetFormatPr defaultRowHeight="12.75" customHeight="1" x14ac:dyDescent="0.2"/>
  <cols>
    <col min="1" max="1" width="22" bestFit="1" customWidth="1"/>
    <col min="3" max="3" width="26.5703125" bestFit="1" customWidth="1"/>
  </cols>
  <sheetData>
    <row r="1" spans="1:6" ht="12.75" customHeight="1" x14ac:dyDescent="0.2">
      <c r="A1" s="1" t="s">
        <v>21</v>
      </c>
      <c r="B1" s="6"/>
      <c r="C1" s="6"/>
      <c r="D1" s="6"/>
    </row>
    <row r="3" spans="1:6" ht="12.75" customHeight="1" x14ac:dyDescent="0.2">
      <c r="A3" s="1" t="s">
        <v>22</v>
      </c>
      <c r="B3" s="10">
        <v>220</v>
      </c>
      <c r="C3" s="43" t="s">
        <v>23</v>
      </c>
      <c r="D3" s="47">
        <f>(B4-1)*B3/B5</f>
        <v>72.599999999999994</v>
      </c>
    </row>
    <row r="4" spans="1:6" ht="12.75" customHeight="1" x14ac:dyDescent="0.2">
      <c r="A4" s="1" t="s">
        <v>5</v>
      </c>
      <c r="B4" s="10">
        <v>100</v>
      </c>
      <c r="C4" s="43" t="s">
        <v>24</v>
      </c>
      <c r="D4" s="45">
        <f>MIN(CHIDIST(D3,(B4-1)),(1-CHIDIST(D3,(B4-1))))</f>
        <v>2.1362900913395766E-2</v>
      </c>
    </row>
    <row r="5" spans="1:6" ht="12.75" customHeight="1" x14ac:dyDescent="0.2">
      <c r="A5" s="1" t="s">
        <v>25</v>
      </c>
      <c r="B5" s="10">
        <v>300</v>
      </c>
      <c r="C5" s="43" t="s">
        <v>26</v>
      </c>
      <c r="D5" s="44">
        <f>CHIINV(B6,B4-1)</f>
        <v>123.2252214533618</v>
      </c>
      <c r="E5" s="46">
        <f>_xlfn.CHISQ.INV(B6,B4-1)</f>
        <v>77.046331863760287</v>
      </c>
      <c r="F5">
        <f>CHIINV(1-B6,B4-1)</f>
        <v>77.046331863760287</v>
      </c>
    </row>
    <row r="6" spans="1:6" ht="12.75" customHeight="1" x14ac:dyDescent="0.2">
      <c r="A6" s="1" t="s">
        <v>9</v>
      </c>
      <c r="B6" s="10">
        <v>0.05</v>
      </c>
      <c r="C6" s="1" t="s">
        <v>27</v>
      </c>
      <c r="D6" s="5">
        <f>2*D4</f>
        <v>4.2725801826791532E-2</v>
      </c>
    </row>
    <row r="7" spans="1:6" ht="12.75" customHeight="1" x14ac:dyDescent="0.2">
      <c r="C7" s="1" t="s">
        <v>28</v>
      </c>
      <c r="D7" s="4">
        <f>CHIINV(1-B6/2,B4-1)</f>
        <v>73.361080191283676</v>
      </c>
      <c r="E7">
        <f>_xlfn.CHISQ.INV(1-B6/2,B4-1)</f>
        <v>128.42198864384031</v>
      </c>
    </row>
    <row r="8" spans="1:6" ht="12.75" customHeight="1" x14ac:dyDescent="0.2">
      <c r="D8" s="4">
        <f>CHIINV(B6/2,B4-1)</f>
        <v>128.42198864384031</v>
      </c>
      <c r="E8">
        <f>_xlfn.CHISQ.INV(B6/2,B4-1)</f>
        <v>73.361080191283662</v>
      </c>
    </row>
    <row r="11" spans="1:6" ht="12.75" customHeight="1" x14ac:dyDescent="0.2">
      <c r="D11" s="6" t="s">
        <v>73</v>
      </c>
      <c r="E11" s="6" t="s">
        <v>75</v>
      </c>
    </row>
    <row r="12" spans="1:6" ht="12.75" customHeight="1" x14ac:dyDescent="0.2">
      <c r="D12" s="6" t="s">
        <v>74</v>
      </c>
      <c r="E12" s="6" t="s">
        <v>76</v>
      </c>
    </row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3" sqref="C13"/>
    </sheetView>
  </sheetViews>
  <sheetFormatPr defaultColWidth="8.85546875" defaultRowHeight="23.25" x14ac:dyDescent="0.35"/>
  <cols>
    <col min="1" max="1" width="41.42578125" style="20" bestFit="1" customWidth="1"/>
    <col min="2" max="2" width="12.42578125" style="20" customWidth="1"/>
    <col min="3" max="3" width="28.42578125" style="20" bestFit="1" customWidth="1"/>
    <col min="4" max="4" width="11.85546875" style="20" bestFit="1" customWidth="1"/>
    <col min="5" max="16384" width="8.85546875" style="20"/>
  </cols>
  <sheetData>
    <row r="1" spans="1:4" x14ac:dyDescent="0.35">
      <c r="A1" s="19" t="s">
        <v>18</v>
      </c>
    </row>
    <row r="3" spans="1:4" x14ac:dyDescent="0.35">
      <c r="A3" s="19" t="s">
        <v>19</v>
      </c>
      <c r="B3" s="24">
        <f>51/B4</f>
        <v>0.17</v>
      </c>
      <c r="C3" s="19" t="s">
        <v>2</v>
      </c>
      <c r="D3" s="22">
        <f>(B3-B5)/((B5*(1-B5)/B4)^0.5)</f>
        <v>-2.4694634187431177</v>
      </c>
    </row>
    <row r="4" spans="1:4" x14ac:dyDescent="0.35">
      <c r="A4" s="19" t="s">
        <v>5</v>
      </c>
      <c r="B4" s="21">
        <v>300</v>
      </c>
      <c r="C4" s="19" t="s">
        <v>4</v>
      </c>
      <c r="D4" s="23">
        <f>(1-NORMSDIST(ABS(D3)))</f>
        <v>6.765792649522373E-3</v>
      </c>
    </row>
    <row r="5" spans="1:4" x14ac:dyDescent="0.35">
      <c r="A5" s="19" t="s">
        <v>20</v>
      </c>
      <c r="B5" s="48">
        <v>0.23</v>
      </c>
      <c r="C5" s="19" t="s">
        <v>6</v>
      </c>
      <c r="D5" s="23">
        <f>NORMSINV(1-B6)</f>
        <v>1.6448536269514715</v>
      </c>
    </row>
    <row r="6" spans="1:4" x14ac:dyDescent="0.35">
      <c r="A6" s="19" t="s">
        <v>9</v>
      </c>
      <c r="B6" s="21">
        <v>0.05</v>
      </c>
      <c r="C6" s="19" t="s">
        <v>8</v>
      </c>
      <c r="D6" s="23">
        <f>2*D4</f>
        <v>1.3531585299044746E-2</v>
      </c>
    </row>
    <row r="7" spans="1:4" x14ac:dyDescent="0.35">
      <c r="C7" s="19" t="s">
        <v>10</v>
      </c>
      <c r="D7" s="23">
        <f>NORMSINV(1-B6/2)</f>
        <v>1.9599639845400536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9" sqref="B9"/>
    </sheetView>
  </sheetViews>
  <sheetFormatPr defaultRowHeight="12.75" x14ac:dyDescent="0.2"/>
  <cols>
    <col min="1" max="1" width="24.85546875" bestFit="1" customWidth="1"/>
    <col min="4" max="4" width="16.140625" bestFit="1" customWidth="1"/>
  </cols>
  <sheetData>
    <row r="1" spans="1:5" ht="12.75" customHeight="1" x14ac:dyDescent="0.2">
      <c r="A1" s="1" t="s">
        <v>29</v>
      </c>
      <c r="B1" s="2"/>
    </row>
    <row r="2" spans="1:5" ht="12.75" customHeight="1" x14ac:dyDescent="0.2"/>
    <row r="3" spans="1:5" ht="12.75" customHeight="1" x14ac:dyDescent="0.2">
      <c r="A3" s="1"/>
      <c r="B3" s="1" t="s">
        <v>30</v>
      </c>
      <c r="C3" s="1" t="s">
        <v>31</v>
      </c>
      <c r="D3" s="1" t="s">
        <v>12</v>
      </c>
      <c r="E3" s="4">
        <f>(B4-C4-B8)/(B7*(1/B6+1/C6))^0.5</f>
        <v>0.43151697133684574</v>
      </c>
    </row>
    <row r="4" spans="1:5" ht="12.75" customHeight="1" x14ac:dyDescent="0.2">
      <c r="A4" s="1" t="s">
        <v>32</v>
      </c>
      <c r="B4" s="14">
        <v>74</v>
      </c>
      <c r="C4" s="14">
        <v>71</v>
      </c>
      <c r="D4" s="1" t="s">
        <v>14</v>
      </c>
      <c r="E4" s="5">
        <f>TDIST(ABS(E3),(B6+C6-2),1)</f>
        <v>0.33514588353517216</v>
      </c>
    </row>
    <row r="5" spans="1:5" ht="12.75" customHeight="1" x14ac:dyDescent="0.2">
      <c r="A5" s="1" t="s">
        <v>33</v>
      </c>
      <c r="B5" s="14">
        <v>324</v>
      </c>
      <c r="C5" s="14">
        <v>256</v>
      </c>
      <c r="D5" s="1" t="s">
        <v>15</v>
      </c>
      <c r="E5" s="5">
        <f>TINV(2*B9,B6+C6-2)</f>
        <v>1.7171443743802424</v>
      </c>
    </row>
    <row r="6" spans="1:5" ht="12.75" customHeight="1" x14ac:dyDescent="0.2">
      <c r="A6" s="1" t="s">
        <v>34</v>
      </c>
      <c r="B6" s="8">
        <v>12</v>
      </c>
      <c r="C6" s="8">
        <v>12</v>
      </c>
      <c r="D6" s="1" t="s">
        <v>16</v>
      </c>
      <c r="E6" s="5">
        <f>TDIST(ABS(E3),(B6+C6-2),2)</f>
        <v>0.67029176707034432</v>
      </c>
    </row>
    <row r="7" spans="1:5" ht="12.75" customHeight="1" x14ac:dyDescent="0.2">
      <c r="A7" s="1" t="s">
        <v>35</v>
      </c>
      <c r="B7" s="4">
        <f>((B6-1)*B5+(C6-1)*C5)/(B6+C6-2)</f>
        <v>290</v>
      </c>
      <c r="D7" s="1" t="s">
        <v>17</v>
      </c>
      <c r="E7" s="5">
        <f>TINV(B9,B6+C6-2)</f>
        <v>2.0738730679040258</v>
      </c>
    </row>
    <row r="8" spans="1:5" ht="12.75" customHeight="1" x14ac:dyDescent="0.2">
      <c r="A8" s="1" t="s">
        <v>36</v>
      </c>
      <c r="B8" s="8">
        <v>0</v>
      </c>
    </row>
    <row r="9" spans="1:5" ht="12.75" customHeight="1" x14ac:dyDescent="0.2">
      <c r="A9" s="1" t="s">
        <v>9</v>
      </c>
      <c r="B9" s="3">
        <v>0.05</v>
      </c>
    </row>
    <row r="10" spans="1:5" ht="12.75" customHeight="1" x14ac:dyDescent="0.2"/>
    <row r="11" spans="1:5" ht="12.75" customHeight="1" x14ac:dyDescent="0.2"/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2.75" customHeight="1" x14ac:dyDescent="0.2"/>
  <cols>
    <col min="1" max="1" width="23.42578125" bestFit="1" customWidth="1"/>
    <col min="4" max="4" width="16.140625" bestFit="1" customWidth="1"/>
  </cols>
  <sheetData>
    <row r="1" spans="1:5" ht="12.75" customHeight="1" x14ac:dyDescent="0.25">
      <c r="A1" s="1" t="s">
        <v>37</v>
      </c>
      <c r="B1" s="9"/>
      <c r="C1" s="1"/>
      <c r="D1" s="1"/>
      <c r="E1" s="1"/>
    </row>
    <row r="2" spans="1:5" ht="12.75" customHeight="1" x14ac:dyDescent="0.2">
      <c r="A2" s="6"/>
      <c r="B2" s="6"/>
      <c r="C2" s="6"/>
      <c r="D2" s="6"/>
      <c r="E2" s="6"/>
    </row>
    <row r="3" spans="1:5" ht="12.75" customHeight="1" x14ac:dyDescent="0.25">
      <c r="A3" s="9"/>
      <c r="B3" s="1" t="s">
        <v>30</v>
      </c>
      <c r="C3" s="1" t="s">
        <v>31</v>
      </c>
    </row>
    <row r="4" spans="1:5" ht="12.75" customHeight="1" x14ac:dyDescent="0.2">
      <c r="A4" s="1" t="s">
        <v>32</v>
      </c>
      <c r="B4" s="10">
        <v>-0.1</v>
      </c>
      <c r="C4" s="3">
        <v>1.24</v>
      </c>
      <c r="D4" s="1" t="s">
        <v>12</v>
      </c>
      <c r="E4" s="4">
        <f>(B4-C4-B8)/(((B5/B6)+(C5/C6))^0.5)</f>
        <v>-3.2293669266189649</v>
      </c>
    </row>
    <row r="5" spans="1:5" ht="12.75" customHeight="1" x14ac:dyDescent="0.2">
      <c r="A5" s="1" t="s">
        <v>33</v>
      </c>
      <c r="B5" s="10">
        <v>3.79</v>
      </c>
      <c r="C5" s="3">
        <v>8.0299999999999994</v>
      </c>
      <c r="D5" s="1" t="s">
        <v>14</v>
      </c>
      <c r="E5" s="5">
        <f>TDIST(ABS(E4),B7,1)</f>
        <v>8.1800247022075705E-4</v>
      </c>
    </row>
    <row r="6" spans="1:5" ht="12.75" customHeight="1" x14ac:dyDescent="0.2">
      <c r="A6" s="1" t="s">
        <v>5</v>
      </c>
      <c r="B6" s="10">
        <v>42</v>
      </c>
      <c r="C6" s="10">
        <v>98</v>
      </c>
      <c r="D6" s="1" t="s">
        <v>15</v>
      </c>
      <c r="E6" s="5">
        <f>TINV(2*B9,B7)</f>
        <v>1.6588241874140928</v>
      </c>
    </row>
    <row r="7" spans="1:5" ht="12.75" customHeight="1" x14ac:dyDescent="0.2">
      <c r="A7" s="1" t="s">
        <v>38</v>
      </c>
      <c r="B7" s="4">
        <f>((B5/B6+C5/C6)^2)/(((B5/B6)^2)/(B6-1)+((C5/C6)^2)/(C6-1))</f>
        <v>110.68799134808688</v>
      </c>
      <c r="C7" s="6"/>
      <c r="D7" s="1" t="s">
        <v>16</v>
      </c>
      <c r="E7" s="5">
        <f>2*E5</f>
        <v>1.6360049404415141E-3</v>
      </c>
    </row>
    <row r="8" spans="1:5" ht="12.75" customHeight="1" x14ac:dyDescent="0.2">
      <c r="A8" s="1" t="s">
        <v>36</v>
      </c>
      <c r="B8" s="10">
        <v>0</v>
      </c>
      <c r="C8" s="6"/>
      <c r="D8" s="1" t="s">
        <v>17</v>
      </c>
      <c r="E8" s="5">
        <f>TINV(B9,B7)</f>
        <v>1.9817652821323735</v>
      </c>
    </row>
    <row r="9" spans="1:5" ht="12.75" customHeight="1" x14ac:dyDescent="0.2">
      <c r="A9" s="1" t="s">
        <v>9</v>
      </c>
      <c r="B9" s="11">
        <v>0.05</v>
      </c>
      <c r="C9" s="6"/>
      <c r="D9" s="6"/>
      <c r="E9" s="6"/>
    </row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3" sqref="E3"/>
    </sheetView>
  </sheetViews>
  <sheetFormatPr defaultRowHeight="12.75" x14ac:dyDescent="0.2"/>
  <cols>
    <col min="1" max="1" width="16.5703125" bestFit="1" customWidth="1"/>
    <col min="4" max="4" width="16.140625" bestFit="1" customWidth="1"/>
  </cols>
  <sheetData>
    <row r="1" spans="1:6" ht="12.75" customHeight="1" x14ac:dyDescent="0.2">
      <c r="A1" s="1" t="s">
        <v>41</v>
      </c>
      <c r="B1" s="2"/>
    </row>
    <row r="2" spans="1:6" ht="12.75" customHeight="1" x14ac:dyDescent="0.2"/>
    <row r="3" spans="1:6" ht="12.75" customHeight="1" x14ac:dyDescent="0.25">
      <c r="A3" s="9"/>
      <c r="B3" s="13" t="s">
        <v>30</v>
      </c>
      <c r="C3" s="13" t="s">
        <v>31</v>
      </c>
      <c r="D3" s="1" t="s">
        <v>42</v>
      </c>
      <c r="E3" s="4">
        <f>B4/C4</f>
        <v>0.5</v>
      </c>
    </row>
    <row r="4" spans="1:6" ht="12.75" customHeight="1" x14ac:dyDescent="0.2">
      <c r="A4" s="1" t="s">
        <v>22</v>
      </c>
      <c r="B4" s="18">
        <v>350</v>
      </c>
      <c r="C4" s="7">
        <v>700</v>
      </c>
      <c r="D4" s="1" t="s">
        <v>43</v>
      </c>
      <c r="E4" s="5">
        <f>MIN(FDIST(E3,B5-1,C5-1),1-FDIST(E3,B5-1,C5-1))</f>
        <v>0.10353924518431967</v>
      </c>
    </row>
    <row r="5" spans="1:6" ht="12.75" customHeight="1" x14ac:dyDescent="0.2">
      <c r="A5" s="1" t="s">
        <v>5</v>
      </c>
      <c r="B5" s="3">
        <v>15</v>
      </c>
      <c r="C5" s="3">
        <v>15</v>
      </c>
      <c r="D5" s="1" t="s">
        <v>45</v>
      </c>
      <c r="E5" s="5">
        <f>FINV(B6,B5-1,C5-1)</f>
        <v>0</v>
      </c>
    </row>
    <row r="6" spans="1:6" ht="12.75" customHeight="1" x14ac:dyDescent="0.2">
      <c r="A6" s="1" t="s">
        <v>9</v>
      </c>
      <c r="B6" s="3">
        <v>1</v>
      </c>
      <c r="C6" s="12"/>
      <c r="D6" s="1" t="s">
        <v>44</v>
      </c>
      <c r="E6" s="5">
        <f>2*E4</f>
        <v>0.20707849036863935</v>
      </c>
    </row>
    <row r="7" spans="1:6" ht="12.75" customHeight="1" x14ac:dyDescent="0.2">
      <c r="D7" s="1" t="s">
        <v>46</v>
      </c>
      <c r="E7" s="5">
        <f>FINV(1-B6/2,B5-1,C5-1)</f>
        <v>0.99999999999999989</v>
      </c>
      <c r="F7" s="15"/>
    </row>
    <row r="8" spans="1:6" ht="12.75" customHeight="1" x14ac:dyDescent="0.2">
      <c r="E8" s="5">
        <f>FINV(B6/2,B5-1,C5-1)</f>
        <v>0.99999999999999989</v>
      </c>
    </row>
    <row r="9" spans="1:6" ht="12.75" customHeight="1" x14ac:dyDescent="0.2"/>
    <row r="10" spans="1:6" ht="12.75" customHeight="1" x14ac:dyDescent="0.2"/>
  </sheetData>
  <phoneticPr fontId="0" type="noConversion"/>
  <printOptions headings="1" gridLines="1"/>
  <pageMargins left="0.75" right="0.75" top="1" bottom="1" header="0.5" footer="0.5"/>
  <pageSetup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4" sqref="E4"/>
    </sheetView>
  </sheetViews>
  <sheetFormatPr defaultColWidth="8.85546875" defaultRowHeight="23.25" x14ac:dyDescent="0.35"/>
  <cols>
    <col min="1" max="1" width="36.140625" style="20" customWidth="1"/>
    <col min="2" max="3" width="16.140625" style="20" bestFit="1" customWidth="1"/>
    <col min="4" max="4" width="28.42578125" style="20" bestFit="1" customWidth="1"/>
    <col min="5" max="5" width="11.85546875" style="20" bestFit="1" customWidth="1"/>
    <col min="6" max="16384" width="8.85546875" style="20"/>
  </cols>
  <sheetData>
    <row r="1" spans="1:5" x14ac:dyDescent="0.35">
      <c r="A1" s="19" t="s">
        <v>39</v>
      </c>
    </row>
    <row r="3" spans="1:5" x14ac:dyDescent="0.35">
      <c r="A3" s="19"/>
      <c r="B3" s="30" t="s">
        <v>30</v>
      </c>
      <c r="C3" s="30" t="s">
        <v>31</v>
      </c>
      <c r="D3" s="19" t="s">
        <v>2</v>
      </c>
      <c r="E3" s="22">
        <f>(B4-C4)/((B4*B5+C4*C5)/(B5+C5)*(1-(B4*B5+C4*C5)/(B5+C5))*(1/B5+1/C5))^0.5</f>
        <v>1.9659115340483131</v>
      </c>
    </row>
    <row r="4" spans="1:5" x14ac:dyDescent="0.35">
      <c r="A4" s="19" t="s">
        <v>19</v>
      </c>
      <c r="B4" s="31">
        <f>35/138</f>
        <v>0.25362318840579712</v>
      </c>
      <c r="C4" s="31">
        <f>34/204</f>
        <v>0.16666666666666666</v>
      </c>
      <c r="D4" s="19" t="s">
        <v>77</v>
      </c>
      <c r="E4" s="23">
        <f>MIN(NORMSDIST(E3),1-NORMSDIST(E3))</f>
        <v>2.4654415248237971E-2</v>
      </c>
    </row>
    <row r="5" spans="1:5" x14ac:dyDescent="0.35">
      <c r="A5" s="19" t="s">
        <v>5</v>
      </c>
      <c r="B5" s="21">
        <v>138</v>
      </c>
      <c r="C5" s="21">
        <v>204</v>
      </c>
      <c r="D5" s="19" t="s">
        <v>6</v>
      </c>
      <c r="E5" s="23">
        <f>NORMSINV(1-B6)</f>
        <v>1.6448536269514715</v>
      </c>
    </row>
    <row r="6" spans="1:5" x14ac:dyDescent="0.35">
      <c r="A6" s="19" t="s">
        <v>9</v>
      </c>
      <c r="B6" s="21">
        <v>0.05</v>
      </c>
      <c r="D6" s="19" t="s">
        <v>8</v>
      </c>
      <c r="E6" s="23">
        <f>2*E4</f>
        <v>4.9308830496475942E-2</v>
      </c>
    </row>
    <row r="7" spans="1:5" x14ac:dyDescent="0.35">
      <c r="D7" s="19" t="s">
        <v>10</v>
      </c>
      <c r="E7" s="23">
        <f>NORMSINV(1-B6/2)</f>
        <v>1.9599639845400536</v>
      </c>
    </row>
    <row r="8" spans="1:5" x14ac:dyDescent="0.35">
      <c r="A8" s="19"/>
    </row>
    <row r="9" spans="1:5" x14ac:dyDescent="0.35">
      <c r="A9" s="19"/>
    </row>
    <row r="11" spans="1:5" x14ac:dyDescent="0.35">
      <c r="C11" s="32"/>
      <c r="D11" s="3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defaultColWidth="8.85546875" defaultRowHeight="20.25" x14ac:dyDescent="0.3"/>
  <cols>
    <col min="1" max="1" width="62.140625" style="34" customWidth="1"/>
    <col min="2" max="3" width="14.85546875" style="34" bestFit="1" customWidth="1"/>
    <col min="4" max="4" width="26.42578125" style="34" bestFit="1" customWidth="1"/>
    <col min="5" max="5" width="10.42578125" style="34" bestFit="1" customWidth="1"/>
    <col min="6" max="16384" width="8.85546875" style="34"/>
  </cols>
  <sheetData>
    <row r="1" spans="1:5" x14ac:dyDescent="0.3">
      <c r="A1" s="33" t="s">
        <v>40</v>
      </c>
    </row>
    <row r="3" spans="1:5" x14ac:dyDescent="0.3">
      <c r="A3" s="33"/>
      <c r="B3" s="35" t="s">
        <v>30</v>
      </c>
      <c r="C3" s="35" t="s">
        <v>31</v>
      </c>
      <c r="D3" s="33" t="s">
        <v>2</v>
      </c>
      <c r="E3" s="36">
        <f>(B4-C4-B6)/(B4*(1-B4)/B5+C4*(1-C4)/C5)^0.5</f>
        <v>1.5628014633463823</v>
      </c>
    </row>
    <row r="4" spans="1:5" x14ac:dyDescent="0.3">
      <c r="A4" s="33" t="s">
        <v>19</v>
      </c>
      <c r="B4" s="37">
        <f>35/173</f>
        <v>0.20231213872832371</v>
      </c>
      <c r="C4" s="37">
        <f>34/238</f>
        <v>0.14285714285714285</v>
      </c>
      <c r="D4" s="33" t="s">
        <v>4</v>
      </c>
      <c r="E4" s="38">
        <f>MIN(NORMSDIST(E3),1-NORMSDIST(E3))</f>
        <v>5.9049649953531458E-2</v>
      </c>
    </row>
    <row r="5" spans="1:5" x14ac:dyDescent="0.3">
      <c r="A5" s="33" t="s">
        <v>5</v>
      </c>
      <c r="B5" s="39">
        <v>173</v>
      </c>
      <c r="C5" s="39">
        <v>238</v>
      </c>
      <c r="D5" s="33" t="s">
        <v>6</v>
      </c>
      <c r="E5" s="38">
        <f>NORMSINV(1-B7)</f>
        <v>1.6448536269514715</v>
      </c>
    </row>
    <row r="6" spans="1:5" x14ac:dyDescent="0.3">
      <c r="A6" s="33" t="s">
        <v>36</v>
      </c>
      <c r="B6" s="39">
        <v>0</v>
      </c>
      <c r="D6" s="33" t="s">
        <v>8</v>
      </c>
      <c r="E6" s="38">
        <f>2*E4</f>
        <v>0.11809929990706292</v>
      </c>
    </row>
    <row r="7" spans="1:5" x14ac:dyDescent="0.3">
      <c r="A7" s="33" t="s">
        <v>9</v>
      </c>
      <c r="B7" s="39">
        <v>0.05</v>
      </c>
      <c r="D7" s="33" t="s">
        <v>10</v>
      </c>
      <c r="E7" s="38">
        <f>NORMSINV(1-B7/2)</f>
        <v>1.9599639845400536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z-Test_Mean</vt:lpstr>
      <vt:lpstr>t-Test_Mean</vt:lpstr>
      <vt:lpstr>Chi-squared Test_Variance</vt:lpstr>
      <vt:lpstr>z-Test_Proportion</vt:lpstr>
      <vt:lpstr>t-test_2 Means(Eq-Var)</vt:lpstr>
      <vt:lpstr>t-Test_2 Means(Uneq-Var)</vt:lpstr>
      <vt:lpstr>F-Test_2 Variances</vt:lpstr>
      <vt:lpstr>z-Test_2 Proportions(Case 1)</vt:lpstr>
      <vt:lpstr>z-Test_2 Proportions(Case 2)</vt:lpstr>
      <vt:lpstr>ANOVA</vt:lpstr>
      <vt:lpstr>Wilcoxon Rank Sum Test</vt:lpstr>
      <vt:lpstr>Wilcoxon Signed Rank Sum Test</vt:lpstr>
    </vt:vector>
  </TitlesOfParts>
  <Company>WLU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Yu-Min Wang</cp:lastModifiedBy>
  <dcterms:created xsi:type="dcterms:W3CDTF">2001-02-15T20:05:29Z</dcterms:created>
  <dcterms:modified xsi:type="dcterms:W3CDTF">2016-12-07T02:52:48Z</dcterms:modified>
</cp:coreProperties>
</file>