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9525" firstSheet="7" activeTab="11"/>
  </bookViews>
  <sheets>
    <sheet name="ResolverReservedData" sheetId="4" r:id="rId1"/>
    <sheet name="Ammonia Reconciliation Problem" sheetId="5" r:id="rId2"/>
    <sheet name="Test1 Problem" sheetId="6" r:id="rId3"/>
    <sheet name="Large Nonlinear Problem" sheetId="7" r:id="rId4"/>
    <sheet name="Simple Linear Problem" sheetId="8" r:id="rId5"/>
    <sheet name="Reconciliation Report 3" sheetId="15" r:id="rId6"/>
    <sheet name="TestNL4 Problem" sheetId="9" r:id="rId7"/>
    <sheet name="Simple  Mass Volume Problem" sheetId="10" r:id="rId8"/>
    <sheet name="Reconciliation Report 1" sheetId="11" r:id="rId9"/>
    <sheet name="Reconciliation Report 2" sheetId="12" r:id="rId10"/>
    <sheet name="Bilinear" sheetId="13" r:id="rId11"/>
    <sheet name="Bilinear(raw)" sheetId="14" r:id="rId12"/>
  </sheets>
  <externalReferences>
    <externalReference r:id="rId13"/>
    <externalReference r:id="rId14"/>
  </externalReferences>
  <definedNames>
    <definedName name="_xx1">'TestNL4 Problem'!$I$7</definedName>
    <definedName name="_xx2">'TestNL4 Problem'!$I$5</definedName>
    <definedName name="_xx3">'TestNL4 Problem'!$I$8</definedName>
    <definedName name="_xx4">'TestNL4 Problem'!$I$6</definedName>
    <definedName name="_xx5">'TestNL4 Problem'!$I$4</definedName>
    <definedName name="_yy1">'TestNL4 Problem'!$I$3</definedName>
    <definedName name="_yy2">'TestNL4 Problem'!$I$9</definedName>
    <definedName name="_yy3">'TestNL4 Problem'!$I$10</definedName>
    <definedName name="abs_btm" localSheetId="4">'Simple Linear Problem'!$I$6</definedName>
    <definedName name="abs_btm">'Test1 Problem'!$I$6</definedName>
    <definedName name="abs_btm_dens">'Simple  Mass Volume Problem'!$Q$6</definedName>
    <definedName name="abs_btm_mass">'Simple  Mass Volume Problem'!$H$6</definedName>
    <definedName name="abs_btm_vol">'Simple  Mass Volume Problem'!$K$6</definedName>
    <definedName name="abs_ovhd" localSheetId="4">'Simple Linear Problem'!$I$9</definedName>
    <definedName name="abs_ovhd">'Test1 Problem'!$I$9</definedName>
    <definedName name="abs_ovhd_dens">'Simple  Mass Volume Problem'!$Q$9</definedName>
    <definedName name="abs_ovhd_mass">'Simple  Mass Volume Problem'!$H$9</definedName>
    <definedName name="abs_ovhd_vol">'Simple  Mass Volume Problem'!$K$9</definedName>
    <definedName name="acid_gas" localSheetId="4">'Simple Linear Problem'!$I$4</definedName>
    <definedName name="acid_gas">'Test1 Problem'!$I$4</definedName>
    <definedName name="acid_gas_dens">'Simple  Mass Volume Problem'!$Q$4</definedName>
    <definedName name="acid_gas_mass">'Simple  Mass Volume Problem'!$H$4</definedName>
    <definedName name="acid_gas_vol">'Simple  Mass Volume Problem'!$K$4</definedName>
    <definedName name="BOREWATER_Q" localSheetId="10">Bilinear!$C$151</definedName>
    <definedName name="bypass" localSheetId="4">'Simple Linear Problem'!$I$15</definedName>
    <definedName name="bypass">'Test1 Problem'!$I$15</definedName>
    <definedName name="bypass_dens">'Simple  Mass Volume Problem'!$Q$15</definedName>
    <definedName name="bypass_mass">'Simple  Mass Volume Problem'!$H$15</definedName>
    <definedName name="bypass_vol">'Simple  Mass Volume Problem'!$K$15</definedName>
    <definedName name="CCLASStreamConcThickenerFeedStream_Ag" localSheetId="3">'Large Nonlinear Problem'!$C$320</definedName>
    <definedName name="CCLASStreamConcThickenerFeedStream_Au" localSheetId="3">'Large Nonlinear Problem'!$C$319</definedName>
    <definedName name="CCLASStreamConcThickenerFeedStream_Cu" localSheetId="3">'Large Nonlinear Problem'!$C$317</definedName>
    <definedName name="CCLASStreamConcThickenerFeedStream_F" localSheetId="3">'Large Nonlinear Problem'!$C$323</definedName>
    <definedName name="CCLASStreamConcThickenerFeedStream_Fe" localSheetId="3">'Large Nonlinear Problem'!$C$318</definedName>
    <definedName name="CCLASStreamConcThickenerFeedStream_Mass" localSheetId="3">'Large Nonlinear Problem'!$C$316</definedName>
    <definedName name="CCLASStreamConcThickenerFeedStream_S" localSheetId="3">'Large Nonlinear Problem'!$C$321</definedName>
    <definedName name="CCLASStreamConcThickenerFeedStream_U" localSheetId="3">'Large Nonlinear Problem'!$C$322</definedName>
    <definedName name="CCLASStreamFlotationTailsStream_Ag" localSheetId="3">'Large Nonlinear Problem'!$C$328</definedName>
    <definedName name="CCLASStreamFlotationTailsStream_Au" localSheetId="3">'Large Nonlinear Problem'!$C$327</definedName>
    <definedName name="CCLASStreamFlotationTailsStream_Cu" localSheetId="3">'Large Nonlinear Problem'!$C$325</definedName>
    <definedName name="CCLASStreamFlotationTailsStream_F" localSheetId="3">'Large Nonlinear Problem'!$C$331</definedName>
    <definedName name="CCLASStreamFlotationTailsStream_Fe" localSheetId="3">'Large Nonlinear Problem'!$C$326</definedName>
    <definedName name="CCLASStreamFlotationTailsStream_Mass" localSheetId="3">'Large Nonlinear Problem'!$C$324</definedName>
    <definedName name="CCLASStreamFlotationTailsStream_S" localSheetId="3">'Large Nonlinear Problem'!$C$329</definedName>
    <definedName name="CCLASStreamFlotationTailsStream_U" localSheetId="3">'Large Nonlinear Problem'!$C$330</definedName>
    <definedName name="CCLASStreamRougherFeedStream_Ag" localSheetId="3">'Large Nonlinear Problem'!$C$336</definedName>
    <definedName name="CCLASStreamRougherFeedStream_Au" localSheetId="3">'Large Nonlinear Problem'!$C$335</definedName>
    <definedName name="CCLASStreamRougherFeedStream_Cu" localSheetId="3">'Large Nonlinear Problem'!$C$333</definedName>
    <definedName name="CCLASStreamRougherFeedStream_F" localSheetId="3">'Large Nonlinear Problem'!$C$339</definedName>
    <definedName name="CCLASStreamRougherFeedStream_Fe" localSheetId="3">'Large Nonlinear Problem'!$C$334</definedName>
    <definedName name="CCLASStreamRougherFeedStream_Mass" localSheetId="3">'Large Nonlinear Problem'!$C$332</definedName>
    <definedName name="CCLASStreamRougherFeedStream_S" localSheetId="3">'Large Nonlinear Problem'!$C$337</definedName>
    <definedName name="CCLASStreamRougherFeedStream_U" localSheetId="3">'Large Nonlinear Problem'!$C$338</definedName>
    <definedName name="ConcStorageTank1_close_Ag" localSheetId="3">'Large Nonlinear Problem'!$C$348</definedName>
    <definedName name="ConcStorageTank1_close_Au" localSheetId="3">'Large Nonlinear Problem'!$C$346</definedName>
    <definedName name="ConcStorageTank1_close_Cu" localSheetId="3">'Large Nonlinear Problem'!$C$342</definedName>
    <definedName name="ConcStorageTank1_close_F" localSheetId="3">'Large Nonlinear Problem'!$C$354</definedName>
    <definedName name="ConcStorageTank1_close_Fe" localSheetId="3">'Large Nonlinear Problem'!$C$344</definedName>
    <definedName name="ConcStorageTank1_close_Mass" localSheetId="3">'Large Nonlinear Problem'!$C$340</definedName>
    <definedName name="ConcStorageTank1_close_S" localSheetId="3">'Large Nonlinear Problem'!$C$350</definedName>
    <definedName name="ConcStorageTank1_close_U" localSheetId="3">'Large Nonlinear Problem'!$C$352</definedName>
    <definedName name="ConcStorageTank1_open_Ag" localSheetId="3">'Large Nonlinear Problem'!$C$349</definedName>
    <definedName name="ConcStorageTank1_open_Au" localSheetId="3">'Large Nonlinear Problem'!$C$347</definedName>
    <definedName name="ConcStorageTank1_open_Cu" localSheetId="3">'Large Nonlinear Problem'!$C$343</definedName>
    <definedName name="ConcStorageTank1_open_F" localSheetId="3">'Large Nonlinear Problem'!$C$355</definedName>
    <definedName name="ConcStorageTank1_open_Fe" localSheetId="3">'Large Nonlinear Problem'!$C$345</definedName>
    <definedName name="ConcStorageTank1_open_Mass" localSheetId="3">'Large Nonlinear Problem'!$C$341</definedName>
    <definedName name="ConcStorageTank1_open_S" localSheetId="3">'Large Nonlinear Problem'!$C$351</definedName>
    <definedName name="ConcStorageTank1_open_U" localSheetId="3">'Large Nonlinear Problem'!$C$353</definedName>
    <definedName name="ConcStorageTank1FeedStream_Ag" localSheetId="3">'Large Nonlinear Problem'!$C$360</definedName>
    <definedName name="ConcStorageTank1FeedStream_Au" localSheetId="3">'Large Nonlinear Problem'!$C$359</definedName>
    <definedName name="ConcStorageTank1FeedStream_Cu" localSheetId="3">'Large Nonlinear Problem'!$C$357</definedName>
    <definedName name="ConcStorageTank1FeedStream_F" localSheetId="3">'Large Nonlinear Problem'!$C$363</definedName>
    <definedName name="ConcStorageTank1FeedStream_Fe" localSheetId="3">'Large Nonlinear Problem'!$C$358</definedName>
    <definedName name="ConcStorageTank1FeedStream_Mass" localSheetId="3">'Large Nonlinear Problem'!$C$356</definedName>
    <definedName name="ConcStorageTank1FeedStream_S" localSheetId="3">'Large Nonlinear Problem'!$C$361</definedName>
    <definedName name="ConcStorageTank1FeedStream_U" localSheetId="3">'Large Nonlinear Problem'!$C$362</definedName>
    <definedName name="ConcStorageTank1UnderflowStream_Ag" localSheetId="3">'Large Nonlinear Problem'!$C$368</definedName>
    <definedName name="ConcStorageTank1UnderflowStream_Au" localSheetId="3">'Large Nonlinear Problem'!$C$367</definedName>
    <definedName name="ConcStorageTank1UnderflowStream_Cu" localSheetId="3">'Large Nonlinear Problem'!$C$365</definedName>
    <definedName name="ConcStorageTank1UnderflowStream_F" localSheetId="3">'Large Nonlinear Problem'!$C$371</definedName>
    <definedName name="ConcStorageTank1UnderflowStream_Fe" localSheetId="3">'Large Nonlinear Problem'!$C$366</definedName>
    <definedName name="ConcStorageTank1UnderflowStream_Mass" localSheetId="3">'Large Nonlinear Problem'!$C$364</definedName>
    <definedName name="ConcStorageTank1UnderflowStream_S" localSheetId="3">'Large Nonlinear Problem'!$C$369</definedName>
    <definedName name="ConcStorageTank1UnderflowStream_U" localSheetId="3">'Large Nonlinear Problem'!$C$370</definedName>
    <definedName name="ConcStorageTank2_close_Ag" localSheetId="3">'Large Nonlinear Problem'!$C$380</definedName>
    <definedName name="ConcStorageTank2_close_Au" localSheetId="3">'Large Nonlinear Problem'!$C$378</definedName>
    <definedName name="ConcStorageTank2_close_Cu" localSheetId="3">'Large Nonlinear Problem'!$C$374</definedName>
    <definedName name="ConcStorageTank2_close_F" localSheetId="3">'Large Nonlinear Problem'!$C$386</definedName>
    <definedName name="ConcStorageTank2_close_Fe" localSheetId="3">'Large Nonlinear Problem'!$C$376</definedName>
    <definedName name="ConcStorageTank2_close_Mass" localSheetId="3">'Large Nonlinear Problem'!$C$372</definedName>
    <definedName name="ConcStorageTank2_close_S" localSheetId="3">'Large Nonlinear Problem'!$C$382</definedName>
    <definedName name="ConcStorageTank2_close_U" localSheetId="3">'Large Nonlinear Problem'!$C$384</definedName>
    <definedName name="ConcStorageTank2_open_Ag" localSheetId="3">'Large Nonlinear Problem'!$C$381</definedName>
    <definedName name="ConcStorageTank2_open_Au" localSheetId="3">'Large Nonlinear Problem'!$C$379</definedName>
    <definedName name="ConcStorageTank2_open_Cu" localSheetId="3">'Large Nonlinear Problem'!$C$375</definedName>
    <definedName name="ConcStorageTank2_open_F" localSheetId="3">'Large Nonlinear Problem'!$C$387</definedName>
    <definedName name="ConcStorageTank2_open_Fe" localSheetId="3">'Large Nonlinear Problem'!$C$377</definedName>
    <definedName name="ConcStorageTank2_open_Mass" localSheetId="3">'Large Nonlinear Problem'!$C$373</definedName>
    <definedName name="ConcStorageTank2_open_S" localSheetId="3">'Large Nonlinear Problem'!$C$383</definedName>
    <definedName name="ConcStorageTank2_open_U" localSheetId="3">'Large Nonlinear Problem'!$C$385</definedName>
    <definedName name="ConcStorageTank2FeedStream_Ag" localSheetId="3">'Large Nonlinear Problem'!$C$392</definedName>
    <definedName name="ConcStorageTank2FeedStream_Au" localSheetId="3">'Large Nonlinear Problem'!$C$391</definedName>
    <definedName name="ConcStorageTank2FeedStream_Cu" localSheetId="3">'Large Nonlinear Problem'!$C$389</definedName>
    <definedName name="ConcStorageTank2FeedStream_F" localSheetId="3">'Large Nonlinear Problem'!$C$395</definedName>
    <definedName name="ConcStorageTank2FeedStream_Fe" localSheetId="3">'Large Nonlinear Problem'!$C$390</definedName>
    <definedName name="ConcStorageTank2FeedStream_Mass" localSheetId="3">'Large Nonlinear Problem'!$C$388</definedName>
    <definedName name="ConcStorageTank2FeedStream_S" localSheetId="3">'Large Nonlinear Problem'!$C$393</definedName>
    <definedName name="ConcStorageTank2FeedStream_U" localSheetId="3">'Large Nonlinear Problem'!$C$394</definedName>
    <definedName name="ConcStorageTank2UnderflowStream_Ag" localSheetId="3">'Large Nonlinear Problem'!$C$400</definedName>
    <definedName name="ConcStorageTank2UnderflowStream_Au" localSheetId="3">'Large Nonlinear Problem'!$C$399</definedName>
    <definedName name="ConcStorageTank2UnderflowStream_Cu" localSheetId="3">'Large Nonlinear Problem'!$C$397</definedName>
    <definedName name="ConcStorageTank2UnderflowStream_F" localSheetId="3">'Large Nonlinear Problem'!$C$403</definedName>
    <definedName name="ConcStorageTank2UnderflowStream_Fe" localSheetId="3">'Large Nonlinear Problem'!$C$398</definedName>
    <definedName name="ConcStorageTank2UnderflowStream_Mass" localSheetId="3">'Large Nonlinear Problem'!$C$396</definedName>
    <definedName name="ConcStorageTank2UnderflowStream_S" localSheetId="3">'Large Nonlinear Problem'!$C$401</definedName>
    <definedName name="ConcStorageTank2UnderflowStream_U" localSheetId="3">'Large Nonlinear Problem'!$C$402</definedName>
    <definedName name="ConcThickener_close_Ag" localSheetId="3">'Large Nonlinear Problem'!$C$412</definedName>
    <definedName name="ConcThickener_close_Au" localSheetId="3">'Large Nonlinear Problem'!$C$410</definedName>
    <definedName name="ConcThickener_close_Cu" localSheetId="3">'Large Nonlinear Problem'!$C$406</definedName>
    <definedName name="ConcThickener_close_F" localSheetId="3">'Large Nonlinear Problem'!$C$418</definedName>
    <definedName name="ConcThickener_close_Fe" localSheetId="3">'Large Nonlinear Problem'!$C$408</definedName>
    <definedName name="ConcThickener_close_Mass" localSheetId="3">'Large Nonlinear Problem'!$C$404</definedName>
    <definedName name="ConcThickener_close_S" localSheetId="3">'Large Nonlinear Problem'!$C$414</definedName>
    <definedName name="ConcThickener_close_U" localSheetId="3">'Large Nonlinear Problem'!$C$416</definedName>
    <definedName name="ConcThickener_open_Ag" localSheetId="3">'Large Nonlinear Problem'!$C$413</definedName>
    <definedName name="ConcThickener_open_Au" localSheetId="3">'Large Nonlinear Problem'!$C$411</definedName>
    <definedName name="ConcThickener_open_Cu" localSheetId="3">'Large Nonlinear Problem'!$C$407</definedName>
    <definedName name="ConcThickener_open_F" localSheetId="3">'Large Nonlinear Problem'!$C$419</definedName>
    <definedName name="ConcThickener_open_Fe" localSheetId="3">'Large Nonlinear Problem'!$C$409</definedName>
    <definedName name="ConcThickener_open_Mass" localSheetId="3">'Large Nonlinear Problem'!$C$405</definedName>
    <definedName name="ConcThickener_open_S" localSheetId="3">'Large Nonlinear Problem'!$C$415</definedName>
    <definedName name="ConcThickener_open_U" localSheetId="3">'Large Nonlinear Problem'!$C$417</definedName>
    <definedName name="ConcThickenerUnderflowStream_Ag" localSheetId="3">'Large Nonlinear Problem'!$C$424</definedName>
    <definedName name="ConcThickenerUnderflowStream_Au" localSheetId="3">'Large Nonlinear Problem'!$C$423</definedName>
    <definedName name="ConcThickenerUnderflowStream_Cu" localSheetId="3">'Large Nonlinear Problem'!$C$421</definedName>
    <definedName name="ConcThickenerUnderflowStream_F" localSheetId="3">'Large Nonlinear Problem'!$C$427</definedName>
    <definedName name="ConcThickenerUnderflowStream_Fe" localSheetId="3">'Large Nonlinear Problem'!$C$422</definedName>
    <definedName name="ConcThickenerUnderflowStream_Mass" localSheetId="3">'Large Nonlinear Problem'!$C$420</definedName>
    <definedName name="ConcThickenerUnderflowStream_S" localSheetId="3">'Large Nonlinear Problem'!$C$425</definedName>
    <definedName name="ConcThickenerUnderflowStream_U" localSheetId="3">'Large Nonlinear Problem'!$C$426</definedName>
    <definedName name="CONCTHK_OVERFLOW_Q" localSheetId="10">Bilinear!$C$182</definedName>
    <definedName name="CONCTHK_TK23_CF" localSheetId="10">Bilinear!$C$183</definedName>
    <definedName name="CONCTHK_TK23_Q" localSheetId="10">Bilinear!$C$184</definedName>
    <definedName name="CONCTHK_TK23_WF" localSheetId="10">Bilinear!$C$185</definedName>
    <definedName name="CONCTHK_TK24_CF" localSheetId="10">Bilinear!$C$186</definedName>
    <definedName name="CONCTHK_TK24_Q" localSheetId="10">Bilinear!$C$187</definedName>
    <definedName name="CONCTHK_TK24_WF" localSheetId="10">Bilinear!$C$188</definedName>
    <definedName name="CONCTHK_TK25_CF" localSheetId="10">Bilinear!$C$189</definedName>
    <definedName name="CONCTHK_TK25_Q" localSheetId="10">Bilinear!$C$190</definedName>
    <definedName name="CONCTHK_TK25_WF" localSheetId="10">Bilinear!$C$191</definedName>
    <definedName name="CONCTHK_TK26_CF" localSheetId="10">Bilinear!$C$192</definedName>
    <definedName name="CONCTHK_TK26_Q" localSheetId="10">Bilinear!$C$193</definedName>
    <definedName name="CONCTHK_TK26_WF" localSheetId="10">Bilinear!$C$194</definedName>
    <definedName name="CONCTHK_TKC_CF" localSheetId="10">Bilinear!$C$195</definedName>
    <definedName name="CONCTHK_TKC_Q" localSheetId="10">Bilinear!$C$196</definedName>
    <definedName name="CONCTHK_TKC_WF" localSheetId="10">Bilinear!$C$197</definedName>
    <definedName name="CONCTHK1_OVERFLOW_Q" localSheetId="10">Bilinear!$C$152</definedName>
    <definedName name="CONCTHK2_OVERFLOW_Q" localSheetId="10">Bilinear!$C$181</definedName>
    <definedName name="CONCTHK21_CLOSE_CF" localSheetId="10">Bilinear!$C$153</definedName>
    <definedName name="CONCTHK21_CLOSE_Q" localSheetId="10">Bilinear!$C$154</definedName>
    <definedName name="CONCTHK21_CLOSE_WF" localSheetId="10">Bilinear!$C$155</definedName>
    <definedName name="CONCTHK21_OPEN_CF" localSheetId="10">Bilinear!$C$156</definedName>
    <definedName name="CONCTHK21_OPEN_Q" localSheetId="10">Bilinear!$C$157</definedName>
    <definedName name="CONCTHK21_OPEN_WF" localSheetId="10">Bilinear!$C$158</definedName>
    <definedName name="CONCTHK21_PP51_CF" localSheetId="10">Bilinear!$C$159</definedName>
    <definedName name="CONCTHK21_PP51_Q" localSheetId="10">Bilinear!$C$160</definedName>
    <definedName name="CONCTHK21_PP51_WF" localSheetId="10">Bilinear!$C$161</definedName>
    <definedName name="CONCTHK21_PP52_CF" localSheetId="10">Bilinear!$C$162</definedName>
    <definedName name="CONCTHK21_PP52_Q" localSheetId="10">Bilinear!$C$163</definedName>
    <definedName name="CONCTHK21_PP52_WF" localSheetId="10">Bilinear!$C$164</definedName>
    <definedName name="CONCTHK21_TOTVOL_CLOSE_Q" localSheetId="10">Bilinear!$C$165</definedName>
    <definedName name="CONCTHK21_TOTVOL_OPEN_Q" localSheetId="10">Bilinear!$C$166</definedName>
    <definedName name="CONCTHK22_CLOSE_CF" localSheetId="10">Bilinear!$C$167</definedName>
    <definedName name="CONCTHK22_CLOSE_Q" localSheetId="10">Bilinear!$C$168</definedName>
    <definedName name="CONCTHK22_CLOSE_WF" localSheetId="10">Bilinear!$C$169</definedName>
    <definedName name="CONCTHK22_OPEN_CF" localSheetId="10">Bilinear!$C$170</definedName>
    <definedName name="CONCTHK22_OPEN_Q" localSheetId="10">Bilinear!$C$171</definedName>
    <definedName name="CONCTHK22_OPEN_WF" localSheetId="10">Bilinear!$C$172</definedName>
    <definedName name="CONCTHK22_PP53_CF" localSheetId="10">Bilinear!$C$173</definedName>
    <definedName name="CONCTHK22_PP53_Q" localSheetId="10">Bilinear!$C$174</definedName>
    <definedName name="CONCTHK22_PP53_WF" localSheetId="10">Bilinear!$C$175</definedName>
    <definedName name="CONCTHK22_PP54_CF" localSheetId="10">Bilinear!$C$176</definedName>
    <definedName name="CONCTHK22_PP54_Q" localSheetId="10">Bilinear!$C$177</definedName>
    <definedName name="CONCTHK22_PP54_WF" localSheetId="10">Bilinear!$C$178</definedName>
    <definedName name="CONCTHK22_TOTVOL_CLOSE_Q" localSheetId="10">Bilinear!$C$179</definedName>
    <definedName name="CONCTHK22_TOTVOL_OPEN_Q" localSheetId="10">Bilinear!$C$180</definedName>
    <definedName name="condensate" localSheetId="4">'Simple Linear Problem'!$I$14</definedName>
    <definedName name="condensate">'Test1 Problem'!$I$14</definedName>
    <definedName name="condensate_dens">'Simple  Mass Volume Problem'!$Q$14</definedName>
    <definedName name="condensate_mass">'Simple  Mass Volume Problem'!$H$14</definedName>
    <definedName name="condensate_vol">'Simple  Mass Volume Problem'!$K$14</definedName>
    <definedName name="CrushedOreStream_Ag" localSheetId="3">'Large Nonlinear Problem'!$C$513</definedName>
    <definedName name="CrushedOreStream_Au" localSheetId="3">'Large Nonlinear Problem'!$C$512</definedName>
    <definedName name="CrushedOreStream_Cu" localSheetId="3">'Large Nonlinear Problem'!$C$510</definedName>
    <definedName name="CrushedOreStream_F" localSheetId="3">'Large Nonlinear Problem'!$C$516</definedName>
    <definedName name="CrushedOreStream_Fe" localSheetId="3">'Large Nonlinear Problem'!$C$511</definedName>
    <definedName name="CrushedOreStream_S" localSheetId="3">'Large Nonlinear Problem'!$C$514</definedName>
    <definedName name="CrushedOreStream_U" localSheetId="3">'Large Nonlinear Problem'!$C$515</definedName>
    <definedName name="D_4_Feed" localSheetId="7">'Simple  Mass Volume Problem'!$C$4</definedName>
    <definedName name="D_4_Feed" localSheetId="4">'Simple Linear Problem'!$C$4</definedName>
    <definedName name="D_4_Feed">'Test1 Problem'!$C$4</definedName>
    <definedName name="D_4_Product" localSheetId="7">'Simple  Mass Volume Problem'!$E$4</definedName>
    <definedName name="D_4_Product" localSheetId="4">'Simple Linear Problem'!$E$4</definedName>
    <definedName name="D_4_Product">'Test1 Problem'!$E$4</definedName>
    <definedName name="D_7_Feed" localSheetId="7">'Simple  Mass Volume Problem'!$C$9</definedName>
    <definedName name="D_7_Feed" localSheetId="4">'Simple Linear Problem'!$C$9</definedName>
    <definedName name="D_7_Feed">'Test1 Problem'!$C$9</definedName>
    <definedName name="D_7_Product" localSheetId="7">'Simple  Mass Volume Problem'!$E$9</definedName>
    <definedName name="D_7_Product" localSheetId="4">'Simple Linear Problem'!$E$9</definedName>
    <definedName name="D_7_Product">'Test1 Problem'!$E$9</definedName>
    <definedName name="DI101_CONCTHK21_CF" localSheetId="10">Bilinear!$C$198</definedName>
    <definedName name="DI101_CONCTHK21_Q" localSheetId="10">Bilinear!$C$199</definedName>
    <definedName name="DI101_CONCTHK21_WF" localSheetId="10">Bilinear!$C$200</definedName>
    <definedName name="DI101_CONCTHK22_CF" localSheetId="10">Bilinear!$C$201</definedName>
    <definedName name="DI101_CONCTHK22_Q" localSheetId="10">Bilinear!$C$202</definedName>
    <definedName name="DI101_CONCTHK22_WF" localSheetId="10">Bilinear!$C$203</definedName>
    <definedName name="DI101_TOTAL_CF" localSheetId="10">Bilinear!$C$204</definedName>
    <definedName name="DI101_TOTAL_Q" localSheetId="10">Bilinear!$C$205</definedName>
    <definedName name="DI101_TOTAL_WF" localSheetId="10">Bilinear!$C$206</definedName>
    <definedName name="DI150_TAILTHK6_CF" localSheetId="10">Bilinear!$C$207</definedName>
    <definedName name="DI150_TAILTHK6_Q" localSheetId="10">Bilinear!$C$208</definedName>
    <definedName name="DI150_TAILTHK6_WF" localSheetId="10">Bilinear!$C$209</definedName>
    <definedName name="DI150_TAILTHK7_CF" localSheetId="10">Bilinear!$C$210</definedName>
    <definedName name="DI150_TAILTHK7_Q" localSheetId="10">Bilinear!$C$211</definedName>
    <definedName name="DI150_TAILTHK7_WF" localSheetId="10">Bilinear!$C$212</definedName>
    <definedName name="DI150_TAILTHK8_CF" localSheetId="10">Bilinear!$C$213</definedName>
    <definedName name="DI150_TAILTHK8_Q" localSheetId="10">Bilinear!$C$214</definedName>
    <definedName name="DI150_TAILTHK8_WF" localSheetId="10">Bilinear!$C$215</definedName>
    <definedName name="fat_oil" localSheetId="4">'Simple Linear Problem'!$I$10</definedName>
    <definedName name="fat_oil">'Test1 Problem'!$I$10</definedName>
    <definedName name="fat_oil_dens">'Simple  Mass Volume Problem'!$Q$10</definedName>
    <definedName name="fat_oil_mass">'Simple  Mass Volume Problem'!$H$10</definedName>
    <definedName name="fat_oil_vol">'Simple  Mass Volume Problem'!$K$10</definedName>
    <definedName name="FEED_CF" localSheetId="10">Bilinear!$C$216</definedName>
    <definedName name="FEED_Q" localSheetId="10">Bilinear!$C$217</definedName>
    <definedName name="FEED_WF" localSheetId="10">Bilinear!$C$218</definedName>
    <definedName name="FINALCONC_CF" localSheetId="10">Bilinear!$C$219</definedName>
    <definedName name="FINALCONC_Q" localSheetId="10">Bilinear!$C$220</definedName>
    <definedName name="FINALCONC_WF" localSheetId="10">Bilinear!$C$221</definedName>
    <definedName name="fuel_gas" localSheetId="4">'Simple Linear Problem'!$I$13</definedName>
    <definedName name="fuel_gas">'Test1 Problem'!$I$13</definedName>
    <definedName name="fuel_gas_dens">'Simple  Mass Volume Problem'!$Q$13</definedName>
    <definedName name="fuel_gas_mass">'Simple  Mass Volume Problem'!$H$13</definedName>
    <definedName name="fuel_gas_vol">'Simple  Mass Volume Problem'!$K$13</definedName>
    <definedName name="H2O_RECOVERED_Q" localSheetId="10">Bilinear!$C$230</definedName>
    <definedName name="H2ODISCHARGE_Q" localSheetId="10">Bilinear!$C$222</definedName>
    <definedName name="H2OFRESH_TK83_Q" localSheetId="10">Bilinear!$C$223</definedName>
    <definedName name="H2OPROCESSTOTAL_Q" localSheetId="10">Bilinear!$C$224</definedName>
    <definedName name="H2OSEAL_1CLN_Q" localSheetId="10">Bilinear!$C$225</definedName>
    <definedName name="H2OSEAL_DI30_Q" localSheetId="10">Bilinear!$C$226</definedName>
    <definedName name="H2OSEAL_Q" localSheetId="10">Bilinear!$C$227</definedName>
    <definedName name="H2OSEAL_REM_1_Q" localSheetId="10">Bilinear!$C$228</definedName>
    <definedName name="H2OSEAL_REM_2_Q" localSheetId="10">Bilinear!$C$229</definedName>
    <definedName name="J_4_Feed" localSheetId="7">'Simple  Mass Volume Problem'!$C$5</definedName>
    <definedName name="J_4_Feed" localSheetId="4">'Simple Linear Problem'!$C$5</definedName>
    <definedName name="J_4_Feed">'Test1 Problem'!$C$5</definedName>
    <definedName name="J_4_Product" localSheetId="7">'Simple  Mass Volume Problem'!$E$5</definedName>
    <definedName name="J_4_Product" localSheetId="4">'Simple Linear Problem'!$E$5</definedName>
    <definedName name="J_4_Product">'Test1 Problem'!$E$5</definedName>
    <definedName name="J_6_Feed" localSheetId="7">'Simple  Mass Volume Problem'!$C$6</definedName>
    <definedName name="J_6_Feed" localSheetId="4">'Simple Linear Problem'!$C$6</definedName>
    <definedName name="J_6_Feed">'Test1 Problem'!$C$6</definedName>
    <definedName name="J_6_Product" localSheetId="7">'Simple  Mass Volume Problem'!$E$6</definedName>
    <definedName name="J_6_Product" localSheetId="4">'Simple Linear Problem'!$E$6</definedName>
    <definedName name="J_6_Product">'Test1 Problem'!$E$6</definedName>
    <definedName name="lean_oil" localSheetId="4">'Simple Linear Problem'!$I$8</definedName>
    <definedName name="lean_oil">'Test1 Problem'!$I$8</definedName>
    <definedName name="lean_oil_dens">'Simple  Mass Volume Problem'!$Q$8</definedName>
    <definedName name="lean_oil_mass">'Simple  Mass Volume Problem'!$H$8</definedName>
    <definedName name="lean_oil_vol">'Simple  Mass Volume Problem'!$K$8</definedName>
    <definedName name="MILL_MIXER_CF" localSheetId="10">Bilinear!$C$231</definedName>
    <definedName name="MILL_MIXER_Q" localSheetId="10">Bilinear!$C$232</definedName>
    <definedName name="MILL_MIXER_WF" localSheetId="10">Bilinear!$C$233</definedName>
    <definedName name="OSAStreamConcThickenerFeedStream_Ag" localSheetId="3">'Large Nonlinear Problem'!$C$432</definedName>
    <definedName name="OSAStreamConcThickenerFeedStream_Au" localSheetId="3">'Large Nonlinear Problem'!$C$431</definedName>
    <definedName name="OSAStreamConcThickenerFeedStream_Cu" localSheetId="3">'Large Nonlinear Problem'!$C$429</definedName>
    <definedName name="OSAStreamConcThickenerFeedStream_F" localSheetId="3">'Large Nonlinear Problem'!$C$435</definedName>
    <definedName name="OSAStreamConcThickenerFeedStream_Fe" localSheetId="3">'Large Nonlinear Problem'!$C$430</definedName>
    <definedName name="OSAStreamConcThickenerFeedStream_Mass" localSheetId="3">'Large Nonlinear Problem'!$C$428</definedName>
    <definedName name="OSAStreamConcThickenerFeedStream_S" localSheetId="3">'Large Nonlinear Problem'!$C$433</definedName>
    <definedName name="OSAStreamConcThickenerFeedStream_U" localSheetId="3">'Large Nonlinear Problem'!$C$434</definedName>
    <definedName name="OSAStreamFlotationTailsStream_Ag" localSheetId="3">'Large Nonlinear Problem'!$C$440</definedName>
    <definedName name="OSAStreamFlotationTailsStream_Au" localSheetId="3">'Large Nonlinear Problem'!$C$439</definedName>
    <definedName name="OSAStreamFlotationTailsStream_Cu" localSheetId="3">'Large Nonlinear Problem'!$C$437</definedName>
    <definedName name="OSAStreamFlotationTailsStream_F" localSheetId="3">'Large Nonlinear Problem'!$C$443</definedName>
    <definedName name="OSAStreamFlotationTailsStream_Fe" localSheetId="3">'Large Nonlinear Problem'!$C$438</definedName>
    <definedName name="OSAStreamFlotationTailsStream_Mass" localSheetId="3">'Large Nonlinear Problem'!$C$436</definedName>
    <definedName name="OSAStreamFlotationTailsStream_S" localSheetId="3">'Large Nonlinear Problem'!$C$441</definedName>
    <definedName name="OSAStreamFlotationTailsStream_U" localSheetId="3">'Large Nonlinear Problem'!$C$442</definedName>
    <definedName name="OSAStreamRougherFeedStream_Ag" localSheetId="3">'Large Nonlinear Problem'!$C$448</definedName>
    <definedName name="OSAStreamRougherFeedStream_Au" localSheetId="3">'Large Nonlinear Problem'!$C$447</definedName>
    <definedName name="OSAStreamRougherFeedStream_Cu" localSheetId="3">'Large Nonlinear Problem'!$C$445</definedName>
    <definedName name="OSAStreamRougherFeedStream_F" localSheetId="3">'Large Nonlinear Problem'!$C$451</definedName>
    <definedName name="OSAStreamRougherFeedStream_Fe" localSheetId="3">'Large Nonlinear Problem'!$C$446</definedName>
    <definedName name="OSAStreamRougherFeedStream_Mass" localSheetId="3">'Large Nonlinear Problem'!$C$444</definedName>
    <definedName name="OSAStreamRougherFeedStream_S" localSheetId="3">'Large Nonlinear Problem'!$C$449</definedName>
    <definedName name="OSAStreamRougherFeedStream_U" localSheetId="3">'Large Nonlinear Problem'!$C$450</definedName>
    <definedName name="PIPE_TKCLC_CF" localSheetId="10">Bilinear!$C$240</definedName>
    <definedName name="PIPE_TKCLC_Q" localSheetId="10">Bilinear!$C$241</definedName>
    <definedName name="PIPE_TKCLC_WF" localSheetId="10">Bilinear!$C$242</definedName>
    <definedName name="PIPELINE_CLOSE_CF" localSheetId="10">Bilinear!$C$234</definedName>
    <definedName name="PIPELINE_CLOSE_Q" localSheetId="10">Bilinear!$C$235</definedName>
    <definedName name="PIPELINE_CLOSE_WF" localSheetId="10">Bilinear!$C$236</definedName>
    <definedName name="PIPELINE_OPEN_CF" localSheetId="10">Bilinear!$C$237</definedName>
    <definedName name="PIPELINE_OPEN_Q" localSheetId="10">Bilinear!$C$238</definedName>
    <definedName name="PIPELINE_OPEN_WF" localSheetId="10">Bilinear!$C$239</definedName>
    <definedName name="PLANTA_RO_FEED_Q" localSheetId="10">Bilinear!$C$243</definedName>
    <definedName name="POND_RECVR_Q" localSheetId="10">Bilinear!$C$244</definedName>
    <definedName name="POOL_2CLN_Q" localSheetId="10">Bilinear!$C$246</definedName>
    <definedName name="POOL_2CLNCONC_Q" localSheetId="10">Bilinear!$C$245</definedName>
    <definedName name="POOL_BC1SUMP_Q" localSheetId="10">Bilinear!$C$247</definedName>
    <definedName name="POOL_BC2SUMP_Q" localSheetId="10">Bilinear!$C$248</definedName>
    <definedName name="POOL_BC3SUMP_Q" localSheetId="10">Bilinear!$C$249</definedName>
    <definedName name="POOL_DI30_Q" localSheetId="10">Bilinear!$C$250</definedName>
    <definedName name="POOL_M1_Q" localSheetId="10">Bilinear!$C$251</definedName>
    <definedName name="POOL_MB1_Q" localSheetId="10">Bilinear!$C$252</definedName>
    <definedName name="POOL_MB2_Q" localSheetId="10">Bilinear!$C$253</definedName>
    <definedName name="POOL_MB3_Q" localSheetId="10">Bilinear!$C$254</definedName>
    <definedName name="POOL_MIXER_Q" localSheetId="10">Bilinear!$C$255</definedName>
    <definedName name="POOL_REM_1_Q" localSheetId="10">Bilinear!$C$256</definedName>
    <definedName name="POOL_REM_2_Q" localSheetId="10">Bilinear!$C$257</definedName>
    <definedName name="POOL_SAG_Q" localSheetId="10">Bilinear!$C$258</definedName>
    <definedName name="POOL_TK42_Q" localSheetId="10">Bilinear!$C$259</definedName>
    <definedName name="POOL_TK91_Q" localSheetId="10">Bilinear!$C$260</definedName>
    <definedName name="PP51_DI101_CF" localSheetId="10">Bilinear!$C$261</definedName>
    <definedName name="PP51_DI101_Q" localSheetId="10">Bilinear!$C$262</definedName>
    <definedName name="PP51_DI101_WF" localSheetId="10">Bilinear!$C$263</definedName>
    <definedName name="PP51_DI104_CF" localSheetId="10">Bilinear!$C$264</definedName>
    <definedName name="PP51_DI104_Q" localSheetId="10">Bilinear!$C$265</definedName>
    <definedName name="PP51_DI104_WF" localSheetId="10">Bilinear!$C$266</definedName>
    <definedName name="PP52_DI101_CF" localSheetId="10">Bilinear!$C$267</definedName>
    <definedName name="PP52_DI101_Q" localSheetId="10">Bilinear!$C$268</definedName>
    <definedName name="PP52_DI101_WF" localSheetId="10">Bilinear!$C$269</definedName>
    <definedName name="PP52_DI104_CF" localSheetId="10">Bilinear!$C$270</definedName>
    <definedName name="PP52_DI104_Q" localSheetId="10">Bilinear!$C$271</definedName>
    <definedName name="PP52_DI104_WF" localSheetId="10">Bilinear!$C$272</definedName>
    <definedName name="PP53_DI101_CF" localSheetId="10">Bilinear!$C$273</definedName>
    <definedName name="PP53_DI101_Q" localSheetId="10">Bilinear!$C$274</definedName>
    <definedName name="PP53_DI101_WF" localSheetId="10">Bilinear!$C$275</definedName>
    <definedName name="PP53_DI104_CF" localSheetId="10">Bilinear!$C$276</definedName>
    <definedName name="PP53_DI104_Q" localSheetId="10">Bilinear!$C$277</definedName>
    <definedName name="PP53_DI104_WF" localSheetId="10">Bilinear!$C$278</definedName>
    <definedName name="PP54_DI101_CF" localSheetId="10">Bilinear!$C$279</definedName>
    <definedName name="PP54_DI101_Q" localSheetId="10">Bilinear!$C$280</definedName>
    <definedName name="PP54_DI101_WF" localSheetId="10">Bilinear!$C$281</definedName>
    <definedName name="PP54_DI104_CF" localSheetId="10">Bilinear!$C$282</definedName>
    <definedName name="PP54_DI104_Q" localSheetId="10">Bilinear!$C$283</definedName>
    <definedName name="PP54_DI104_WF" localSheetId="10">Bilinear!$C$284</definedName>
    <definedName name="PressureFilterFeedStream_Ag" localSheetId="3">'Large Nonlinear Problem'!$C$456</definedName>
    <definedName name="PressureFilterFeedStream_Au" localSheetId="3">'Large Nonlinear Problem'!$C$455</definedName>
    <definedName name="PressureFilterFeedStream_Cu" localSheetId="3">'Large Nonlinear Problem'!$C$453</definedName>
    <definedName name="PressureFilterFeedStream_F" localSheetId="3">'Large Nonlinear Problem'!$C$459</definedName>
    <definedName name="PressureFilterFeedStream_Fe" localSheetId="3">'Large Nonlinear Problem'!$C$454</definedName>
    <definedName name="PressureFilterFeedStream_Mass" localSheetId="3">'Large Nonlinear Problem'!$C$452</definedName>
    <definedName name="PressureFilterFeedStream_S" localSheetId="3">'Large Nonlinear Problem'!$C$457</definedName>
    <definedName name="PressureFilterFeedStream_U" localSheetId="3">'Large Nonlinear Problem'!$C$458</definedName>
    <definedName name="PressureFilterUnderflowStream_Ag" localSheetId="3">'Large Nonlinear Problem'!$C$464</definedName>
    <definedName name="PressureFilterUnderflowStream_Au" localSheetId="3">'Large Nonlinear Problem'!$C$463</definedName>
    <definedName name="PressureFilterUnderflowStream_Cu" localSheetId="3">'Large Nonlinear Problem'!$C$461</definedName>
    <definedName name="PressureFilterUnderflowStream_F" localSheetId="3">'Large Nonlinear Problem'!$C$467</definedName>
    <definedName name="PressureFilterUnderflowStream_Fe" localSheetId="3">'Large Nonlinear Problem'!$C$462</definedName>
    <definedName name="PressureFilterUnderflowStream_Mass" localSheetId="3">'Large Nonlinear Problem'!$C$460</definedName>
    <definedName name="PressureFilterUnderflowStream_S" localSheetId="3">'Large Nonlinear Problem'!$C$465</definedName>
    <definedName name="PressureFilterUnderflowStream_U" localSheetId="3">'Large Nonlinear Problem'!$C$466</definedName>
    <definedName name="ReactorEff">'Ammonia Reconciliation Problem'!$C$11</definedName>
    <definedName name="recycle" localSheetId="4">'Simple Linear Problem'!$I$7</definedName>
    <definedName name="recycle">'Test1 Problem'!$I$7</definedName>
    <definedName name="recycle_dens">'Simple  Mass Volume Problem'!$Q$7</definedName>
    <definedName name="recycle_mass">'Simple  Mass Volume Problem'!$H$7</definedName>
    <definedName name="recycle_vol">'Simple  Mass Volume Problem'!$K$7</definedName>
    <definedName name="ResolverData" localSheetId="1" hidden="1">ResolverReservedData!$A$1</definedName>
    <definedName name="ResolverData" localSheetId="10" hidden="1">ResolverReservedData!$G$1</definedName>
    <definedName name="ResolverData" localSheetId="3" hidden="1">ResolverReservedData!$C$1</definedName>
    <definedName name="ResolverData" localSheetId="7" hidden="1">ResolverReservedData!$F$1</definedName>
    <definedName name="ResolverData" localSheetId="4" hidden="1">ResolverReservedData!$D$1</definedName>
    <definedName name="ResolverData" localSheetId="2" hidden="1">ResolverReservedData!$B$1</definedName>
    <definedName name="ResolverData" localSheetId="6" hidden="1">ResolverReservedData!$E$1</definedName>
    <definedName name="RIVERWATER_Q" localSheetId="10">Bilinear!$C$285</definedName>
    <definedName name="RO_POND_Q" localSheetId="10">Bilinear!$C$289</definedName>
    <definedName name="RO_TANK_Q" localSheetId="10">Bilinear!$C$290</definedName>
    <definedName name="ROUFEED_CF" localSheetId="10">Bilinear!$C$286</definedName>
    <definedName name="ROUFEED_Q" localSheetId="10">Bilinear!$C$287</definedName>
    <definedName name="ROUFEED_WF" localSheetId="10">Bilinear!$C$288</definedName>
    <definedName name="SAGMillFeedStream_Ag" localSheetId="3">'Large Nonlinear Problem'!$C$472</definedName>
    <definedName name="SAGMillFeedStream_Au" localSheetId="3">'Large Nonlinear Problem'!$C$471</definedName>
    <definedName name="SAGMillFeedStream_Cu" localSheetId="3">'Large Nonlinear Problem'!$C$469</definedName>
    <definedName name="SAGMillFeedStream_F" localSheetId="3">'Large Nonlinear Problem'!$C$475</definedName>
    <definedName name="SAGMillFeedStream_Fe" localSheetId="3">'Large Nonlinear Problem'!$C$470</definedName>
    <definedName name="SAGMillFeedStream_Mass" localSheetId="3">'Large Nonlinear Problem'!$C$468</definedName>
    <definedName name="SAGMillFeedStream_S" localSheetId="3">'Large Nonlinear Problem'!$C$473</definedName>
    <definedName name="SAGMillFeedStream_U" localSheetId="3">'Large Nonlinear Problem'!$C$474</definedName>
    <definedName name="sep_ovhd" localSheetId="4">'Simple Linear Problem'!$I$11</definedName>
    <definedName name="sep_ovhd">'Test1 Problem'!$I$11</definedName>
    <definedName name="sep_ovhd_dens">'Simple  Mass Volume Problem'!$Q$11</definedName>
    <definedName name="sep_ovhd_mass">'Simple  Mass Volume Problem'!$H$11</definedName>
    <definedName name="sep_ovhd_vol">'Simple  Mass Volume Problem'!$K$11</definedName>
    <definedName name="solver_adj" localSheetId="1" hidden="1">'Ammonia Reconciliation Problem'!$C$4:$C$6,'Ammonia Reconciliation Problem'!$C$8:$C$12,'Ammonia Reconciliation Problem'!$G$4:$G$6,'Ammonia Reconciliation Problem'!$G$8:$G$10,'Ammonia Reconciliation Problem'!$K$4:$K$6,'Ammonia Reconciliation Problem'!$K$8:$K$10,'Ammonia Reconciliation Problem'!$O$6:$O$7</definedName>
    <definedName name="solver_adj" localSheetId="7" hidden="1">'Simple  Mass Volume Problem'!$K$4:$K$15</definedName>
    <definedName name="solver_adj" localSheetId="4" hidden="1">'Simple Linear Problem'!$I$4:$I$15</definedName>
    <definedName name="solver_adj" localSheetId="2" hidden="1">'Test1 Problem'!$I$4:$I$15</definedName>
    <definedName name="solver_cvg" localSheetId="1" hidden="1">0.0001</definedName>
    <definedName name="solver_cvg" localSheetId="7" hidden="1">0.0001</definedName>
    <definedName name="solver_cvg" localSheetId="4" hidden="1">0.0001</definedName>
    <definedName name="solver_cvg" localSheetId="2" hidden="1">0.0001</definedName>
    <definedName name="solver_drv" localSheetId="1" hidden="1">1</definedName>
    <definedName name="solver_drv" localSheetId="7" hidden="1">1</definedName>
    <definedName name="solver_drv" localSheetId="4" hidden="1">1</definedName>
    <definedName name="solver_drv" localSheetId="2" hidden="1">1</definedName>
    <definedName name="solver_est" localSheetId="1" hidden="1">1</definedName>
    <definedName name="solver_est" localSheetId="7" hidden="1">1</definedName>
    <definedName name="solver_est" localSheetId="4" hidden="1">1</definedName>
    <definedName name="solver_est" localSheetId="2" hidden="1">1</definedName>
    <definedName name="solver_itr" localSheetId="1" hidden="1">100</definedName>
    <definedName name="solver_itr" localSheetId="7" hidden="1">100</definedName>
    <definedName name="solver_itr" localSheetId="4" hidden="1">100</definedName>
    <definedName name="solver_itr" localSheetId="2" hidden="1">100</definedName>
    <definedName name="solver_lhs1" localSheetId="1" hidden="1">'Ammonia Reconciliation Problem'!$D$15:$D$19</definedName>
    <definedName name="solver_lhs1" localSheetId="7" hidden="1">'Simple  Mass Volume Problem'!$C$4:$C$9</definedName>
    <definedName name="solver_lhs1" localSheetId="4" hidden="1">'Simple Linear Problem'!$C$4:$C$9</definedName>
    <definedName name="solver_lhs1" localSheetId="2" hidden="1">'Test1 Problem'!$C$4:$C$9</definedName>
    <definedName name="solver_lhs2" localSheetId="1" hidden="1">'Ammonia Reconciliation Problem'!$H$15:$H$19</definedName>
    <definedName name="solver_lhs2" localSheetId="7" hidden="1">'Simple  Mass Volume Problem'!$C$10</definedName>
    <definedName name="solver_lhs2" localSheetId="4" hidden="1">'Simple Linear Problem'!$C$10</definedName>
    <definedName name="solver_lhs2" localSheetId="2" hidden="1">'Test1 Problem'!$C$10</definedName>
    <definedName name="solver_lhs3" localSheetId="1" hidden="1">'Ammonia Reconciliation Problem'!$L$15:$L$19</definedName>
    <definedName name="solver_lhs4" localSheetId="1" hidden="1">'Ammonia Reconciliation Problem'!$P$16:$P$17</definedName>
    <definedName name="solver_lin" localSheetId="1" hidden="1">2</definedName>
    <definedName name="solver_lin" localSheetId="7" hidden="1">2</definedName>
    <definedName name="solver_lin" localSheetId="4" hidden="1">2</definedName>
    <definedName name="solver_lin" localSheetId="2" hidden="1">2</definedName>
    <definedName name="solver_neg" localSheetId="1" hidden="1">2</definedName>
    <definedName name="solver_neg" localSheetId="7" hidden="1">2</definedName>
    <definedName name="solver_neg" localSheetId="4" hidden="1">2</definedName>
    <definedName name="solver_neg" localSheetId="2" hidden="1">2</definedName>
    <definedName name="solver_num" localSheetId="1" hidden="1">4</definedName>
    <definedName name="solver_num" localSheetId="7" hidden="1">1</definedName>
    <definedName name="solver_num" localSheetId="4" hidden="1">1</definedName>
    <definedName name="solver_num" localSheetId="2" hidden="1">1</definedName>
    <definedName name="solver_nwt" localSheetId="1" hidden="1">1</definedName>
    <definedName name="solver_nwt" localSheetId="7" hidden="1">1</definedName>
    <definedName name="solver_nwt" localSheetId="4" hidden="1">1</definedName>
    <definedName name="solver_nwt" localSheetId="2" hidden="1">1</definedName>
    <definedName name="solver_opt" localSheetId="1" hidden="1">'Ammonia Reconciliation Problem'!$B$28</definedName>
    <definedName name="solver_opt" localSheetId="7" hidden="1">'Simple  Mass Volume Problem'!$C$18</definedName>
    <definedName name="solver_opt" localSheetId="4" hidden="1">'Simple Linear Problem'!$C$18</definedName>
    <definedName name="solver_opt" localSheetId="2" hidden="1">'Test1 Problem'!$N$22</definedName>
    <definedName name="solver_pre" localSheetId="1" hidden="1">0.000001</definedName>
    <definedName name="solver_pre" localSheetId="7" hidden="1">0.000001</definedName>
    <definedName name="solver_pre" localSheetId="4" hidden="1">0.000001</definedName>
    <definedName name="solver_pre" localSheetId="2" hidden="1">0.000001</definedName>
    <definedName name="solver_rel1" localSheetId="1" hidden="1">2</definedName>
    <definedName name="solver_rel1" localSheetId="7" hidden="1">2</definedName>
    <definedName name="solver_rel1" localSheetId="4" hidden="1">2</definedName>
    <definedName name="solver_rel1" localSheetId="2" hidden="1">2</definedName>
    <definedName name="solver_rel2" localSheetId="1" hidden="1">2</definedName>
    <definedName name="solver_rel2" localSheetId="7" hidden="1">2</definedName>
    <definedName name="solver_rel2" localSheetId="4" hidden="1">2</definedName>
    <definedName name="solver_rel2" localSheetId="2" hidden="1">2</definedName>
    <definedName name="solver_rel3" localSheetId="1" hidden="1">2</definedName>
    <definedName name="solver_rel4" localSheetId="1" hidden="1">2</definedName>
    <definedName name="solver_rhs1" localSheetId="1" hidden="1">'Ammonia Reconciliation Problem'!$F$15:$F$19</definedName>
    <definedName name="solver_rhs1" localSheetId="7" hidden="1">'Simple  Mass Volume Problem'!$E$4:$E$9</definedName>
    <definedName name="solver_rhs1" localSheetId="4" hidden="1">'Simple Linear Problem'!$E$4:$E$9</definedName>
    <definedName name="solver_rhs1" localSheetId="2" hidden="1">'Test1 Problem'!$E$4:$E$9</definedName>
    <definedName name="solver_rhs2" localSheetId="1" hidden="1">'Ammonia Reconciliation Problem'!$J$15:$J$19</definedName>
    <definedName name="solver_rhs2" localSheetId="7" hidden="1">'Simple  Mass Volume Problem'!$E$10</definedName>
    <definedName name="solver_rhs2" localSheetId="4" hidden="1">'Simple Linear Problem'!$E$10</definedName>
    <definedName name="solver_rhs2" localSheetId="2" hidden="1">'Test1 Problem'!$E$10</definedName>
    <definedName name="solver_rhs3" localSheetId="1" hidden="1">'Ammonia Reconciliation Problem'!$N$15:$N$19</definedName>
    <definedName name="solver_rhs4" localSheetId="1" hidden="1">'Ammonia Reconciliation Problem'!$R$16:$R$17</definedName>
    <definedName name="solver_scl" localSheetId="1" hidden="1">2</definedName>
    <definedName name="solver_scl" localSheetId="7" hidden="1">2</definedName>
    <definedName name="solver_scl" localSheetId="4" hidden="1">2</definedName>
    <definedName name="solver_scl" localSheetId="2" hidden="1">2</definedName>
    <definedName name="solver_sho" localSheetId="1" hidden="1">2</definedName>
    <definedName name="solver_sho" localSheetId="7" hidden="1">2</definedName>
    <definedName name="solver_sho" localSheetId="4" hidden="1">2</definedName>
    <definedName name="solver_sho" localSheetId="2" hidden="1">2</definedName>
    <definedName name="solver_tim" localSheetId="1" hidden="1">100</definedName>
    <definedName name="solver_tim" localSheetId="7" hidden="1">100</definedName>
    <definedName name="solver_tim" localSheetId="4" hidden="1">100</definedName>
    <definedName name="solver_tim" localSheetId="2" hidden="1">100</definedName>
    <definedName name="solver_tol" localSheetId="1" hidden="1">0.05</definedName>
    <definedName name="solver_tol" localSheetId="7" hidden="1">0.05</definedName>
    <definedName name="solver_tol" localSheetId="4" hidden="1">0.05</definedName>
    <definedName name="solver_tol" localSheetId="2" hidden="1">0.05</definedName>
    <definedName name="solver_typ" localSheetId="1" hidden="1">2</definedName>
    <definedName name="solver_typ" localSheetId="7" hidden="1">2</definedName>
    <definedName name="solver_typ" localSheetId="4" hidden="1">2</definedName>
    <definedName name="solver_typ" localSheetId="2" hidden="1">2</definedName>
    <definedName name="solver_val" localSheetId="1" hidden="1">0</definedName>
    <definedName name="solver_val" localSheetId="7" hidden="1">0</definedName>
    <definedName name="solver_val" localSheetId="4" hidden="1">0</definedName>
    <definedName name="solver_val" localSheetId="2" hidden="1">0</definedName>
    <definedName name="sour_gas" localSheetId="4">'Simple Linear Problem'!$I$12</definedName>
    <definedName name="sour_gas">'Test1 Problem'!$I$12</definedName>
    <definedName name="sour_gas_dens">'Simple  Mass Volume Problem'!$Q$12</definedName>
    <definedName name="sour_gas_mass">'Simple  Mass Volume Problem'!$H$12</definedName>
    <definedName name="sour_gas_vol">'Simple  Mass Volume Problem'!$K$12</definedName>
    <definedName name="SpillageReturnStream_Ag" localSheetId="3">'Large Nonlinear Problem'!$C$480</definedName>
    <definedName name="SpillageReturnStream_Au" localSheetId="3">'Large Nonlinear Problem'!$C$479</definedName>
    <definedName name="SpillageReturnStream_Cu" localSheetId="3">'Large Nonlinear Problem'!$C$477</definedName>
    <definedName name="SpillageReturnStream_F" localSheetId="3">'Large Nonlinear Problem'!$C$483</definedName>
    <definedName name="SpillageReturnStream_Fe" localSheetId="3">'Large Nonlinear Problem'!$C$478</definedName>
    <definedName name="SpillageReturnStream_Mass" localSheetId="3">'Large Nonlinear Problem'!$C$476</definedName>
    <definedName name="SpillageReturnStream_S" localSheetId="3">'Large Nonlinear Problem'!$C$481</definedName>
    <definedName name="SpillageReturnStream_U" localSheetId="3">'Large Nonlinear Problem'!$C$482</definedName>
    <definedName name="SplitterEff">'Ammonia Reconciliation Problem'!$C$12</definedName>
    <definedName name="Stream1_A">'Ammonia Reconciliation Problem'!$K$4</definedName>
    <definedName name="Stream1_H">'Ammonia Reconciliation Problem'!$G$4</definedName>
    <definedName name="Stream1_N">'Ammonia Reconciliation Problem'!$C$4</definedName>
    <definedName name="Stream1_NH">'Ammonia Reconciliation Problem'!$O$4</definedName>
    <definedName name="Stream2_A">'Ammonia Reconciliation Problem'!$K$5</definedName>
    <definedName name="Stream2_H">'Ammonia Reconciliation Problem'!$G$5</definedName>
    <definedName name="Stream2_N">'Ammonia Reconciliation Problem'!$C$5</definedName>
    <definedName name="Stream2_NH">'Ammonia Reconciliation Problem'!$O$5</definedName>
    <definedName name="Stream3_A">'Ammonia Reconciliation Problem'!$K$6</definedName>
    <definedName name="Stream3_H">'Ammonia Reconciliation Problem'!$G$6</definedName>
    <definedName name="Stream3_N">'Ammonia Reconciliation Problem'!$C$6</definedName>
    <definedName name="Stream3_NH">'Ammonia Reconciliation Problem'!$O$6</definedName>
    <definedName name="Stream4_A">'Ammonia Reconciliation Problem'!$K$7</definedName>
    <definedName name="Stream4_H">'Ammonia Reconciliation Problem'!$G$7</definedName>
    <definedName name="Stream4_N">'Ammonia Reconciliation Problem'!$C$7</definedName>
    <definedName name="Stream4_NH">'Ammonia Reconciliation Problem'!$O$7</definedName>
    <definedName name="Stream5_A">'Ammonia Reconciliation Problem'!$K$8</definedName>
    <definedName name="Stream5_H">'Ammonia Reconciliation Problem'!$G$8</definedName>
    <definedName name="Stream5_N">'Ammonia Reconciliation Problem'!$C$8</definedName>
    <definedName name="Stream5_NH">'Ammonia Reconciliation Problem'!$O$8</definedName>
    <definedName name="Stream6_A">'Ammonia Reconciliation Problem'!$K$9</definedName>
    <definedName name="Stream6_H">'Ammonia Reconciliation Problem'!$G$9</definedName>
    <definedName name="Stream6_N">'Ammonia Reconciliation Problem'!$C$9</definedName>
    <definedName name="Stream6_NH">'Ammonia Reconciliation Problem'!$O$9</definedName>
    <definedName name="Stream7_A">'Ammonia Reconciliation Problem'!$K$10</definedName>
    <definedName name="Stream7_H">'Ammonia Reconciliation Problem'!$G$10</definedName>
    <definedName name="Stream7_N">'Ammonia Reconciliation Problem'!$C$10</definedName>
    <definedName name="Stream7_NH">'Ammonia Reconciliation Problem'!$O$10</definedName>
    <definedName name="T_3_Feed" localSheetId="7">'Simple  Mass Volume Problem'!$C$8</definedName>
    <definedName name="T_3_Feed" localSheetId="4">'Simple Linear Problem'!$C$8</definedName>
    <definedName name="T_3_Feed">'Test1 Problem'!$C$8</definedName>
    <definedName name="T_3_Product" localSheetId="7">'Simple  Mass Volume Problem'!$E$8</definedName>
    <definedName name="T_3_Product" localSheetId="4">'Simple Linear Problem'!$E$8</definedName>
    <definedName name="T_3_Product">'Test1 Problem'!$E$8</definedName>
    <definedName name="T_5_Feed" localSheetId="7">'Simple  Mass Volume Problem'!$C$7</definedName>
    <definedName name="T_5_Feed" localSheetId="4">'Simple Linear Problem'!$C$7</definedName>
    <definedName name="T_5_Feed">'Test1 Problem'!$C$7</definedName>
    <definedName name="T_5_Product" localSheetId="7">'Simple  Mass Volume Problem'!$E$7</definedName>
    <definedName name="T_5_Product" localSheetId="4">'Simple Linear Problem'!$E$7</definedName>
    <definedName name="T_5_Product">'Test1 Problem'!$E$7</definedName>
    <definedName name="TAILPOND_CF" localSheetId="10">Bilinear!$C$291</definedName>
    <definedName name="TAILPOND_Q" localSheetId="10">Bilinear!$C$292</definedName>
    <definedName name="TAILPOND_WF" localSheetId="10">Bilinear!$C$293</definedName>
    <definedName name="TAILS_CF" localSheetId="10">Bilinear!$C$294</definedName>
    <definedName name="TAILS_Q" localSheetId="10">Bilinear!$C$295</definedName>
    <definedName name="TAILS_WF" localSheetId="10">Bilinear!$C$296</definedName>
    <definedName name="TailsThickenerUnderflowStream_Ag" localSheetId="3">'Large Nonlinear Problem'!$C$488</definedName>
    <definedName name="TailsThickenerUnderflowStream_Au" localSheetId="3">'Large Nonlinear Problem'!$C$487</definedName>
    <definedName name="TailsThickenerUnderflowStream_Cu" localSheetId="3">'Large Nonlinear Problem'!$C$485</definedName>
    <definedName name="TailsThickenerUnderflowStream_F" localSheetId="3">'Large Nonlinear Problem'!$C$491</definedName>
    <definedName name="TailsThickenerUnderflowStream_Fe" localSheetId="3">'Large Nonlinear Problem'!$C$486</definedName>
    <definedName name="TailsThickenerUnderflowStream_Mass" localSheetId="3">'Large Nonlinear Problem'!$C$484</definedName>
    <definedName name="TailsThickenerUnderflowStream_S" localSheetId="3">'Large Nonlinear Problem'!$C$489</definedName>
    <definedName name="TailsThickenerUnderflowStream_U" localSheetId="3">'Large Nonlinear Problem'!$C$490</definedName>
    <definedName name="TailsThickening_close_Ag" localSheetId="3">'Large Nonlinear Problem'!$C$500</definedName>
    <definedName name="TailsThickening_close_Au" localSheetId="3">'Large Nonlinear Problem'!$C$498</definedName>
    <definedName name="TailsThickening_close_Cu" localSheetId="3">'Large Nonlinear Problem'!$C$494</definedName>
    <definedName name="TailsThickening_close_F" localSheetId="3">'Large Nonlinear Problem'!$C$506</definedName>
    <definedName name="TailsThickening_close_Fe" localSheetId="3">'Large Nonlinear Problem'!$C$496</definedName>
    <definedName name="TailsThickening_close_Mass" localSheetId="3">'Large Nonlinear Problem'!$C$492</definedName>
    <definedName name="TailsThickening_close_S" localSheetId="3">'Large Nonlinear Problem'!$C$502</definedName>
    <definedName name="TailsThickening_close_U" localSheetId="3">'Large Nonlinear Problem'!$C$504</definedName>
    <definedName name="TailsThickening_open_Ag" localSheetId="3">'Large Nonlinear Problem'!$C$501</definedName>
    <definedName name="TailsThickening_open_Au" localSheetId="3">'Large Nonlinear Problem'!$C$499</definedName>
    <definedName name="TailsThickening_open_Cu" localSheetId="3">'Large Nonlinear Problem'!$C$495</definedName>
    <definedName name="TailsThickening_open_F" localSheetId="3">'Large Nonlinear Problem'!$C$507</definedName>
    <definedName name="TailsThickening_open_Fe" localSheetId="3">'Large Nonlinear Problem'!$C$497</definedName>
    <definedName name="TailsThickening_open_Mass" localSheetId="3">'Large Nonlinear Problem'!$C$493</definedName>
    <definedName name="TailsThickening_open_S" localSheetId="3">'Large Nonlinear Problem'!$C$503</definedName>
    <definedName name="TailsThickening_open_U" localSheetId="3">'Large Nonlinear Problem'!$C$505</definedName>
    <definedName name="TAILTHK_OVERFLOW_Q" localSheetId="10">Bilinear!$C$333</definedName>
    <definedName name="TAILTHK6_CLOSE_CF" localSheetId="10">Bilinear!$C$297</definedName>
    <definedName name="TAILTHK6_CLOSE_Q" localSheetId="10">Bilinear!$C$298</definedName>
    <definedName name="TAILTHK6_CLOSE_WF" localSheetId="10">Bilinear!$C$299</definedName>
    <definedName name="TAILTHK6_OPEN_CF" localSheetId="10">Bilinear!$C$300</definedName>
    <definedName name="TAILTHK6_OPEN_Q" localSheetId="10">Bilinear!$C$301</definedName>
    <definedName name="TAILTHK6_OPEN_WF" localSheetId="10">Bilinear!$C$302</definedName>
    <definedName name="TAILTHK6_OVERFLOW_Q" localSheetId="10">Bilinear!$C$303</definedName>
    <definedName name="TAILTHK6_TOTVOL_CLOSE_Q" localSheetId="10">Bilinear!$C$304</definedName>
    <definedName name="TAILTHK6_TOTVOL_OPEN_Q" localSheetId="10">Bilinear!$C$305</definedName>
    <definedName name="TAILTHK6_UNDERFLOW_CF" localSheetId="10">Bilinear!$C$306</definedName>
    <definedName name="TAILTHK6_UNDERFLOW_Q" localSheetId="10">Bilinear!$C$307</definedName>
    <definedName name="TAILTHK6_UNDERFLOW_WF" localSheetId="10">Bilinear!$C$308</definedName>
    <definedName name="TAILTHK7_CLOSE_CF" localSheetId="10">Bilinear!$C$309</definedName>
    <definedName name="TAILTHK7_CLOSE_Q" localSheetId="10">Bilinear!$C$310</definedName>
    <definedName name="TAILTHK7_CLOSE_WF" localSheetId="10">Bilinear!$C$311</definedName>
    <definedName name="TAILTHK7_OPEN_CF" localSheetId="10">Bilinear!$C$312</definedName>
    <definedName name="TAILTHK7_OPEN_Q" localSheetId="10">Bilinear!$C$313</definedName>
    <definedName name="TAILTHK7_OPEN_WF" localSheetId="10">Bilinear!$C$314</definedName>
    <definedName name="TAILTHK7_OVERFLOW_Q" localSheetId="10">Bilinear!$C$315</definedName>
    <definedName name="TAILTHK7_TOTVOL_CLOSE_Q" localSheetId="10">Bilinear!$C$316</definedName>
    <definedName name="TAILTHK7_TOTVOL_OPEN_Q" localSheetId="10">Bilinear!$C$317</definedName>
    <definedName name="TAILTHK7_UNDERFLOW_CF" localSheetId="10">Bilinear!$C$318</definedName>
    <definedName name="TAILTHK7_UNDERFLOW_Q" localSheetId="10">Bilinear!$C$319</definedName>
    <definedName name="TAILTHK7_UNDERFLOW_WF" localSheetId="10">Bilinear!$C$320</definedName>
    <definedName name="TAILTHK8_CLOSE_CF" localSheetId="10">Bilinear!$C$321</definedName>
    <definedName name="TAILTHK8_CLOSE_Q" localSheetId="10">Bilinear!$C$322</definedName>
    <definedName name="TAILTHK8_CLOSE_WF" localSheetId="10">Bilinear!$C$323</definedName>
    <definedName name="TAILTHK8_OPEN_CF" localSheetId="10">Bilinear!$C$324</definedName>
    <definedName name="TAILTHK8_OPEN_Q" localSheetId="10">Bilinear!$C$325</definedName>
    <definedName name="TAILTHK8_OPEN_WF" localSheetId="10">Bilinear!$C$326</definedName>
    <definedName name="TAILTHK8_OVERFLOW_Q" localSheetId="10">Bilinear!$C$327</definedName>
    <definedName name="TAILTHK8_TOTVOL_CLOSE_Q" localSheetId="10">Bilinear!$C$328</definedName>
    <definedName name="TAILTHK8_TOTVOL_OPEN_Q" localSheetId="10">Bilinear!$C$329</definedName>
    <definedName name="TAILTHK8_UNDERFLOW_CF" localSheetId="10">Bilinear!$C$330</definedName>
    <definedName name="TAILTHK8_UNDERFLOW_Q" localSheetId="10">Bilinear!$C$331</definedName>
    <definedName name="TAILTHK8_UNDERFLOW_WF" localSheetId="10">Bilinear!$C$332</definedName>
    <definedName name="TANK_CLOSE_Q" localSheetId="10">Bilinear!$C$334</definedName>
    <definedName name="TANK_OPEN_Q" localSheetId="10">Bilinear!$C$335</definedName>
    <definedName name="TK10_TK11_Q" localSheetId="10">Bilinear!$C$336</definedName>
    <definedName name="TK140_TK165_CF" localSheetId="10">Bilinear!$C$337</definedName>
    <definedName name="TK140_TK165_Q" localSheetId="10">Bilinear!$C$338</definedName>
    <definedName name="TK140_TK165_WF" localSheetId="10">Bilinear!$C$339</definedName>
    <definedName name="TK23_CLOSE_CF" localSheetId="10">Bilinear!$C$340</definedName>
    <definedName name="TK23_CLOSE_Q" localSheetId="10">Bilinear!$C$341</definedName>
    <definedName name="TK23_CLOSE_WF" localSheetId="10">Bilinear!$C$342</definedName>
    <definedName name="TK23_DI105_CF" localSheetId="10">Bilinear!$C$343</definedName>
    <definedName name="TK23_DI105_Q" localSheetId="10">Bilinear!$C$344</definedName>
    <definedName name="TK23_DI105_WF" localSheetId="10">Bilinear!$C$345</definedName>
    <definedName name="TK23_OPEN_CF" localSheetId="10">Bilinear!$C$346</definedName>
    <definedName name="TK23_OPEN_Q" localSheetId="10">Bilinear!$C$347</definedName>
    <definedName name="TK23_OPEN_WF" localSheetId="10">Bilinear!$C$348</definedName>
    <definedName name="TK24_CLOSE_CF" localSheetId="10">Bilinear!$C$349</definedName>
    <definedName name="TK24_CLOSE_Q" localSheetId="10">Bilinear!$C$350</definedName>
    <definedName name="TK24_CLOSE_WF" localSheetId="10">Bilinear!$C$351</definedName>
    <definedName name="TK24_DI105_CF" localSheetId="10">Bilinear!$C$352</definedName>
    <definedName name="TK24_DI105_Q" localSheetId="10">Bilinear!$C$353</definedName>
    <definedName name="TK24_DI105_WF" localSheetId="10">Bilinear!$C$354</definedName>
    <definedName name="TK24_OPEN_CF" localSheetId="10">Bilinear!$C$355</definedName>
    <definedName name="TK24_OPEN_Q" localSheetId="10">Bilinear!$C$356</definedName>
    <definedName name="TK24_OPEN_WF" localSheetId="10">Bilinear!$C$357</definedName>
    <definedName name="TK25_CLOSE_CF" localSheetId="10">Bilinear!$C$358</definedName>
    <definedName name="TK25_CLOSE_Q" localSheetId="10">Bilinear!$C$359</definedName>
    <definedName name="TK25_CLOSE_WF" localSheetId="10">Bilinear!$C$360</definedName>
    <definedName name="TK25_DI105_CF" localSheetId="10">Bilinear!$C$361</definedName>
    <definedName name="TK25_DI105_Q" localSheetId="10">Bilinear!$C$362</definedName>
    <definedName name="TK25_DI105_WF" localSheetId="10">Bilinear!$C$363</definedName>
    <definedName name="TK25_OPEN_CF" localSheetId="10">Bilinear!$C$364</definedName>
    <definedName name="TK25_OPEN_Q" localSheetId="10">Bilinear!$C$365</definedName>
    <definedName name="TK25_OPEN_WF" localSheetId="10">Bilinear!$C$366</definedName>
    <definedName name="TK26_CLOSE_CF" localSheetId="10">Bilinear!$C$367</definedName>
    <definedName name="TK26_CLOSE_Q" localSheetId="10">Bilinear!$C$368</definedName>
    <definedName name="TK26_CLOSE_WF" localSheetId="10">Bilinear!$C$369</definedName>
    <definedName name="TK26_DI105_CF" localSheetId="10">Bilinear!$C$370</definedName>
    <definedName name="TK26_DI105_Q" localSheetId="10">Bilinear!$C$371</definedName>
    <definedName name="TK26_DI105_WF" localSheetId="10">Bilinear!$C$372</definedName>
    <definedName name="TK26_OPEN_CF" localSheetId="10">Bilinear!$C$373</definedName>
    <definedName name="TK26_OPEN_Q" localSheetId="10">Bilinear!$C$374</definedName>
    <definedName name="TK26_OPEN_WF" localSheetId="10">Bilinear!$C$375</definedName>
    <definedName name="TK83_CHIL_Q" localSheetId="10">Bilinear!$C$376</definedName>
    <definedName name="TK83_CLOSE_Q" localSheetId="10">Bilinear!$C$377</definedName>
    <definedName name="TK83_D20_Q" localSheetId="10">Bilinear!$C$378</definedName>
    <definedName name="TK83_D25_Q" localSheetId="10">Bilinear!$C$379</definedName>
    <definedName name="TK83_MB1_Q" localSheetId="10">Bilinear!$C$380</definedName>
    <definedName name="TK83_MB2_Q" localSheetId="10">Bilinear!$C$381</definedName>
    <definedName name="TK83_MB3_Q" localSheetId="10">Bilinear!$C$382</definedName>
    <definedName name="TK83_OPEN_Q" localSheetId="10">Bilinear!$C$383</definedName>
    <definedName name="TK83_TANK_Q" localSheetId="10">Bilinear!$C$384</definedName>
    <definedName name="TKC_PIPE_CF" localSheetId="10">Bilinear!$C$385</definedName>
    <definedName name="TKC_PIPE_Q" localSheetId="10">Bilinear!$C$386</definedName>
    <definedName name="TKC_PIPE_WF" localSheetId="10">Bilinear!$C$387</definedName>
    <definedName name="treat_gas" localSheetId="4">'Simple Linear Problem'!$I$5</definedName>
    <definedName name="treat_gas">'Test1 Problem'!$I$5</definedName>
    <definedName name="treat_gas_dens">'Simple  Mass Volume Problem'!$Q$5</definedName>
    <definedName name="treat_gas_mass">'Simple  Mass Volume Problem'!$H$5</definedName>
    <definedName name="treat_gas_vol">'Simple  Mass Volume Problem'!$K$5</definedName>
    <definedName name="World_Feed" localSheetId="7">'Simple  Mass Volume Problem'!$C$10</definedName>
    <definedName name="World_Feed">'Simple Linear Problem'!$C$10</definedName>
    <definedName name="World_Product" localSheetId="7">'Simple  Mass Volume Problem'!$E$10</definedName>
    <definedName name="World_Product">'Simple Linear Problem'!$E$10</definedName>
  </definedNames>
  <calcPr calcId="125725"/>
</workbook>
</file>

<file path=xl/calcChain.xml><?xml version="1.0" encoding="utf-8"?>
<calcChain xmlns="http://schemas.openxmlformats.org/spreadsheetml/2006/main">
  <c r="G6" i="4"/>
  <c r="G5" a="1"/>
  <c r="G5"/>
  <c r="G4"/>
  <c r="G2"/>
  <c r="E6"/>
  <c r="E5" a="1"/>
  <c r="E5"/>
  <c r="E4"/>
  <c r="E2"/>
  <c r="O5" i="9"/>
  <c r="O4" a="1"/>
  <c r="O3"/>
  <c r="C7" i="4"/>
  <c r="C6" a="1"/>
  <c r="C6"/>
  <c r="C5" a="1"/>
  <c r="C5"/>
  <c r="C4"/>
  <c r="H5" i="13"/>
  <c r="H4" a="1"/>
  <c r="H4"/>
  <c r="H3"/>
  <c r="J386" i="14"/>
  <c r="I386"/>
  <c r="H386"/>
  <c r="G386"/>
  <c r="C386" a="1"/>
  <c r="C386" s="1"/>
  <c r="H385"/>
  <c r="G385"/>
  <c r="C385" a="1"/>
  <c r="C385" s="1"/>
  <c r="J384"/>
  <c r="I384"/>
  <c r="H384"/>
  <c r="G384"/>
  <c r="C384"/>
  <c r="C384" a="1"/>
  <c r="C383" a="1"/>
  <c r="C383" s="1"/>
  <c r="J382"/>
  <c r="I382"/>
  <c r="H382"/>
  <c r="G382"/>
  <c r="C382" a="1"/>
  <c r="C382" s="1"/>
  <c r="H381"/>
  <c r="G381"/>
  <c r="C381" a="1"/>
  <c r="C381" s="1"/>
  <c r="J380"/>
  <c r="I380"/>
  <c r="H380"/>
  <c r="G380"/>
  <c r="C380"/>
  <c r="C380" a="1"/>
  <c r="H379"/>
  <c r="G379"/>
  <c r="C379" a="1"/>
  <c r="C379" s="1"/>
  <c r="J378"/>
  <c r="I378"/>
  <c r="H378"/>
  <c r="G378"/>
  <c r="C378" a="1"/>
  <c r="C378" s="1"/>
  <c r="C377" a="1"/>
  <c r="C377" s="1"/>
  <c r="J376"/>
  <c r="I376"/>
  <c r="H376"/>
  <c r="G376"/>
  <c r="C376"/>
  <c r="C376" a="1"/>
  <c r="H375"/>
  <c r="G375"/>
  <c r="C375" a="1"/>
  <c r="C375" s="1"/>
  <c r="J374"/>
  <c r="I374"/>
  <c r="H374"/>
  <c r="G374"/>
  <c r="C374" a="1"/>
  <c r="C374" s="1"/>
  <c r="H373"/>
  <c r="G373"/>
  <c r="C373" a="1"/>
  <c r="C373" s="1"/>
  <c r="J372"/>
  <c r="I372"/>
  <c r="H372"/>
  <c r="G372"/>
  <c r="C372" a="1"/>
  <c r="C372" s="1"/>
  <c r="C371" a="1"/>
  <c r="C371" s="1"/>
  <c r="J370"/>
  <c r="I370"/>
  <c r="H370"/>
  <c r="G370"/>
  <c r="C370" a="1"/>
  <c r="C370" s="1"/>
  <c r="H369"/>
  <c r="G369"/>
  <c r="C369" a="1"/>
  <c r="C369" s="1"/>
  <c r="J368"/>
  <c r="I368"/>
  <c r="H368"/>
  <c r="G368"/>
  <c r="C368" a="1"/>
  <c r="C368" s="1"/>
  <c r="H367"/>
  <c r="G367"/>
  <c r="C367" a="1"/>
  <c r="C367" s="1"/>
  <c r="J366"/>
  <c r="I366"/>
  <c r="H366"/>
  <c r="G366"/>
  <c r="C366" a="1"/>
  <c r="C366" s="1"/>
  <c r="H365"/>
  <c r="G365"/>
  <c r="C365" a="1"/>
  <c r="C365" s="1"/>
  <c r="J364"/>
  <c r="I364"/>
  <c r="H364"/>
  <c r="G364"/>
  <c r="C364"/>
  <c r="C364" a="1"/>
  <c r="H363"/>
  <c r="G363"/>
  <c r="C363" a="1"/>
  <c r="C363" s="1"/>
  <c r="C362" a="1"/>
  <c r="C362" s="1"/>
  <c r="H361"/>
  <c r="G361"/>
  <c r="C361" a="1"/>
  <c r="C361" s="1"/>
  <c r="J360"/>
  <c r="I360"/>
  <c r="H360"/>
  <c r="G360"/>
  <c r="C360" a="1"/>
  <c r="C360" s="1"/>
  <c r="H359"/>
  <c r="G359"/>
  <c r="C359" a="1"/>
  <c r="C359" s="1"/>
  <c r="J358"/>
  <c r="I358"/>
  <c r="H358"/>
  <c r="G358"/>
  <c r="C358" a="1"/>
  <c r="C358" s="1"/>
  <c r="H357"/>
  <c r="G357"/>
  <c r="C357" a="1"/>
  <c r="C357" s="1"/>
  <c r="J356"/>
  <c r="I356"/>
  <c r="H356"/>
  <c r="G356"/>
  <c r="C356"/>
  <c r="C356" a="1"/>
  <c r="H355"/>
  <c r="G355"/>
  <c r="C355" a="1"/>
  <c r="C355" s="1"/>
  <c r="J354"/>
  <c r="I354"/>
  <c r="H354"/>
  <c r="G354"/>
  <c r="C354" a="1"/>
  <c r="C354" s="1"/>
  <c r="C353" a="1"/>
  <c r="C353" s="1"/>
  <c r="J352"/>
  <c r="I352"/>
  <c r="H352"/>
  <c r="G352"/>
  <c r="C352"/>
  <c r="C352" a="1"/>
  <c r="H351"/>
  <c r="G351"/>
  <c r="C351" a="1"/>
  <c r="C351" s="1"/>
  <c r="J350"/>
  <c r="I350"/>
  <c r="H350"/>
  <c r="G350"/>
  <c r="C350" a="1"/>
  <c r="C350" s="1"/>
  <c r="H349"/>
  <c r="G349"/>
  <c r="C349" a="1"/>
  <c r="C349" s="1"/>
  <c r="J348"/>
  <c r="I348"/>
  <c r="H348"/>
  <c r="G348"/>
  <c r="C348" a="1"/>
  <c r="C348" s="1"/>
  <c r="H347"/>
  <c r="G347"/>
  <c r="C347" a="1"/>
  <c r="C347" s="1"/>
  <c r="J346"/>
  <c r="I346"/>
  <c r="H346"/>
  <c r="G346"/>
  <c r="C346"/>
  <c r="C346" a="1"/>
  <c r="H345"/>
  <c r="G345"/>
  <c r="C345" a="1"/>
  <c r="C345" s="1"/>
  <c r="C344"/>
  <c r="C344" a="1"/>
  <c r="H343"/>
  <c r="G343"/>
  <c r="C343" a="1"/>
  <c r="C343" s="1"/>
  <c r="J342"/>
  <c r="I342"/>
  <c r="H342"/>
  <c r="G342"/>
  <c r="C342" a="1"/>
  <c r="C342" s="1"/>
  <c r="H341"/>
  <c r="G341"/>
  <c r="C341" a="1"/>
  <c r="C341" s="1"/>
  <c r="J340"/>
  <c r="I340"/>
  <c r="H340"/>
  <c r="G340"/>
  <c r="C340" a="1"/>
  <c r="C340" s="1"/>
  <c r="H339"/>
  <c r="G339"/>
  <c r="C339" a="1"/>
  <c r="C339" s="1"/>
  <c r="C338" a="1"/>
  <c r="C338" s="1"/>
  <c r="C337" a="1"/>
  <c r="C337" s="1"/>
  <c r="C336" a="1"/>
  <c r="C336" s="1"/>
  <c r="C335" a="1"/>
  <c r="C335" s="1"/>
  <c r="J334"/>
  <c r="I334"/>
  <c r="H334"/>
  <c r="G334"/>
  <c r="C334" a="1"/>
  <c r="C334" s="1"/>
  <c r="H333"/>
  <c r="G333"/>
  <c r="C333" a="1"/>
  <c r="C333" s="1"/>
  <c r="C332" a="1"/>
  <c r="C332" s="1"/>
  <c r="H331"/>
  <c r="G331"/>
  <c r="C331" a="1"/>
  <c r="C331" s="1"/>
  <c r="C330"/>
  <c r="C330" a="1"/>
  <c r="H329"/>
  <c r="G329"/>
  <c r="C329" a="1"/>
  <c r="C329" s="1"/>
  <c r="C328"/>
  <c r="C328" a="1"/>
  <c r="H327"/>
  <c r="G327"/>
  <c r="C327" a="1"/>
  <c r="C327" s="1"/>
  <c r="C326" a="1"/>
  <c r="C326" s="1"/>
  <c r="H325"/>
  <c r="G325"/>
  <c r="C325" a="1"/>
  <c r="C325" s="1"/>
  <c r="J324"/>
  <c r="I324"/>
  <c r="H324"/>
  <c r="G324"/>
  <c r="C324" a="1"/>
  <c r="C324" s="1"/>
  <c r="H323"/>
  <c r="G323"/>
  <c r="C323" a="1"/>
  <c r="C323" s="1"/>
  <c r="C322"/>
  <c r="C322" a="1"/>
  <c r="H321"/>
  <c r="G321"/>
  <c r="C321" a="1"/>
  <c r="C321" s="1"/>
  <c r="C320"/>
  <c r="C320" a="1"/>
  <c r="H319"/>
  <c r="G319"/>
  <c r="C319" a="1"/>
  <c r="C319" s="1"/>
  <c r="J318"/>
  <c r="I318"/>
  <c r="H318"/>
  <c r="G318"/>
  <c r="C318" a="1"/>
  <c r="C318" s="1"/>
  <c r="C317" a="1"/>
  <c r="C317" s="1"/>
  <c r="C316"/>
  <c r="C316" a="1"/>
  <c r="H315"/>
  <c r="G315"/>
  <c r="C315" a="1"/>
  <c r="C315" s="1"/>
  <c r="C314" a="1"/>
  <c r="C314" s="1"/>
  <c r="H313"/>
  <c r="G313"/>
  <c r="C313" a="1"/>
  <c r="C313" s="1"/>
  <c r="J312"/>
  <c r="I312"/>
  <c r="H312"/>
  <c r="G312"/>
  <c r="C312" a="1"/>
  <c r="C312" s="1"/>
  <c r="H311"/>
  <c r="G311"/>
  <c r="C311" a="1"/>
  <c r="C311" s="1"/>
  <c r="C310" a="1"/>
  <c r="C310" s="1"/>
  <c r="H309"/>
  <c r="G309"/>
  <c r="C309" a="1"/>
  <c r="C309" s="1"/>
  <c r="C308"/>
  <c r="C308" a="1"/>
  <c r="H307"/>
  <c r="G307"/>
  <c r="C307" a="1"/>
  <c r="C307" s="1"/>
  <c r="C306" a="1"/>
  <c r="C306" s="1"/>
  <c r="H305"/>
  <c r="G305"/>
  <c r="C305" a="1"/>
  <c r="C305" s="1"/>
  <c r="C304" a="1"/>
  <c r="C304" s="1"/>
  <c r="H303"/>
  <c r="G303"/>
  <c r="C303" a="1"/>
  <c r="C303" s="1"/>
  <c r="C302"/>
  <c r="C302" a="1"/>
  <c r="H301"/>
  <c r="G301"/>
  <c r="C301" a="1"/>
  <c r="C301" s="1"/>
  <c r="J300"/>
  <c r="I300"/>
  <c r="H300"/>
  <c r="G300"/>
  <c r="C300"/>
  <c r="C300" a="1"/>
  <c r="H299"/>
  <c r="G299"/>
  <c r="C299" a="1"/>
  <c r="C299" s="1"/>
  <c r="C298" a="1"/>
  <c r="C298" s="1"/>
  <c r="H297"/>
  <c r="G297"/>
  <c r="C297" a="1"/>
  <c r="C297" s="1"/>
  <c r="C296" a="1"/>
  <c r="C296" s="1"/>
  <c r="H295"/>
  <c r="G295"/>
  <c r="C295" a="1"/>
  <c r="C295" s="1"/>
  <c r="C294" a="1"/>
  <c r="C294" s="1"/>
  <c r="H293"/>
  <c r="G293"/>
  <c r="C293" a="1"/>
  <c r="C293" s="1"/>
  <c r="C292"/>
  <c r="C292" a="1"/>
  <c r="C291" a="1"/>
  <c r="C291" s="1"/>
  <c r="C290" a="1"/>
  <c r="C290" s="1"/>
  <c r="H289"/>
  <c r="G289"/>
  <c r="C289" a="1"/>
  <c r="C289" s="1"/>
  <c r="C288"/>
  <c r="C288" a="1"/>
  <c r="C287" a="1"/>
  <c r="C287" s="1"/>
  <c r="C286" a="1"/>
  <c r="C286" s="1"/>
  <c r="H285"/>
  <c r="G285"/>
  <c r="C285" a="1"/>
  <c r="C285" s="1"/>
  <c r="C284"/>
  <c r="C284" a="1"/>
  <c r="C283" a="1"/>
  <c r="C283" s="1"/>
  <c r="C282" a="1"/>
  <c r="C282" s="1"/>
  <c r="C281" a="1"/>
  <c r="C281" s="1"/>
  <c r="J280"/>
  <c r="I280"/>
  <c r="H280"/>
  <c r="G280"/>
  <c r="C280" a="1"/>
  <c r="C280" s="1"/>
  <c r="H279"/>
  <c r="G279"/>
  <c r="C279" a="1"/>
  <c r="C279" s="1"/>
  <c r="C278"/>
  <c r="C278" a="1"/>
  <c r="H277"/>
  <c r="G277"/>
  <c r="C277" a="1"/>
  <c r="C277" s="1"/>
  <c r="J276"/>
  <c r="I276"/>
  <c r="H276"/>
  <c r="G276"/>
  <c r="C276"/>
  <c r="C276" a="1"/>
  <c r="C275" a="1"/>
  <c r="C275" s="1"/>
  <c r="J274"/>
  <c r="I274"/>
  <c r="H274"/>
  <c r="G274"/>
  <c r="C274"/>
  <c r="C274" a="1"/>
  <c r="H273"/>
  <c r="G273"/>
  <c r="C273" a="1"/>
  <c r="C273" s="1"/>
  <c r="C272"/>
  <c r="C272" a="1"/>
  <c r="H271"/>
  <c r="G271"/>
  <c r="C271" a="1"/>
  <c r="C271" s="1"/>
  <c r="J270"/>
  <c r="I270"/>
  <c r="H270"/>
  <c r="G270"/>
  <c r="C270" a="1"/>
  <c r="C270" s="1"/>
  <c r="C269" a="1"/>
  <c r="C269" s="1"/>
  <c r="J268"/>
  <c r="I268"/>
  <c r="H268"/>
  <c r="G268"/>
  <c r="C268"/>
  <c r="C268" a="1"/>
  <c r="H267"/>
  <c r="G267"/>
  <c r="C267" a="1"/>
  <c r="C267" s="1"/>
  <c r="C266" a="1"/>
  <c r="C266" s="1"/>
  <c r="H265"/>
  <c r="G265"/>
  <c r="C265" a="1"/>
  <c r="C265" s="1"/>
  <c r="J264"/>
  <c r="I264"/>
  <c r="H264"/>
  <c r="G264"/>
  <c r="C264" a="1"/>
  <c r="C264" s="1"/>
  <c r="H263"/>
  <c r="G263"/>
  <c r="C263" a="1"/>
  <c r="C263" s="1"/>
  <c r="J262"/>
  <c r="I262"/>
  <c r="H262"/>
  <c r="G262"/>
  <c r="C262" a="1"/>
  <c r="C262" s="1"/>
  <c r="H261"/>
  <c r="G261"/>
  <c r="C261" a="1"/>
  <c r="C261" s="1"/>
  <c r="J260"/>
  <c r="I260"/>
  <c r="H260"/>
  <c r="G260"/>
  <c r="C260"/>
  <c r="C260" a="1"/>
  <c r="H259"/>
  <c r="G259"/>
  <c r="C259" a="1"/>
  <c r="C259" s="1"/>
  <c r="J258"/>
  <c r="I258"/>
  <c r="H258"/>
  <c r="G258"/>
  <c r="C258" a="1"/>
  <c r="C258" s="1"/>
  <c r="H257"/>
  <c r="G257"/>
  <c r="C257" a="1"/>
  <c r="C257" s="1"/>
  <c r="J256"/>
  <c r="I256"/>
  <c r="H256"/>
  <c r="G256"/>
  <c r="C256" a="1"/>
  <c r="C256" s="1"/>
  <c r="H255"/>
  <c r="G255"/>
  <c r="C255" a="1"/>
  <c r="C255" s="1"/>
  <c r="J254"/>
  <c r="I254"/>
  <c r="H254"/>
  <c r="G254"/>
  <c r="C254"/>
  <c r="C254" a="1"/>
  <c r="H253"/>
  <c r="G253"/>
  <c r="C253" a="1"/>
  <c r="C253" s="1"/>
  <c r="J252"/>
  <c r="I252"/>
  <c r="H252"/>
  <c r="G252"/>
  <c r="C252"/>
  <c r="C252" a="1"/>
  <c r="H251"/>
  <c r="G251"/>
  <c r="C251" a="1"/>
  <c r="C251" s="1"/>
  <c r="J250"/>
  <c r="I250"/>
  <c r="H250"/>
  <c r="G250"/>
  <c r="C250" a="1"/>
  <c r="C250" s="1"/>
  <c r="H249"/>
  <c r="G249"/>
  <c r="C249" a="1"/>
  <c r="C249" s="1"/>
  <c r="J248"/>
  <c r="I248"/>
  <c r="H248"/>
  <c r="G248"/>
  <c r="C248" a="1"/>
  <c r="C248" s="1"/>
  <c r="H247"/>
  <c r="G247"/>
  <c r="C247" a="1"/>
  <c r="C247" s="1"/>
  <c r="J246"/>
  <c r="I246"/>
  <c r="H246"/>
  <c r="G246"/>
  <c r="C246" a="1"/>
  <c r="C246" s="1"/>
  <c r="H245"/>
  <c r="G245"/>
  <c r="C245" a="1"/>
  <c r="C245" s="1"/>
  <c r="J244"/>
  <c r="I244"/>
  <c r="H244"/>
  <c r="G244"/>
  <c r="C244"/>
  <c r="C244" a="1"/>
  <c r="H243"/>
  <c r="G243"/>
  <c r="C243" a="1"/>
  <c r="C243" s="1"/>
  <c r="J242"/>
  <c r="I242"/>
  <c r="H242"/>
  <c r="G242"/>
  <c r="C242" a="1"/>
  <c r="C242" s="1"/>
  <c r="H241"/>
  <c r="G241"/>
  <c r="C241" a="1"/>
  <c r="C241" s="1"/>
  <c r="J240"/>
  <c r="I240"/>
  <c r="H240"/>
  <c r="G240"/>
  <c r="C240" a="1"/>
  <c r="C240" s="1"/>
  <c r="H239"/>
  <c r="G239"/>
  <c r="C239" a="1"/>
  <c r="C239" s="1"/>
  <c r="J238"/>
  <c r="I238"/>
  <c r="H238"/>
  <c r="G238"/>
  <c r="C238"/>
  <c r="C238" a="1"/>
  <c r="H237"/>
  <c r="G237"/>
  <c r="C237" a="1"/>
  <c r="C237" s="1"/>
  <c r="J236"/>
  <c r="I236"/>
  <c r="H236"/>
  <c r="G236"/>
  <c r="C236"/>
  <c r="C236" a="1"/>
  <c r="H235"/>
  <c r="G235"/>
  <c r="C235" a="1"/>
  <c r="C235" s="1"/>
  <c r="J234"/>
  <c r="I234"/>
  <c r="H234"/>
  <c r="G234"/>
  <c r="C234" a="1"/>
  <c r="C234" s="1"/>
  <c r="H233"/>
  <c r="G233"/>
  <c r="C233" a="1"/>
  <c r="C233" s="1"/>
  <c r="C232" a="1"/>
  <c r="C232" s="1"/>
  <c r="C231" a="1"/>
  <c r="C231" s="1"/>
  <c r="C230" a="1"/>
  <c r="C230" s="1"/>
  <c r="C229" a="1"/>
  <c r="C229" s="1"/>
  <c r="J228"/>
  <c r="I228"/>
  <c r="H228"/>
  <c r="G228"/>
  <c r="C228"/>
  <c r="C228" a="1"/>
  <c r="H227"/>
  <c r="G227"/>
  <c r="C227" a="1"/>
  <c r="C227" s="1"/>
  <c r="C226" a="1"/>
  <c r="C226" s="1"/>
  <c r="H225"/>
  <c r="G225"/>
  <c r="C225" a="1"/>
  <c r="C225" s="1"/>
  <c r="J224"/>
  <c r="I224"/>
  <c r="H224"/>
  <c r="G224"/>
  <c r="C224" a="1"/>
  <c r="C224" s="1"/>
  <c r="C223" a="1"/>
  <c r="C223" s="1"/>
  <c r="C222" a="1"/>
  <c r="C222" s="1"/>
  <c r="H221"/>
  <c r="G221"/>
  <c r="C221" a="1"/>
  <c r="C221" s="1"/>
  <c r="J220"/>
  <c r="I220"/>
  <c r="H220"/>
  <c r="G220"/>
  <c r="C220" a="1"/>
  <c r="C220" s="1"/>
  <c r="C219" a="1"/>
  <c r="C219" s="1"/>
  <c r="J218"/>
  <c r="I218"/>
  <c r="H218"/>
  <c r="G218"/>
  <c r="C218" a="1"/>
  <c r="C218" s="1"/>
  <c r="H217"/>
  <c r="G217"/>
  <c r="C217" a="1"/>
  <c r="C217" s="1"/>
  <c r="J216"/>
  <c r="I216"/>
  <c r="H216"/>
  <c r="G216"/>
  <c r="C216" a="1"/>
  <c r="C216" s="1"/>
  <c r="H215"/>
  <c r="G215"/>
  <c r="C215" a="1"/>
  <c r="C215" s="1"/>
  <c r="C214" a="1"/>
  <c r="C214" s="1"/>
  <c r="H213"/>
  <c r="G213"/>
  <c r="C213" a="1"/>
  <c r="C213" s="1"/>
  <c r="C212"/>
  <c r="C212" a="1"/>
  <c r="C211" a="1"/>
  <c r="C211" s="1"/>
  <c r="C210" a="1"/>
  <c r="C210" s="1"/>
  <c r="H209"/>
  <c r="G209"/>
  <c r="C209" a="1"/>
  <c r="C209" s="1"/>
  <c r="C208"/>
  <c r="C208" a="1"/>
  <c r="C207" a="1"/>
  <c r="C207" s="1"/>
  <c r="J206"/>
  <c r="I206"/>
  <c r="H206"/>
  <c r="G206"/>
  <c r="C206" a="1"/>
  <c r="C206" s="1"/>
  <c r="C205" a="1"/>
  <c r="C205" s="1"/>
  <c r="C204" a="1"/>
  <c r="C204" s="1"/>
  <c r="C203" a="1"/>
  <c r="C203" s="1"/>
  <c r="C202" a="1"/>
  <c r="C202" s="1"/>
  <c r="C201" a="1"/>
  <c r="C201" s="1"/>
  <c r="J200"/>
  <c r="I200"/>
  <c r="H200"/>
  <c r="G200"/>
  <c r="C200"/>
  <c r="C200" a="1"/>
  <c r="C199" a="1"/>
  <c r="C199" s="1"/>
  <c r="J198"/>
  <c r="I198"/>
  <c r="H198"/>
  <c r="G198"/>
  <c r="C198"/>
  <c r="C198" a="1"/>
  <c r="C197" a="1"/>
  <c r="C197" s="1"/>
  <c r="J196"/>
  <c r="I196"/>
  <c r="H196"/>
  <c r="G196"/>
  <c r="C196" a="1"/>
  <c r="C196" s="1"/>
  <c r="C195" a="1"/>
  <c r="C195" s="1"/>
  <c r="J194"/>
  <c r="I194"/>
  <c r="H194"/>
  <c r="G194"/>
  <c r="C194" a="1"/>
  <c r="C194" s="1"/>
  <c r="H193"/>
  <c r="G193"/>
  <c r="C193" a="1"/>
  <c r="C193" s="1"/>
  <c r="J192"/>
  <c r="I192"/>
  <c r="H192"/>
  <c r="G192"/>
  <c r="C192" a="1"/>
  <c r="C192" s="1"/>
  <c r="C191" a="1"/>
  <c r="C191" s="1"/>
  <c r="J190"/>
  <c r="I190"/>
  <c r="H190"/>
  <c r="G190"/>
  <c r="C190" a="1"/>
  <c r="C190" s="1"/>
  <c r="H189"/>
  <c r="G189"/>
  <c r="C189" a="1"/>
  <c r="C189" s="1"/>
  <c r="C188" a="1"/>
  <c r="C188" s="1"/>
  <c r="H187"/>
  <c r="G187"/>
  <c r="C187" a="1"/>
  <c r="C187" s="1"/>
  <c r="J186"/>
  <c r="I186"/>
  <c r="H186"/>
  <c r="G186"/>
  <c r="C186"/>
  <c r="C186" a="1"/>
  <c r="C185" a="1"/>
  <c r="C185" s="1"/>
  <c r="J184"/>
  <c r="I184"/>
  <c r="H184"/>
  <c r="G184"/>
  <c r="C184" a="1"/>
  <c r="C184" s="1"/>
  <c r="H183"/>
  <c r="G183"/>
  <c r="C183" a="1"/>
  <c r="C183" s="1"/>
  <c r="C182" a="1"/>
  <c r="C182" s="1"/>
  <c r="C181" a="1"/>
  <c r="C181" s="1"/>
  <c r="C180" a="1"/>
  <c r="C180" s="1"/>
  <c r="C179" a="1"/>
  <c r="C179" s="1"/>
  <c r="J178"/>
  <c r="I178"/>
  <c r="H178"/>
  <c r="G178"/>
  <c r="C178" a="1"/>
  <c r="C178" s="1"/>
  <c r="C177" a="1"/>
  <c r="C177" s="1"/>
  <c r="C176"/>
  <c r="C176" a="1"/>
  <c r="C175" a="1"/>
  <c r="C175" s="1"/>
  <c r="C174"/>
  <c r="C174" a="1"/>
  <c r="C173" a="1"/>
  <c r="C173" s="1"/>
  <c r="C172" a="1"/>
  <c r="C172" s="1"/>
  <c r="H171"/>
  <c r="G171"/>
  <c r="C171" a="1"/>
  <c r="C171" s="1"/>
  <c r="J170"/>
  <c r="I170"/>
  <c r="H170"/>
  <c r="G170"/>
  <c r="C170"/>
  <c r="C170" a="1"/>
  <c r="H169"/>
  <c r="G169"/>
  <c r="C169" a="1"/>
  <c r="C169" s="1"/>
  <c r="C168"/>
  <c r="C168" a="1"/>
  <c r="H167"/>
  <c r="G167"/>
  <c r="C167" a="1"/>
  <c r="C167" s="1"/>
  <c r="C166" a="1"/>
  <c r="C166" s="1"/>
  <c r="C165" a="1"/>
  <c r="C165" s="1"/>
  <c r="J164"/>
  <c r="I164"/>
  <c r="H164"/>
  <c r="G164"/>
  <c r="C164"/>
  <c r="C164" a="1"/>
  <c r="C163" a="1"/>
  <c r="C163" s="1"/>
  <c r="C162" a="1"/>
  <c r="C162" s="1"/>
  <c r="C161" a="1"/>
  <c r="C161" s="1"/>
  <c r="C160" a="1"/>
  <c r="C160" s="1"/>
  <c r="C159" a="1"/>
  <c r="C159" s="1"/>
  <c r="C158" a="1"/>
  <c r="C158" s="1"/>
  <c r="H157"/>
  <c r="G157"/>
  <c r="C157" a="1"/>
  <c r="C157" s="1"/>
  <c r="J156"/>
  <c r="I156"/>
  <c r="H156"/>
  <c r="G156"/>
  <c r="C156" a="1"/>
  <c r="C156" s="1"/>
  <c r="H155"/>
  <c r="G155"/>
  <c r="C155" a="1"/>
  <c r="C155" s="1"/>
  <c r="C154"/>
  <c r="C154" a="1"/>
  <c r="H153"/>
  <c r="G153"/>
  <c r="C153" a="1"/>
  <c r="C153" s="1"/>
  <c r="C152"/>
  <c r="C152" a="1"/>
  <c r="C151" a="1"/>
  <c r="C151" s="1"/>
  <c r="J150"/>
  <c r="I150"/>
  <c r="H150"/>
  <c r="G150"/>
  <c r="C150"/>
  <c r="C150" a="1"/>
  <c r="I148"/>
  <c r="H148"/>
  <c r="G148"/>
  <c r="I147"/>
  <c r="H147"/>
  <c r="G147"/>
  <c r="I146"/>
  <c r="H146"/>
  <c r="G146"/>
  <c r="I145"/>
  <c r="H145"/>
  <c r="G145"/>
  <c r="I144"/>
  <c r="H144"/>
  <c r="G144"/>
  <c r="I143"/>
  <c r="H143"/>
  <c r="G143"/>
  <c r="I142"/>
  <c r="H142"/>
  <c r="G142"/>
  <c r="I141"/>
  <c r="H141"/>
  <c r="G141"/>
  <c r="I140"/>
  <c r="H140"/>
  <c r="G140"/>
  <c r="I139"/>
  <c r="H139"/>
  <c r="G139"/>
  <c r="I138"/>
  <c r="H138"/>
  <c r="G138"/>
  <c r="I137"/>
  <c r="H137"/>
  <c r="G137"/>
  <c r="I136"/>
  <c r="H136"/>
  <c r="G136"/>
  <c r="I135"/>
  <c r="H135"/>
  <c r="G135"/>
  <c r="I134"/>
  <c r="H134"/>
  <c r="G134"/>
  <c r="I133"/>
  <c r="H133"/>
  <c r="G133"/>
  <c r="I132"/>
  <c r="H132"/>
  <c r="G132"/>
  <c r="I131"/>
  <c r="H131"/>
  <c r="G131"/>
  <c r="I130"/>
  <c r="H130"/>
  <c r="G130"/>
  <c r="I129"/>
  <c r="H129"/>
  <c r="G129"/>
  <c r="I128"/>
  <c r="H128"/>
  <c r="G128"/>
  <c r="I127"/>
  <c r="H127"/>
  <c r="G127"/>
  <c r="I126"/>
  <c r="H126"/>
  <c r="G126"/>
  <c r="I125"/>
  <c r="H125"/>
  <c r="G125"/>
  <c r="I124"/>
  <c r="H124"/>
  <c r="G124"/>
  <c r="I123"/>
  <c r="H123"/>
  <c r="G123"/>
  <c r="I122"/>
  <c r="H122"/>
  <c r="G122"/>
  <c r="I121"/>
  <c r="H121"/>
  <c r="G121"/>
  <c r="I120"/>
  <c r="H120"/>
  <c r="G120"/>
  <c r="I119"/>
  <c r="H119"/>
  <c r="G119"/>
  <c r="I118"/>
  <c r="H118"/>
  <c r="G118"/>
  <c r="I117"/>
  <c r="H117"/>
  <c r="G117"/>
  <c r="I116"/>
  <c r="H116"/>
  <c r="G116"/>
  <c r="I115"/>
  <c r="H115"/>
  <c r="G115"/>
  <c r="I114"/>
  <c r="H114"/>
  <c r="G114"/>
  <c r="I113"/>
  <c r="H113"/>
  <c r="G113"/>
  <c r="I112"/>
  <c r="H112"/>
  <c r="G112"/>
  <c r="I111"/>
  <c r="H111"/>
  <c r="G111"/>
  <c r="I110"/>
  <c r="H110"/>
  <c r="G110"/>
  <c r="I109"/>
  <c r="H109"/>
  <c r="G109"/>
  <c r="I108"/>
  <c r="H108"/>
  <c r="G108"/>
  <c r="I107"/>
  <c r="H107"/>
  <c r="G107"/>
  <c r="I106"/>
  <c r="H106"/>
  <c r="G106"/>
  <c r="I105"/>
  <c r="H105"/>
  <c r="G105"/>
  <c r="I104"/>
  <c r="H104"/>
  <c r="G104"/>
  <c r="I103"/>
  <c r="H103"/>
  <c r="G103"/>
  <c r="I102"/>
  <c r="H102"/>
  <c r="G102"/>
  <c r="I101"/>
  <c r="H101"/>
  <c r="G101"/>
  <c r="I100"/>
  <c r="H100"/>
  <c r="G100"/>
  <c r="I99"/>
  <c r="H99"/>
  <c r="G99"/>
  <c r="I98"/>
  <c r="H98"/>
  <c r="G98"/>
  <c r="I97"/>
  <c r="H97"/>
  <c r="G97"/>
  <c r="I96"/>
  <c r="H96"/>
  <c r="G96"/>
  <c r="I95"/>
  <c r="H95"/>
  <c r="G95"/>
  <c r="I94"/>
  <c r="H94"/>
  <c r="G94"/>
  <c r="I93"/>
  <c r="H93"/>
  <c r="G93"/>
  <c r="I91"/>
  <c r="H91"/>
  <c r="G91"/>
  <c r="I90"/>
  <c r="H90"/>
  <c r="G90"/>
  <c r="I89"/>
  <c r="H89"/>
  <c r="G89"/>
  <c r="I88"/>
  <c r="H88"/>
  <c r="G88"/>
  <c r="I87"/>
  <c r="H87"/>
  <c r="G87"/>
  <c r="I86"/>
  <c r="H86"/>
  <c r="G86"/>
  <c r="I85"/>
  <c r="H85"/>
  <c r="G85"/>
  <c r="I84"/>
  <c r="H84"/>
  <c r="G84"/>
  <c r="I83"/>
  <c r="H83"/>
  <c r="G83"/>
  <c r="I82"/>
  <c r="H82"/>
  <c r="G82"/>
  <c r="I81"/>
  <c r="H81"/>
  <c r="G81"/>
  <c r="I80"/>
  <c r="H80"/>
  <c r="G80"/>
  <c r="I79"/>
  <c r="H79"/>
  <c r="G79"/>
  <c r="I78"/>
  <c r="H78"/>
  <c r="G78"/>
  <c r="I77"/>
  <c r="H77"/>
  <c r="G77"/>
  <c r="I76"/>
  <c r="H76"/>
  <c r="G76"/>
  <c r="I75"/>
  <c r="H75"/>
  <c r="G75"/>
  <c r="I74"/>
  <c r="H74"/>
  <c r="G74"/>
  <c r="I73"/>
  <c r="H73"/>
  <c r="G73"/>
  <c r="I72"/>
  <c r="H72"/>
  <c r="G72"/>
  <c r="I71"/>
  <c r="H71"/>
  <c r="G71"/>
  <c r="I70"/>
  <c r="H70"/>
  <c r="G70"/>
  <c r="I69"/>
  <c r="H69"/>
  <c r="G69"/>
  <c r="I68"/>
  <c r="H68"/>
  <c r="G68"/>
  <c r="I67"/>
  <c r="H67"/>
  <c r="G67"/>
  <c r="I66"/>
  <c r="H66"/>
  <c r="G66"/>
  <c r="I65"/>
  <c r="H65"/>
  <c r="G65"/>
  <c r="I64"/>
  <c r="H64"/>
  <c r="G64"/>
  <c r="I63"/>
  <c r="H63"/>
  <c r="G63"/>
  <c r="I62"/>
  <c r="H62"/>
  <c r="G62"/>
  <c r="I61"/>
  <c r="H61"/>
  <c r="G61"/>
  <c r="I60"/>
  <c r="H60"/>
  <c r="G60"/>
  <c r="I59"/>
  <c r="H59"/>
  <c r="G59"/>
  <c r="I58"/>
  <c r="H58"/>
  <c r="G58"/>
  <c r="I57"/>
  <c r="H57"/>
  <c r="G57"/>
  <c r="I56"/>
  <c r="H56"/>
  <c r="G56"/>
  <c r="I55"/>
  <c r="H55"/>
  <c r="G55"/>
  <c r="I54"/>
  <c r="H54"/>
  <c r="G54"/>
  <c r="I53"/>
  <c r="H53"/>
  <c r="G53"/>
  <c r="I52"/>
  <c r="H52"/>
  <c r="G52"/>
  <c r="I51"/>
  <c r="H51"/>
  <c r="G51"/>
  <c r="I50"/>
  <c r="H50"/>
  <c r="G50"/>
  <c r="I49"/>
  <c r="H49"/>
  <c r="G49"/>
  <c r="I48"/>
  <c r="H48"/>
  <c r="G48"/>
  <c r="I47"/>
  <c r="H47"/>
  <c r="G47"/>
  <c r="I46"/>
  <c r="H46"/>
  <c r="G46"/>
  <c r="I45"/>
  <c r="H45"/>
  <c r="G45"/>
  <c r="I44"/>
  <c r="H44"/>
  <c r="G44"/>
  <c r="I43"/>
  <c r="H43"/>
  <c r="G43"/>
  <c r="I42"/>
  <c r="H42"/>
  <c r="G42"/>
  <c r="I41"/>
  <c r="H41"/>
  <c r="G41"/>
  <c r="I40"/>
  <c r="H40"/>
  <c r="G40"/>
  <c r="I39"/>
  <c r="H39"/>
  <c r="G39"/>
  <c r="I38"/>
  <c r="H38"/>
  <c r="G38"/>
  <c r="I37"/>
  <c r="H37"/>
  <c r="G37"/>
  <c r="I36"/>
  <c r="H36"/>
  <c r="G36"/>
  <c r="I35"/>
  <c r="H35"/>
  <c r="G35"/>
  <c r="I34"/>
  <c r="H34"/>
  <c r="G34"/>
  <c r="I33"/>
  <c r="H33"/>
  <c r="G33"/>
  <c r="I32"/>
  <c r="H32"/>
  <c r="G32"/>
  <c r="I31"/>
  <c r="H31"/>
  <c r="G31"/>
  <c r="I30"/>
  <c r="H30"/>
  <c r="G30"/>
  <c r="I29"/>
  <c r="H29"/>
  <c r="G29"/>
  <c r="I28"/>
  <c r="H28"/>
  <c r="G28"/>
  <c r="I27"/>
  <c r="H27"/>
  <c r="G27"/>
  <c r="I26"/>
  <c r="H26"/>
  <c r="G26"/>
  <c r="I25"/>
  <c r="H25"/>
  <c r="G25"/>
  <c r="I24"/>
  <c r="H24"/>
  <c r="G24"/>
  <c r="I23"/>
  <c r="H23"/>
  <c r="G23"/>
  <c r="I22"/>
  <c r="H22"/>
  <c r="G22"/>
  <c r="I21"/>
  <c r="H21"/>
  <c r="G21"/>
  <c r="I20"/>
  <c r="H20"/>
  <c r="G20"/>
  <c r="I19"/>
  <c r="H19"/>
  <c r="G19"/>
  <c r="I18"/>
  <c r="H18"/>
  <c r="G18"/>
  <c r="I17"/>
  <c r="H17"/>
  <c r="G17"/>
  <c r="I16"/>
  <c r="H16"/>
  <c r="G16"/>
  <c r="I15"/>
  <c r="H15"/>
  <c r="G15"/>
  <c r="I14"/>
  <c r="H14"/>
  <c r="G14"/>
  <c r="I13"/>
  <c r="H13"/>
  <c r="G13"/>
  <c r="I12"/>
  <c r="H12"/>
  <c r="G12"/>
  <c r="I11"/>
  <c r="H11"/>
  <c r="G11"/>
  <c r="I10"/>
  <c r="H10"/>
  <c r="G10"/>
  <c r="I9"/>
  <c r="H9"/>
  <c r="G9"/>
  <c r="I8"/>
  <c r="H8"/>
  <c r="G8"/>
  <c r="I7"/>
  <c r="H7"/>
  <c r="G7"/>
  <c r="I6"/>
  <c r="H6"/>
  <c r="G6"/>
  <c r="I5"/>
  <c r="H5"/>
  <c r="G5"/>
  <c r="I4"/>
  <c r="H4"/>
  <c r="G4"/>
  <c r="I3"/>
  <c r="H3"/>
  <c r="G3"/>
  <c r="I2"/>
  <c r="H2"/>
  <c r="G2"/>
  <c r="C387" i="13"/>
  <c r="C26" s="1"/>
  <c r="C387" a="1"/>
  <c r="C386" a="1"/>
  <c r="C386" s="1"/>
  <c r="C385" a="1"/>
  <c r="C385" s="1"/>
  <c r="C24" s="1"/>
  <c r="C384" a="1"/>
  <c r="C384" s="1"/>
  <c r="C383" a="1"/>
  <c r="C383" s="1"/>
  <c r="E92" s="1"/>
  <c r="C382" a="1"/>
  <c r="C382" s="1"/>
  <c r="C381"/>
  <c r="C381" a="1"/>
  <c r="C380" a="1"/>
  <c r="C380" s="1"/>
  <c r="C379" a="1"/>
  <c r="C379" s="1"/>
  <c r="C378" a="1"/>
  <c r="C378" s="1"/>
  <c r="C377" a="1"/>
  <c r="C377" s="1"/>
  <c r="C376" a="1"/>
  <c r="C376" s="1"/>
  <c r="C375" a="1"/>
  <c r="C375" s="1"/>
  <c r="C374" a="1"/>
  <c r="C374" s="1"/>
  <c r="C373"/>
  <c r="C373" a="1"/>
  <c r="C372" a="1"/>
  <c r="C372" s="1"/>
  <c r="C371"/>
  <c r="C371" a="1"/>
  <c r="C370" a="1"/>
  <c r="C370" s="1"/>
  <c r="C369" a="1"/>
  <c r="C369" s="1"/>
  <c r="E148" s="1"/>
  <c r="C368" a="1"/>
  <c r="C368" s="1"/>
  <c r="C367" a="1"/>
  <c r="C367" s="1"/>
  <c r="E147" s="1"/>
  <c r="C366" a="1"/>
  <c r="C366" s="1"/>
  <c r="C365"/>
  <c r="C365" a="1"/>
  <c r="C364" a="1"/>
  <c r="C364" s="1"/>
  <c r="C363" a="1"/>
  <c r="C363" s="1"/>
  <c r="C146" s="1"/>
  <c r="C362" a="1"/>
  <c r="C362" s="1"/>
  <c r="C361" a="1"/>
  <c r="C361" s="1"/>
  <c r="C145" s="1"/>
  <c r="C360" a="1"/>
  <c r="C360" s="1"/>
  <c r="C359" a="1"/>
  <c r="C359" s="1"/>
  <c r="C358" a="1"/>
  <c r="C358" s="1"/>
  <c r="E145" s="1"/>
  <c r="C357"/>
  <c r="C357" a="1"/>
  <c r="C356" a="1"/>
  <c r="C356" s="1"/>
  <c r="C355"/>
  <c r="C355" a="1"/>
  <c r="C354" a="1"/>
  <c r="C354" s="1"/>
  <c r="C353" a="1"/>
  <c r="C353" s="1"/>
  <c r="C352" a="1"/>
  <c r="C352" s="1"/>
  <c r="C143" s="1"/>
  <c r="C351" a="1"/>
  <c r="C351" s="1"/>
  <c r="E144" s="1"/>
  <c r="F144" s="1"/>
  <c r="C350" a="1"/>
  <c r="C350" s="1"/>
  <c r="C349"/>
  <c r="C349" a="1"/>
  <c r="C348" a="1"/>
  <c r="C348" s="1"/>
  <c r="C347" a="1"/>
  <c r="C347" s="1"/>
  <c r="C346" a="1"/>
  <c r="C346" s="1"/>
  <c r="C345" a="1"/>
  <c r="C345" s="1"/>
  <c r="C344" a="1"/>
  <c r="C344" s="1"/>
  <c r="C343" a="1"/>
  <c r="C343" s="1"/>
  <c r="C141" s="1"/>
  <c r="C342" a="1"/>
  <c r="C342" s="1"/>
  <c r="E142" s="1"/>
  <c r="C341"/>
  <c r="C341" a="1"/>
  <c r="C340" a="1"/>
  <c r="C340" s="1"/>
  <c r="C339"/>
  <c r="C75" s="1"/>
  <c r="C339" a="1"/>
  <c r="C338" a="1"/>
  <c r="C338" s="1"/>
  <c r="C337" a="1"/>
  <c r="C337" s="1"/>
  <c r="C336" a="1"/>
  <c r="C336" s="1"/>
  <c r="C335" a="1"/>
  <c r="C335" s="1"/>
  <c r="C334" a="1"/>
  <c r="C334" s="1"/>
  <c r="C333"/>
  <c r="C69" s="1"/>
  <c r="F69" s="1"/>
  <c r="C333" a="1"/>
  <c r="C332" a="1"/>
  <c r="C332" s="1"/>
  <c r="C331" a="1"/>
  <c r="C331" s="1"/>
  <c r="C330" a="1"/>
  <c r="C330" s="1"/>
  <c r="C329" a="1"/>
  <c r="C329" s="1"/>
  <c r="C328" a="1"/>
  <c r="C328" s="1"/>
  <c r="C327" a="1"/>
  <c r="C327" s="1"/>
  <c r="C326" a="1"/>
  <c r="C326" s="1"/>
  <c r="C325"/>
  <c r="C325" a="1"/>
  <c r="C324" a="1"/>
  <c r="C324" s="1"/>
  <c r="C323"/>
  <c r="C323" a="1"/>
  <c r="C322" a="1"/>
  <c r="C322" s="1"/>
  <c r="C321" a="1"/>
  <c r="C321" s="1"/>
  <c r="E139" s="1"/>
  <c r="F139" s="1"/>
  <c r="C320" a="1"/>
  <c r="C320" s="1"/>
  <c r="E75" s="1"/>
  <c r="F75" s="1"/>
  <c r="C319" a="1"/>
  <c r="C319" s="1"/>
  <c r="C318" a="1"/>
  <c r="C318" s="1"/>
  <c r="C317"/>
  <c r="E63" s="1"/>
  <c r="F63" s="1"/>
  <c r="C317" a="1"/>
  <c r="C316" a="1"/>
  <c r="C316" s="1"/>
  <c r="C63" s="1"/>
  <c r="C315" a="1"/>
  <c r="C315" s="1"/>
  <c r="E69" s="1"/>
  <c r="C314" a="1"/>
  <c r="C314" s="1"/>
  <c r="C313" a="1"/>
  <c r="C313" s="1"/>
  <c r="C312" a="1"/>
  <c r="C312" s="1"/>
  <c r="C311" a="1"/>
  <c r="C311" s="1"/>
  <c r="C310" a="1"/>
  <c r="C310" s="1"/>
  <c r="C309"/>
  <c r="E137" s="1"/>
  <c r="C309" a="1"/>
  <c r="C308" a="1"/>
  <c r="C308" s="1"/>
  <c r="C307"/>
  <c r="C307" a="1"/>
  <c r="C306" a="1"/>
  <c r="C306" s="1"/>
  <c r="C305" a="1"/>
  <c r="C305" s="1"/>
  <c r="C304" a="1"/>
  <c r="C304" s="1"/>
  <c r="C303" a="1"/>
  <c r="C303" s="1"/>
  <c r="C302" a="1"/>
  <c r="C302" s="1"/>
  <c r="C301"/>
  <c r="C301" a="1"/>
  <c r="C300" a="1"/>
  <c r="C300" s="1"/>
  <c r="C299" a="1"/>
  <c r="C299" s="1"/>
  <c r="C298" a="1"/>
  <c r="C298" s="1"/>
  <c r="C297" a="1"/>
  <c r="C297" s="1"/>
  <c r="C296" a="1"/>
  <c r="C296" s="1"/>
  <c r="E116" s="1"/>
  <c r="C295" a="1"/>
  <c r="C295" s="1"/>
  <c r="C294" a="1"/>
  <c r="C294" s="1"/>
  <c r="C293"/>
  <c r="C293" a="1"/>
  <c r="C292" a="1"/>
  <c r="C292" s="1"/>
  <c r="C291"/>
  <c r="C76" s="1"/>
  <c r="C291" a="1"/>
  <c r="C290" a="1"/>
  <c r="C290" s="1"/>
  <c r="C289" a="1"/>
  <c r="C289" s="1"/>
  <c r="C43" s="1"/>
  <c r="C288" a="1"/>
  <c r="C288" s="1"/>
  <c r="C287" a="1"/>
  <c r="C287" s="1"/>
  <c r="C286" a="1"/>
  <c r="C286" s="1"/>
  <c r="C285"/>
  <c r="C285" a="1"/>
  <c r="C284" a="1"/>
  <c r="C284" s="1"/>
  <c r="C283" a="1"/>
  <c r="C283" s="1"/>
  <c r="C282" a="1"/>
  <c r="C282" s="1"/>
  <c r="C281" a="1"/>
  <c r="C281" s="1"/>
  <c r="E134" s="1"/>
  <c r="C280" a="1"/>
  <c r="C280" s="1"/>
  <c r="C279" a="1"/>
  <c r="C279" s="1"/>
  <c r="E132" s="1"/>
  <c r="C278" a="1"/>
  <c r="C278" s="1"/>
  <c r="C277"/>
  <c r="C277" a="1"/>
  <c r="C276" a="1"/>
  <c r="C276" s="1"/>
  <c r="C275"/>
  <c r="E130" s="1"/>
  <c r="C275" a="1"/>
  <c r="C274" a="1"/>
  <c r="C274" s="1"/>
  <c r="C273" a="1"/>
  <c r="C273" s="1"/>
  <c r="C272"/>
  <c r="E125" s="1"/>
  <c r="C272" a="1"/>
  <c r="C271" a="1"/>
  <c r="C271" s="1"/>
  <c r="C270"/>
  <c r="E123" s="1"/>
  <c r="C270" a="1"/>
  <c r="C269" a="1"/>
  <c r="C269" s="1"/>
  <c r="C268"/>
  <c r="C268" a="1"/>
  <c r="C267" a="1"/>
  <c r="C267" s="1"/>
  <c r="E124" s="1"/>
  <c r="C266"/>
  <c r="E121" s="1"/>
  <c r="C266" a="1"/>
  <c r="C265" a="1"/>
  <c r="C265" s="1"/>
  <c r="E22" s="1"/>
  <c r="C264"/>
  <c r="E119" s="1"/>
  <c r="C264" a="1"/>
  <c r="C263" a="1"/>
  <c r="C263" s="1"/>
  <c r="C262"/>
  <c r="C45" s="1"/>
  <c r="C262" a="1"/>
  <c r="C261" a="1"/>
  <c r="C261" s="1"/>
  <c r="E120" s="1"/>
  <c r="C260"/>
  <c r="C260" a="1"/>
  <c r="C259" a="1"/>
  <c r="C259" s="1"/>
  <c r="C258"/>
  <c r="C258" a="1"/>
  <c r="C257" a="1"/>
  <c r="C257" s="1"/>
  <c r="C256"/>
  <c r="C256" a="1"/>
  <c r="C255" a="1"/>
  <c r="C255" s="1"/>
  <c r="C254"/>
  <c r="C254" a="1"/>
  <c r="C253" a="1"/>
  <c r="C253" s="1"/>
  <c r="C252"/>
  <c r="C252" a="1"/>
  <c r="C251" a="1"/>
  <c r="C251" s="1"/>
  <c r="C250"/>
  <c r="C250" a="1"/>
  <c r="C249" a="1"/>
  <c r="C249" s="1"/>
  <c r="C248"/>
  <c r="C248" a="1"/>
  <c r="C247" a="1"/>
  <c r="C247" s="1"/>
  <c r="C246"/>
  <c r="C44" s="1"/>
  <c r="F44" s="1"/>
  <c r="C246" a="1"/>
  <c r="C245" a="1"/>
  <c r="C245" s="1"/>
  <c r="C244"/>
  <c r="C244" a="1"/>
  <c r="C243" a="1"/>
  <c r="C243" s="1"/>
  <c r="C242"/>
  <c r="C242" a="1"/>
  <c r="C241" a="1"/>
  <c r="C241" s="1"/>
  <c r="C240"/>
  <c r="C117" s="1"/>
  <c r="F117" s="1"/>
  <c r="C240" a="1"/>
  <c r="C239" a="1"/>
  <c r="C239" s="1"/>
  <c r="C238"/>
  <c r="E42" s="1"/>
  <c r="C238" a="1"/>
  <c r="C237" a="1"/>
  <c r="C237" s="1"/>
  <c r="C236"/>
  <c r="C236" a="1"/>
  <c r="C235" a="1"/>
  <c r="C235" s="1"/>
  <c r="C234"/>
  <c r="E117" s="1"/>
  <c r="C234" a="1"/>
  <c r="C233" a="1"/>
  <c r="C233" s="1"/>
  <c r="C232"/>
  <c r="C232" a="1"/>
  <c r="C231" a="1"/>
  <c r="C231" s="1"/>
  <c r="C230"/>
  <c r="C72" s="1"/>
  <c r="C230" a="1"/>
  <c r="C229" a="1"/>
  <c r="C229" s="1"/>
  <c r="C228"/>
  <c r="C228" a="1"/>
  <c r="C227" a="1"/>
  <c r="C227" s="1"/>
  <c r="C226"/>
  <c r="C226" a="1"/>
  <c r="C225" a="1"/>
  <c r="C225" s="1"/>
  <c r="C224"/>
  <c r="E44" s="1"/>
  <c r="C224" a="1"/>
  <c r="C223" a="1"/>
  <c r="C223" s="1"/>
  <c r="C222"/>
  <c r="C222" a="1"/>
  <c r="C221" a="1"/>
  <c r="C221" s="1"/>
  <c r="C220"/>
  <c r="C220" a="1"/>
  <c r="C219" a="1"/>
  <c r="C219" s="1"/>
  <c r="C218"/>
  <c r="C218" a="1"/>
  <c r="C217" a="1"/>
  <c r="C217" s="1"/>
  <c r="E36" s="1"/>
  <c r="C216"/>
  <c r="C216" a="1"/>
  <c r="C215" a="1"/>
  <c r="C215" s="1"/>
  <c r="C116" s="1"/>
  <c r="F116" s="1"/>
  <c r="C214"/>
  <c r="E66" s="1"/>
  <c r="C214" a="1"/>
  <c r="C213" a="1"/>
  <c r="C213" s="1"/>
  <c r="C212"/>
  <c r="C115" s="1"/>
  <c r="F115" s="1"/>
  <c r="C212" a="1"/>
  <c r="C211" a="1"/>
  <c r="C211" s="1"/>
  <c r="C210"/>
  <c r="C112" s="1"/>
  <c r="C210" a="1"/>
  <c r="C209" a="1"/>
  <c r="C209" s="1"/>
  <c r="C114" s="1"/>
  <c r="C208"/>
  <c r="C208" a="1"/>
  <c r="C207" a="1"/>
  <c r="C207" s="1"/>
  <c r="C111" s="1"/>
  <c r="C206"/>
  <c r="E101" s="1"/>
  <c r="C206" a="1"/>
  <c r="C205" a="1"/>
  <c r="C205" s="1"/>
  <c r="C204"/>
  <c r="E100" s="1"/>
  <c r="C204" a="1"/>
  <c r="C203" a="1"/>
  <c r="C203" s="1"/>
  <c r="C202"/>
  <c r="C202" a="1"/>
  <c r="C201" a="1"/>
  <c r="C201" s="1"/>
  <c r="C100" s="1"/>
  <c r="C200"/>
  <c r="C101" s="1"/>
  <c r="C200" a="1"/>
  <c r="C199" a="1"/>
  <c r="C199" s="1"/>
  <c r="C198"/>
  <c r="C99" s="1"/>
  <c r="C198" a="1"/>
  <c r="C197" a="1"/>
  <c r="C197" s="1"/>
  <c r="C196"/>
  <c r="C196" a="1"/>
  <c r="C195" a="1"/>
  <c r="C195" s="1"/>
  <c r="C194"/>
  <c r="C194" a="1"/>
  <c r="C193" a="1"/>
  <c r="C193" s="1"/>
  <c r="C192"/>
  <c r="E109" s="1"/>
  <c r="C192" a="1"/>
  <c r="C191" a="1"/>
  <c r="C191" s="1"/>
  <c r="E108" s="1"/>
  <c r="C190"/>
  <c r="C190" a="1"/>
  <c r="C189" a="1"/>
  <c r="C189" s="1"/>
  <c r="C188"/>
  <c r="C188" a="1"/>
  <c r="C187" a="1"/>
  <c r="C187" s="1"/>
  <c r="C186"/>
  <c r="E105" s="1"/>
  <c r="C186" a="1"/>
  <c r="C185" a="1"/>
  <c r="C185" s="1"/>
  <c r="E104" s="1"/>
  <c r="C184"/>
  <c r="C184" a="1"/>
  <c r="C183" a="1"/>
  <c r="C183" s="1"/>
  <c r="C182"/>
  <c r="C11" s="1"/>
  <c r="C182" a="1"/>
  <c r="C181" a="1"/>
  <c r="C181" s="1"/>
  <c r="C180"/>
  <c r="E9" s="1"/>
  <c r="C180" a="1"/>
  <c r="C179" a="1"/>
  <c r="C179" s="1"/>
  <c r="C96" s="1"/>
  <c r="C178"/>
  <c r="C178" a="1"/>
  <c r="C177" a="1"/>
  <c r="C177" s="1"/>
  <c r="C176"/>
  <c r="C176" a="1"/>
  <c r="C175" a="1"/>
  <c r="C175" s="1"/>
  <c r="C174"/>
  <c r="C174" a="1"/>
  <c r="C173" a="1"/>
  <c r="C173" s="1"/>
  <c r="C172"/>
  <c r="C172" a="1"/>
  <c r="C171" a="1"/>
  <c r="C171" s="1"/>
  <c r="C170"/>
  <c r="C98" s="1"/>
  <c r="C170" a="1"/>
  <c r="C169" a="1"/>
  <c r="C169" s="1"/>
  <c r="C168"/>
  <c r="C168" a="1"/>
  <c r="C167" a="1"/>
  <c r="C167" s="1"/>
  <c r="C166"/>
  <c r="C166" a="1"/>
  <c r="C165" a="1"/>
  <c r="C165" s="1"/>
  <c r="C5" s="1"/>
  <c r="C164"/>
  <c r="C164" a="1"/>
  <c r="C163" a="1"/>
  <c r="C163" s="1"/>
  <c r="C162"/>
  <c r="C162" a="1"/>
  <c r="C161" a="1"/>
  <c r="C161" s="1"/>
  <c r="C122" s="1"/>
  <c r="F122" s="1"/>
  <c r="C160"/>
  <c r="C160" a="1"/>
  <c r="C159" a="1"/>
  <c r="C159" s="1"/>
  <c r="C158"/>
  <c r="E6" s="1"/>
  <c r="C158" a="1"/>
  <c r="C157" a="1"/>
  <c r="C157" s="1"/>
  <c r="C156"/>
  <c r="C156" a="1"/>
  <c r="C155" a="1"/>
  <c r="C155" s="1"/>
  <c r="C154"/>
  <c r="C154" a="1"/>
  <c r="C153" a="1"/>
  <c r="C153" s="1"/>
  <c r="C95" s="1"/>
  <c r="C152"/>
  <c r="C152" a="1"/>
  <c r="C151" a="1"/>
  <c r="C151" s="1"/>
  <c r="F148"/>
  <c r="C148"/>
  <c r="C147"/>
  <c r="E146"/>
  <c r="C144"/>
  <c r="C142"/>
  <c r="E141"/>
  <c r="C139"/>
  <c r="E138"/>
  <c r="C138"/>
  <c r="C137"/>
  <c r="F137" s="1"/>
  <c r="E135"/>
  <c r="F135" s="1"/>
  <c r="C135"/>
  <c r="C134"/>
  <c r="F134" s="1"/>
  <c r="E133"/>
  <c r="C133"/>
  <c r="E131"/>
  <c r="C130"/>
  <c r="C129"/>
  <c r="E127"/>
  <c r="E126"/>
  <c r="C126"/>
  <c r="F126" s="1"/>
  <c r="C125"/>
  <c r="E122"/>
  <c r="E118"/>
  <c r="C118"/>
  <c r="F118" s="1"/>
  <c r="E115"/>
  <c r="E114"/>
  <c r="C113"/>
  <c r="E110"/>
  <c r="C110"/>
  <c r="E107"/>
  <c r="E106"/>
  <c r="C105"/>
  <c r="F105" s="1"/>
  <c r="E103"/>
  <c r="C102"/>
  <c r="E99"/>
  <c r="C97"/>
  <c r="E94"/>
  <c r="C93"/>
  <c r="E91"/>
  <c r="C89"/>
  <c r="E86"/>
  <c r="C86"/>
  <c r="C81"/>
  <c r="C78"/>
  <c r="C77"/>
  <c r="C74"/>
  <c r="C73"/>
  <c r="E71"/>
  <c r="C70"/>
  <c r="E67"/>
  <c r="C65"/>
  <c r="E62"/>
  <c r="C62"/>
  <c r="E59"/>
  <c r="C57"/>
  <c r="E54"/>
  <c r="E50"/>
  <c r="C49"/>
  <c r="E46"/>
  <c r="E43"/>
  <c r="E38"/>
  <c r="C38"/>
  <c r="C37"/>
  <c r="C33"/>
  <c r="E30"/>
  <c r="C29"/>
  <c r="C25"/>
  <c r="C22"/>
  <c r="C21"/>
  <c r="E19"/>
  <c r="E18"/>
  <c r="E14"/>
  <c r="C14"/>
  <c r="C13"/>
  <c r="E11"/>
  <c r="E10"/>
  <c r="E5"/>
  <c r="C17" i="10"/>
  <c r="Q15" a="1"/>
  <c r="Q15" s="1"/>
  <c r="K15" a="1"/>
  <c r="K15" s="1"/>
  <c r="Q14" a="1"/>
  <c r="Q14" s="1"/>
  <c r="H14" s="1"/>
  <c r="K14" a="1"/>
  <c r="K14" s="1"/>
  <c r="Q13" a="1"/>
  <c r="Q13" s="1"/>
  <c r="K13" a="1"/>
  <c r="K13" s="1"/>
  <c r="Q12" a="1"/>
  <c r="Q12" s="1"/>
  <c r="K12"/>
  <c r="K12" a="1"/>
  <c r="Q11"/>
  <c r="Q11" a="1"/>
  <c r="K11" a="1"/>
  <c r="K11" s="1"/>
  <c r="Q10"/>
  <c r="Q10" a="1"/>
  <c r="K10" a="1"/>
  <c r="K10" s="1"/>
  <c r="Q9"/>
  <c r="H9" s="1"/>
  <c r="C5" s="1"/>
  <c r="Q9" a="1"/>
  <c r="K9" a="1"/>
  <c r="K9" s="1"/>
  <c r="Q8"/>
  <c r="Q8" a="1"/>
  <c r="K8" a="1"/>
  <c r="K8" s="1"/>
  <c r="H8"/>
  <c r="Q7"/>
  <c r="Q7" a="1"/>
  <c r="K7" a="1"/>
  <c r="K7" s="1"/>
  <c r="H7" s="1"/>
  <c r="Q6"/>
  <c r="Q6" a="1"/>
  <c r="K6" a="1"/>
  <c r="K6" s="1"/>
  <c r="H6" s="1"/>
  <c r="Q5"/>
  <c r="Q5" a="1"/>
  <c r="K5" a="1"/>
  <c r="K5" s="1"/>
  <c r="H5"/>
  <c r="Q4"/>
  <c r="Q4" a="1"/>
  <c r="K4" a="1"/>
  <c r="K4" s="1"/>
  <c r="I10" i="9"/>
  <c r="I10" a="1"/>
  <c r="I8" a="1"/>
  <c r="I8" s="1"/>
  <c r="C5" s="1"/>
  <c r="F5" s="1"/>
  <c r="E8"/>
  <c r="I7"/>
  <c r="I7" a="1"/>
  <c r="E7"/>
  <c r="I6" a="1"/>
  <c r="I6" s="1"/>
  <c r="E6"/>
  <c r="I5"/>
  <c r="I5" a="1"/>
  <c r="E5"/>
  <c r="I4" a="1"/>
  <c r="I4" s="1"/>
  <c r="E4"/>
  <c r="I3"/>
  <c r="I3" a="1"/>
  <c r="E3"/>
  <c r="C3"/>
  <c r="C17" i="8"/>
  <c r="I15" a="1"/>
  <c r="I15" s="1"/>
  <c r="I14" a="1"/>
  <c r="I14" s="1"/>
  <c r="E9" s="1"/>
  <c r="I13" a="1"/>
  <c r="I13" s="1"/>
  <c r="I12" a="1"/>
  <c r="I12" s="1"/>
  <c r="C10" s="1"/>
  <c r="I11" a="1"/>
  <c r="I11" s="1"/>
  <c r="I10"/>
  <c r="C6" s="1"/>
  <c r="I10" a="1"/>
  <c r="I9"/>
  <c r="I9" a="1"/>
  <c r="I8" a="1"/>
  <c r="I8" s="1"/>
  <c r="I7" a="1"/>
  <c r="I7" s="1"/>
  <c r="I6"/>
  <c r="C4" s="1"/>
  <c r="C16" s="1" a="1"/>
  <c r="C16" s="1"/>
  <c r="I6" a="1"/>
  <c r="I5"/>
  <c r="I5" a="1"/>
  <c r="C5"/>
  <c r="I4" a="1"/>
  <c r="I4" s="1"/>
  <c r="F4"/>
  <c r="E4"/>
  <c r="C516" i="7" a="1"/>
  <c r="C516" s="1"/>
  <c r="C201" s="1"/>
  <c r="C515"/>
  <c r="C515" a="1"/>
  <c r="C514" a="1"/>
  <c r="C514" s="1"/>
  <c r="C513"/>
  <c r="C513" a="1"/>
  <c r="C512" a="1"/>
  <c r="C512" s="1"/>
  <c r="C197" s="1"/>
  <c r="C511"/>
  <c r="C511" a="1"/>
  <c r="C510" a="1"/>
  <c r="C510" s="1"/>
  <c r="K507"/>
  <c r="C507" a="1"/>
  <c r="C507" s="1"/>
  <c r="K506"/>
  <c r="C506"/>
  <c r="C506" a="1"/>
  <c r="K505"/>
  <c r="C505"/>
  <c r="C193" s="1"/>
  <c r="C505" a="1"/>
  <c r="K504"/>
  <c r="C504" a="1"/>
  <c r="C504" s="1"/>
  <c r="C165" s="1"/>
  <c r="K503"/>
  <c r="C503" a="1"/>
  <c r="C503" s="1"/>
  <c r="K502"/>
  <c r="C502"/>
  <c r="C164" s="1"/>
  <c r="C502" a="1"/>
  <c r="K501"/>
  <c r="C501"/>
  <c r="C191" s="1"/>
  <c r="C501" a="1"/>
  <c r="K500"/>
  <c r="C500" a="1"/>
  <c r="C500" s="1"/>
  <c r="K499"/>
  <c r="C499" a="1"/>
  <c r="C499" s="1"/>
  <c r="C109" s="1"/>
  <c r="K498"/>
  <c r="C498"/>
  <c r="C498" a="1"/>
  <c r="K497"/>
  <c r="C497"/>
  <c r="C189" s="1"/>
  <c r="C497" a="1"/>
  <c r="K496"/>
  <c r="C496" a="1"/>
  <c r="C496" s="1"/>
  <c r="C161" s="1"/>
  <c r="K495"/>
  <c r="C495" a="1"/>
  <c r="C495" s="1"/>
  <c r="K494"/>
  <c r="C494"/>
  <c r="C494" a="1"/>
  <c r="K493"/>
  <c r="C493"/>
  <c r="C92" s="1"/>
  <c r="C493" a="1"/>
  <c r="K492"/>
  <c r="C492" a="1"/>
  <c r="C492" s="1"/>
  <c r="K491"/>
  <c r="C491" a="1"/>
  <c r="C491" s="1"/>
  <c r="K490"/>
  <c r="C490"/>
  <c r="C490" a="1"/>
  <c r="K489"/>
  <c r="C489"/>
  <c r="C489" a="1"/>
  <c r="K488"/>
  <c r="C488" a="1"/>
  <c r="C488" s="1"/>
  <c r="C310" s="1"/>
  <c r="K487"/>
  <c r="C487" a="1"/>
  <c r="C487" s="1"/>
  <c r="K486"/>
  <c r="C486"/>
  <c r="C486" a="1"/>
  <c r="K485"/>
  <c r="C485"/>
  <c r="C307" s="1"/>
  <c r="C485" a="1"/>
  <c r="K484"/>
  <c r="C484" a="1"/>
  <c r="C484" s="1"/>
  <c r="K483"/>
  <c r="C483" a="1"/>
  <c r="C483" s="1"/>
  <c r="C306" s="1"/>
  <c r="K482"/>
  <c r="C482"/>
  <c r="C482" a="1"/>
  <c r="K481"/>
  <c r="C481"/>
  <c r="C481" a="1"/>
  <c r="K480"/>
  <c r="C480" a="1"/>
  <c r="C480" s="1"/>
  <c r="C131" s="1"/>
  <c r="K479"/>
  <c r="C479" a="1"/>
  <c r="C479" s="1"/>
  <c r="K478"/>
  <c r="C478"/>
  <c r="C478" a="1"/>
  <c r="K477"/>
  <c r="C477"/>
  <c r="C477" a="1"/>
  <c r="K476"/>
  <c r="C476" a="1"/>
  <c r="C476" s="1"/>
  <c r="K475"/>
  <c r="C475" a="1"/>
  <c r="C475" s="1"/>
  <c r="K474"/>
  <c r="C474"/>
  <c r="C474" a="1"/>
  <c r="K473"/>
  <c r="C473"/>
  <c r="C473" a="1"/>
  <c r="K472"/>
  <c r="C472" a="1"/>
  <c r="C472" s="1"/>
  <c r="C296" s="1"/>
  <c r="K471"/>
  <c r="C471" a="1"/>
  <c r="C471" s="1"/>
  <c r="K470"/>
  <c r="C470"/>
  <c r="C470" a="1"/>
  <c r="K469"/>
  <c r="C469"/>
  <c r="C293" s="1"/>
  <c r="C469" a="1"/>
  <c r="K468"/>
  <c r="C468" a="1"/>
  <c r="C468" s="1"/>
  <c r="K467"/>
  <c r="C467" a="1"/>
  <c r="C467" s="1"/>
  <c r="K466"/>
  <c r="C466"/>
  <c r="C466" a="1"/>
  <c r="K465"/>
  <c r="C465"/>
  <c r="C465" a="1"/>
  <c r="K464"/>
  <c r="C464" a="1"/>
  <c r="C464" s="1"/>
  <c r="C289" s="1"/>
  <c r="K463"/>
  <c r="C463" a="1"/>
  <c r="C463" s="1"/>
  <c r="K462"/>
  <c r="C462"/>
  <c r="C462" a="1"/>
  <c r="K461"/>
  <c r="C461"/>
  <c r="C286" s="1"/>
  <c r="C461" a="1"/>
  <c r="K460"/>
  <c r="C460" a="1"/>
  <c r="C460" s="1"/>
  <c r="K459"/>
  <c r="C459" a="1"/>
  <c r="C459" s="1"/>
  <c r="C285" s="1"/>
  <c r="K458"/>
  <c r="C458"/>
  <c r="C458" a="1"/>
  <c r="K457"/>
  <c r="C457"/>
  <c r="C457" a="1"/>
  <c r="K456"/>
  <c r="C456"/>
  <c r="C456" a="1"/>
  <c r="K455"/>
  <c r="C455" a="1"/>
  <c r="C455" s="1"/>
  <c r="C281" s="1"/>
  <c r="K454"/>
  <c r="C454"/>
  <c r="C454" a="1"/>
  <c r="K453"/>
  <c r="C453"/>
  <c r="C453" a="1"/>
  <c r="K452"/>
  <c r="C452"/>
  <c r="C452" a="1"/>
  <c r="K451"/>
  <c r="C451" a="1"/>
  <c r="C451" s="1"/>
  <c r="K450"/>
  <c r="C450"/>
  <c r="C277" s="1"/>
  <c r="C450" a="1"/>
  <c r="K449"/>
  <c r="C449"/>
  <c r="C276" s="1"/>
  <c r="C449" a="1"/>
  <c r="K448"/>
  <c r="C448" a="1"/>
  <c r="C448" s="1"/>
  <c r="C275" s="1"/>
  <c r="K447"/>
  <c r="C447" a="1"/>
  <c r="C447" s="1"/>
  <c r="K446"/>
  <c r="C446"/>
  <c r="C273" s="1"/>
  <c r="C446" a="1"/>
  <c r="K445"/>
  <c r="C445" a="1"/>
  <c r="C445" s="1"/>
  <c r="K444"/>
  <c r="C444"/>
  <c r="C444" a="1"/>
  <c r="K443"/>
  <c r="C443" a="1"/>
  <c r="C443" s="1"/>
  <c r="C271" s="1"/>
  <c r="K442"/>
  <c r="C442"/>
  <c r="C442" a="1"/>
  <c r="K441"/>
  <c r="C441"/>
  <c r="C269" s="1"/>
  <c r="C441" a="1"/>
  <c r="K440"/>
  <c r="C440"/>
  <c r="C440" a="1"/>
  <c r="K439"/>
  <c r="C439" a="1"/>
  <c r="C439" s="1"/>
  <c r="K438"/>
  <c r="C438"/>
  <c r="C266" s="1"/>
  <c r="C438" a="1"/>
  <c r="K437"/>
  <c r="C437"/>
  <c r="C265" s="1"/>
  <c r="C437" a="1"/>
  <c r="K436"/>
  <c r="C436" a="1"/>
  <c r="C436" s="1"/>
  <c r="K435"/>
  <c r="C435" a="1"/>
  <c r="C435" s="1"/>
  <c r="K434"/>
  <c r="C434"/>
  <c r="C434" a="1"/>
  <c r="K433"/>
  <c r="C433" a="1"/>
  <c r="C433" s="1"/>
  <c r="K432"/>
  <c r="C432" a="1"/>
  <c r="C432" s="1"/>
  <c r="C261" s="1"/>
  <c r="K431"/>
  <c r="C431" a="1"/>
  <c r="C431" s="1"/>
  <c r="C260" s="1"/>
  <c r="K430"/>
  <c r="C430"/>
  <c r="C259" s="1"/>
  <c r="C430" a="1"/>
  <c r="K429"/>
  <c r="C429" a="1"/>
  <c r="C429" s="1"/>
  <c r="C100" s="1"/>
  <c r="G5" s="1" a="1"/>
  <c r="G5" s="1"/>
  <c r="K428"/>
  <c r="C428"/>
  <c r="C428" a="1"/>
  <c r="K427"/>
  <c r="C427" a="1"/>
  <c r="C427" s="1"/>
  <c r="C257" s="1"/>
  <c r="K426"/>
  <c r="C426"/>
  <c r="C426" a="1"/>
  <c r="K425"/>
  <c r="C425"/>
  <c r="C425" a="1"/>
  <c r="K424"/>
  <c r="C424"/>
  <c r="C254" s="1"/>
  <c r="C424" a="1"/>
  <c r="K423"/>
  <c r="C423" a="1"/>
  <c r="C423" s="1"/>
  <c r="C253" s="1"/>
  <c r="K422"/>
  <c r="C422"/>
  <c r="C422" a="1"/>
  <c r="K421"/>
  <c r="C421"/>
  <c r="C421" a="1"/>
  <c r="K420"/>
  <c r="C420"/>
  <c r="C420" a="1"/>
  <c r="K419"/>
  <c r="C419" a="1"/>
  <c r="C419" s="1"/>
  <c r="K418"/>
  <c r="C418"/>
  <c r="C159" s="1"/>
  <c r="C418" a="1"/>
  <c r="K417"/>
  <c r="C417"/>
  <c r="C417" a="1"/>
  <c r="K416"/>
  <c r="C416" a="1"/>
  <c r="C416" s="1"/>
  <c r="K415"/>
  <c r="C415" a="1"/>
  <c r="C415" s="1"/>
  <c r="C185" s="1"/>
  <c r="K414"/>
  <c r="C414"/>
  <c r="C157" s="1"/>
  <c r="C414" a="1"/>
  <c r="K413"/>
  <c r="C413" a="1"/>
  <c r="C413" s="1"/>
  <c r="K412"/>
  <c r="C412"/>
  <c r="C412" a="1"/>
  <c r="K411"/>
  <c r="C411" a="1"/>
  <c r="C411" s="1"/>
  <c r="C102" s="1"/>
  <c r="K410"/>
  <c r="C410"/>
  <c r="C410" a="1"/>
  <c r="K409"/>
  <c r="C409"/>
  <c r="C409" a="1"/>
  <c r="K408"/>
  <c r="C408"/>
  <c r="C154" s="1"/>
  <c r="C408" a="1"/>
  <c r="K407"/>
  <c r="C407" a="1"/>
  <c r="C407" s="1"/>
  <c r="C181" s="1"/>
  <c r="K406"/>
  <c r="C406"/>
  <c r="C153" s="1"/>
  <c r="C406" a="1"/>
  <c r="K405"/>
  <c r="C405"/>
  <c r="C405" a="1"/>
  <c r="K404"/>
  <c r="C404" a="1"/>
  <c r="C404" s="1"/>
  <c r="K403"/>
  <c r="C403" a="1"/>
  <c r="C403" s="1"/>
  <c r="K402"/>
  <c r="C402"/>
  <c r="C249" s="1"/>
  <c r="C402" a="1"/>
  <c r="K401"/>
  <c r="C401" a="1"/>
  <c r="C401" s="1"/>
  <c r="K400"/>
  <c r="C400" a="1"/>
  <c r="C400" s="1"/>
  <c r="K399"/>
  <c r="C399" a="1"/>
  <c r="C399" s="1"/>
  <c r="C246" s="1"/>
  <c r="K398"/>
  <c r="C398"/>
  <c r="C245" s="1"/>
  <c r="C398" a="1"/>
  <c r="K397"/>
  <c r="C397" a="1"/>
  <c r="C397" s="1"/>
  <c r="C121" s="1"/>
  <c r="K396"/>
  <c r="C396"/>
  <c r="C396" a="1"/>
  <c r="K395"/>
  <c r="C395" a="1"/>
  <c r="C395" s="1"/>
  <c r="C243" s="1"/>
  <c r="K394"/>
  <c r="C394"/>
  <c r="C394" a="1"/>
  <c r="K393"/>
  <c r="C393"/>
  <c r="C241" s="1"/>
  <c r="C393" a="1"/>
  <c r="K392"/>
  <c r="C392"/>
  <c r="C392" a="1"/>
  <c r="K391"/>
  <c r="C391" a="1"/>
  <c r="C391" s="1"/>
  <c r="C239" s="1"/>
  <c r="K390"/>
  <c r="C390"/>
  <c r="C390" a="1"/>
  <c r="K389"/>
  <c r="C389"/>
  <c r="C237" s="1"/>
  <c r="C389" a="1"/>
  <c r="K388"/>
  <c r="C388"/>
  <c r="C388" a="1"/>
  <c r="K387"/>
  <c r="C387" a="1"/>
  <c r="C387" s="1"/>
  <c r="K386"/>
  <c r="C386"/>
  <c r="C386" a="1"/>
  <c r="K385"/>
  <c r="C385"/>
  <c r="C179" s="1"/>
  <c r="C385" a="1"/>
  <c r="K384"/>
  <c r="C384" a="1"/>
  <c r="C384" s="1"/>
  <c r="C151" s="1"/>
  <c r="K383"/>
  <c r="C383" a="1"/>
  <c r="C383" s="1"/>
  <c r="K382"/>
  <c r="C382"/>
  <c r="C150" s="1"/>
  <c r="C382" a="1"/>
  <c r="K381"/>
  <c r="C381" a="1"/>
  <c r="C381" s="1"/>
  <c r="C177" s="1"/>
  <c r="K380"/>
  <c r="C380"/>
  <c r="C149" s="1"/>
  <c r="C380" a="1"/>
  <c r="K379"/>
  <c r="C379" a="1"/>
  <c r="C379" s="1"/>
  <c r="C176" s="1"/>
  <c r="K378"/>
  <c r="C378"/>
  <c r="C378" a="1"/>
  <c r="K377"/>
  <c r="C377"/>
  <c r="C175" s="1"/>
  <c r="C377" a="1"/>
  <c r="K376"/>
  <c r="C376"/>
  <c r="C376" a="1"/>
  <c r="K375"/>
  <c r="C375" a="1"/>
  <c r="C375" s="1"/>
  <c r="K374"/>
  <c r="C374"/>
  <c r="C374" a="1"/>
  <c r="K373"/>
  <c r="C373"/>
  <c r="C373" a="1"/>
  <c r="K372"/>
  <c r="C372" a="1"/>
  <c r="C372" s="1"/>
  <c r="K371"/>
  <c r="C371" a="1"/>
  <c r="C371" s="1"/>
  <c r="K370"/>
  <c r="C370"/>
  <c r="E9" s="1"/>
  <c r="C370" a="1"/>
  <c r="K369"/>
  <c r="C369" a="1"/>
  <c r="C369" s="1"/>
  <c r="K368"/>
  <c r="C368" a="1"/>
  <c r="C368" s="1"/>
  <c r="K367"/>
  <c r="C367" a="1"/>
  <c r="C367" s="1"/>
  <c r="C232" s="1"/>
  <c r="K366"/>
  <c r="C366"/>
  <c r="C115" s="1"/>
  <c r="C366" a="1"/>
  <c r="K365"/>
  <c r="C365" a="1"/>
  <c r="C365" s="1"/>
  <c r="K364"/>
  <c r="C364"/>
  <c r="C364" a="1"/>
  <c r="K363"/>
  <c r="C363" a="1"/>
  <c r="C363" s="1"/>
  <c r="C229" s="1"/>
  <c r="K362"/>
  <c r="C362"/>
  <c r="C362" a="1"/>
  <c r="K361"/>
  <c r="C361"/>
  <c r="C361" a="1"/>
  <c r="K360"/>
  <c r="C360"/>
  <c r="C360" a="1"/>
  <c r="K359"/>
  <c r="C359" a="1"/>
  <c r="C359" s="1"/>
  <c r="C225" s="1"/>
  <c r="K358"/>
  <c r="C358"/>
  <c r="C358" a="1"/>
  <c r="K357"/>
  <c r="C357"/>
  <c r="C357" a="1"/>
  <c r="K356"/>
  <c r="C356"/>
  <c r="C356" a="1"/>
  <c r="K355"/>
  <c r="C355" a="1"/>
  <c r="C355" s="1"/>
  <c r="K354"/>
  <c r="C354"/>
  <c r="C145" s="1"/>
  <c r="C354" a="1"/>
  <c r="K353"/>
  <c r="C353"/>
  <c r="C353" a="1"/>
  <c r="K352"/>
  <c r="C352" a="1"/>
  <c r="C352" s="1"/>
  <c r="C144" s="1"/>
  <c r="K351"/>
  <c r="C351" a="1"/>
  <c r="C351" s="1"/>
  <c r="K350"/>
  <c r="C350"/>
  <c r="C143" s="1"/>
  <c r="C350" a="1"/>
  <c r="K349"/>
  <c r="C349" a="1"/>
  <c r="C349" s="1"/>
  <c r="K348"/>
  <c r="C348"/>
  <c r="C348" a="1"/>
  <c r="K347"/>
  <c r="C347" a="1"/>
  <c r="C347" s="1"/>
  <c r="C169" s="1"/>
  <c r="K346"/>
  <c r="C346"/>
  <c r="C346" a="1"/>
  <c r="K345"/>
  <c r="C345"/>
  <c r="C345" a="1"/>
  <c r="K344"/>
  <c r="C344"/>
  <c r="C140" s="1"/>
  <c r="C344" a="1"/>
  <c r="K343"/>
  <c r="C343" a="1"/>
  <c r="C343" s="1"/>
  <c r="K342"/>
  <c r="C342"/>
  <c r="C139" s="1"/>
  <c r="G6" s="1" a="1"/>
  <c r="G6" s="1"/>
  <c r="C342" a="1"/>
  <c r="K341"/>
  <c r="C341"/>
  <c r="C341" a="1"/>
  <c r="K340"/>
  <c r="C340" a="1"/>
  <c r="C340" s="1"/>
  <c r="K339"/>
  <c r="C339" a="1"/>
  <c r="C339" s="1"/>
  <c r="K338"/>
  <c r="C338"/>
  <c r="C221" s="1"/>
  <c r="C338" a="1"/>
  <c r="K337"/>
  <c r="C337" a="1"/>
  <c r="C337" s="1"/>
  <c r="C220" s="1"/>
  <c r="K336"/>
  <c r="C336" a="1"/>
  <c r="C336" s="1"/>
  <c r="K335"/>
  <c r="C335" a="1"/>
  <c r="C335" s="1"/>
  <c r="C218" s="1"/>
  <c r="K334"/>
  <c r="C334"/>
  <c r="C217" s="1"/>
  <c r="C334" a="1"/>
  <c r="K333"/>
  <c r="C333" a="1"/>
  <c r="C333" s="1"/>
  <c r="C216" s="1"/>
  <c r="K332"/>
  <c r="C332"/>
  <c r="C332" a="1"/>
  <c r="K331"/>
  <c r="C331" a="1"/>
  <c r="C331" s="1"/>
  <c r="K330"/>
  <c r="C330"/>
  <c r="C330" a="1"/>
  <c r="K329"/>
  <c r="C329"/>
  <c r="C213" s="1"/>
  <c r="C329" a="1"/>
  <c r="K328"/>
  <c r="C328"/>
  <c r="C328" a="1"/>
  <c r="K327"/>
  <c r="C327"/>
  <c r="C211" s="1"/>
  <c r="C327" a="1"/>
  <c r="K326"/>
  <c r="C326" a="1"/>
  <c r="C326" s="1"/>
  <c r="K325"/>
  <c r="C325"/>
  <c r="C209" s="1"/>
  <c r="C325" a="1"/>
  <c r="K324"/>
  <c r="C324"/>
  <c r="C324" a="1"/>
  <c r="K323"/>
  <c r="C323"/>
  <c r="C208" s="1"/>
  <c r="C323" a="1"/>
  <c r="K322"/>
  <c r="C322" a="1"/>
  <c r="C322" s="1"/>
  <c r="K321"/>
  <c r="C321"/>
  <c r="C206" s="1"/>
  <c r="C321" a="1"/>
  <c r="K320"/>
  <c r="C320"/>
  <c r="C205" s="1"/>
  <c r="C320" a="1"/>
  <c r="K319"/>
  <c r="C319" a="1"/>
  <c r="C319" s="1"/>
  <c r="C204" s="1"/>
  <c r="K318"/>
  <c r="C318" a="1"/>
  <c r="C318" s="1"/>
  <c r="K317"/>
  <c r="C317"/>
  <c r="C202" s="1"/>
  <c r="C317" a="1"/>
  <c r="K316"/>
  <c r="C316" a="1"/>
  <c r="C316" s="1"/>
  <c r="C312"/>
  <c r="C311"/>
  <c r="C309"/>
  <c r="C308"/>
  <c r="C305"/>
  <c r="C304"/>
  <c r="C303"/>
  <c r="C302"/>
  <c r="C300"/>
  <c r="C299"/>
  <c r="C298"/>
  <c r="C295"/>
  <c r="C294"/>
  <c r="C292"/>
  <c r="C291"/>
  <c r="C290"/>
  <c r="C288"/>
  <c r="C287"/>
  <c r="C284"/>
  <c r="C283"/>
  <c r="C282"/>
  <c r="C280"/>
  <c r="C279"/>
  <c r="C278"/>
  <c r="C274"/>
  <c r="C272"/>
  <c r="C270"/>
  <c r="C268"/>
  <c r="C267"/>
  <c r="C264"/>
  <c r="C263"/>
  <c r="C258"/>
  <c r="C256"/>
  <c r="C255"/>
  <c r="C252"/>
  <c r="C251"/>
  <c r="C250"/>
  <c r="C247"/>
  <c r="C242"/>
  <c r="C240"/>
  <c r="C238"/>
  <c r="C236"/>
  <c r="C231"/>
  <c r="C230"/>
  <c r="C228"/>
  <c r="C227"/>
  <c r="C226"/>
  <c r="C224"/>
  <c r="C223"/>
  <c r="C222"/>
  <c r="C219"/>
  <c r="C215"/>
  <c r="C214"/>
  <c r="C212"/>
  <c r="C210"/>
  <c r="C207"/>
  <c r="C203"/>
  <c r="C200"/>
  <c r="C199"/>
  <c r="C198"/>
  <c r="C196"/>
  <c r="C195"/>
  <c r="C194"/>
  <c r="C192"/>
  <c r="C188"/>
  <c r="C187"/>
  <c r="C184"/>
  <c r="C183"/>
  <c r="C182"/>
  <c r="C180"/>
  <c r="C178"/>
  <c r="C174"/>
  <c r="C173"/>
  <c r="C172"/>
  <c r="C171"/>
  <c r="C170"/>
  <c r="C168"/>
  <c r="C167"/>
  <c r="C166"/>
  <c r="C163"/>
  <c r="C162"/>
  <c r="C160"/>
  <c r="C158"/>
  <c r="C156"/>
  <c r="C155"/>
  <c r="C152"/>
  <c r="C148"/>
  <c r="C147"/>
  <c r="C146"/>
  <c r="C142"/>
  <c r="C141"/>
  <c r="C134"/>
  <c r="C133"/>
  <c r="C132"/>
  <c r="C130"/>
  <c r="C128"/>
  <c r="C127"/>
  <c r="C124"/>
  <c r="C120"/>
  <c r="C119"/>
  <c r="C114"/>
  <c r="C112"/>
  <c r="C108"/>
  <c r="C106"/>
  <c r="C103"/>
  <c r="C97"/>
  <c r="C96"/>
  <c r="C94"/>
  <c r="E93"/>
  <c r="E91"/>
  <c r="C91"/>
  <c r="C89"/>
  <c r="C88"/>
  <c r="C87"/>
  <c r="C86"/>
  <c r="E85"/>
  <c r="C85"/>
  <c r="C84"/>
  <c r="E83"/>
  <c r="C83"/>
  <c r="C82"/>
  <c r="C81"/>
  <c r="C80"/>
  <c r="C79"/>
  <c r="C78"/>
  <c r="E77"/>
  <c r="C77"/>
  <c r="C76"/>
  <c r="E75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0"/>
  <c r="C49"/>
  <c r="C48"/>
  <c r="C47"/>
  <c r="C46"/>
  <c r="E45"/>
  <c r="C45"/>
  <c r="C44"/>
  <c r="E43"/>
  <c r="C43"/>
  <c r="C42"/>
  <c r="C41"/>
  <c r="C40"/>
  <c r="C39"/>
  <c r="C38"/>
  <c r="C37"/>
  <c r="C36"/>
  <c r="C35"/>
  <c r="E29"/>
  <c r="E27"/>
  <c r="E21"/>
  <c r="E19"/>
  <c r="C17"/>
  <c r="C16"/>
  <c r="C15"/>
  <c r="C14"/>
  <c r="E13"/>
  <c r="C13"/>
  <c r="C12"/>
  <c r="E11"/>
  <c r="C11"/>
  <c r="C10"/>
  <c r="C9"/>
  <c r="C8"/>
  <c r="G7"/>
  <c r="C7"/>
  <c r="C6"/>
  <c r="C5"/>
  <c r="C4"/>
  <c r="C3"/>
  <c r="C2"/>
  <c r="N21" i="6"/>
  <c r="I15"/>
  <c r="I15" a="1"/>
  <c r="I14"/>
  <c r="F6" s="1"/>
  <c r="I14" a="1"/>
  <c r="I13"/>
  <c r="I13" a="1"/>
  <c r="I12" a="1"/>
  <c r="I12" s="1"/>
  <c r="C10" s="1"/>
  <c r="I11"/>
  <c r="I11" a="1"/>
  <c r="I10" a="1"/>
  <c r="I10" s="1"/>
  <c r="E4" s="1"/>
  <c r="I9" a="1"/>
  <c r="I9" s="1"/>
  <c r="I8" a="1"/>
  <c r="I8" s="1"/>
  <c r="I7"/>
  <c r="I7" a="1"/>
  <c r="E7"/>
  <c r="I6" a="1"/>
  <c r="I6" s="1"/>
  <c r="F4" s="1"/>
  <c r="E6"/>
  <c r="I5" a="1"/>
  <c r="I5" s="1"/>
  <c r="I4" a="1"/>
  <c r="I4" s="1"/>
  <c r="B27" i="5"/>
  <c r="N19"/>
  <c r="F19"/>
  <c r="R17"/>
  <c r="L17"/>
  <c r="C12" a="1"/>
  <c r="C12" s="1"/>
  <c r="J19" s="1"/>
  <c r="C11" a="1"/>
  <c r="C11" s="1"/>
  <c r="R16" s="1"/>
  <c r="B26" s="1" a="1"/>
  <c r="B26" s="1"/>
  <c r="O10" a="1"/>
  <c r="O10" s="1"/>
  <c r="K10"/>
  <c r="K10" a="1"/>
  <c r="G10" a="1"/>
  <c r="G10" s="1"/>
  <c r="C10"/>
  <c r="C10" a="1"/>
  <c r="O9" a="1"/>
  <c r="O9" s="1"/>
  <c r="K9"/>
  <c r="L19" s="1"/>
  <c r="K9" a="1"/>
  <c r="G9" a="1"/>
  <c r="G9" s="1"/>
  <c r="H19" s="1"/>
  <c r="C9" a="1"/>
  <c r="C9" s="1"/>
  <c r="O8" a="1"/>
  <c r="O8" s="1"/>
  <c r="K8"/>
  <c r="N17" s="1"/>
  <c r="K8" a="1"/>
  <c r="G8" a="1"/>
  <c r="G8" s="1"/>
  <c r="H18" s="1"/>
  <c r="C8"/>
  <c r="F17" s="1"/>
  <c r="C8" a="1"/>
  <c r="O7" a="1"/>
  <c r="O7" s="1"/>
  <c r="K7"/>
  <c r="K7" a="1"/>
  <c r="G7" a="1"/>
  <c r="G7" s="1"/>
  <c r="C7" a="1"/>
  <c r="C7" s="1"/>
  <c r="O6" a="1"/>
  <c r="O6" s="1"/>
  <c r="P17" s="1"/>
  <c r="K6"/>
  <c r="N16" s="1"/>
  <c r="K6" a="1"/>
  <c r="G6" a="1"/>
  <c r="G6" s="1"/>
  <c r="H17" s="1"/>
  <c r="C6"/>
  <c r="C6" a="1"/>
  <c r="O5" a="1"/>
  <c r="O5" s="1"/>
  <c r="K5"/>
  <c r="L16" s="1"/>
  <c r="K5" a="1"/>
  <c r="G5" a="1"/>
  <c r="G5" s="1"/>
  <c r="J15" s="1"/>
  <c r="C5" a="1"/>
  <c r="C5" s="1"/>
  <c r="O4" a="1"/>
  <c r="O4" s="1"/>
  <c r="K4"/>
  <c r="L15" s="1"/>
  <c r="K4" a="1"/>
  <c r="G4" a="1"/>
  <c r="G4" s="1"/>
  <c r="H15" s="1"/>
  <c r="B24" s="1" a="1"/>
  <c r="C4"/>
  <c r="C4" a="1"/>
  <c r="G7" i="4"/>
  <c r="E7"/>
  <c r="O6" i="9"/>
  <c r="C8" i="4"/>
  <c r="G8" i="7"/>
  <c r="C18" i="8"/>
  <c r="C18" i="10"/>
  <c r="M32"/>
  <c r="K45" i="8"/>
  <c r="H6" i="13"/>
  <c r="B28" i="5"/>
  <c r="K39" i="6"/>
  <c r="N22"/>
  <c r="A10" i="4"/>
  <c r="G3" l="1"/>
  <c r="E3"/>
  <c r="C7" i="9"/>
  <c r="F7" s="1"/>
  <c r="O4"/>
  <c r="C6"/>
  <c r="F6" s="1"/>
  <c r="O2"/>
  <c r="H2" i="13"/>
  <c r="B24" i="5"/>
  <c r="F11" i="13"/>
  <c r="F99"/>
  <c r="F100"/>
  <c r="F114"/>
  <c r="F141"/>
  <c r="F147"/>
  <c r="F133"/>
  <c r="F43"/>
  <c r="F146"/>
  <c r="F110"/>
  <c r="N18" i="6"/>
  <c r="C14" i="8"/>
  <c r="B21" i="5"/>
  <c r="G2" i="7"/>
  <c r="C2" i="4" s="1"/>
  <c r="C14" i="10"/>
  <c r="D16" i="5"/>
  <c r="F15"/>
  <c r="D14" i="6"/>
  <c r="E9" s="1"/>
  <c r="N19"/>
  <c r="F9"/>
  <c r="C5"/>
  <c r="F5"/>
  <c r="E56" i="7"/>
  <c r="E54"/>
  <c r="E52"/>
  <c r="E34"/>
  <c r="E57"/>
  <c r="E55"/>
  <c r="E39"/>
  <c r="G3"/>
  <c r="E53"/>
  <c r="E51"/>
  <c r="E35"/>
  <c r="C234"/>
  <c r="C118"/>
  <c r="E8"/>
  <c r="E41"/>
  <c r="C262"/>
  <c r="F8" i="6"/>
  <c r="C7"/>
  <c r="C8"/>
  <c r="F7"/>
  <c r="C30" i="7"/>
  <c r="C31"/>
  <c r="C28"/>
  <c r="C29"/>
  <c r="C26"/>
  <c r="C32"/>
  <c r="C27"/>
  <c r="C33"/>
  <c r="E66"/>
  <c r="E64"/>
  <c r="E62"/>
  <c r="E60"/>
  <c r="E65"/>
  <c r="E71"/>
  <c r="E63"/>
  <c r="E69"/>
  <c r="E61"/>
  <c r="E67"/>
  <c r="E59"/>
  <c r="E6" i="10"/>
  <c r="C7"/>
  <c r="D19" i="5"/>
  <c r="F18"/>
  <c r="C125" i="7"/>
  <c r="C248"/>
  <c r="E10" i="6"/>
  <c r="F10"/>
  <c r="C25" i="7"/>
  <c r="C23"/>
  <c r="C20"/>
  <c r="C21"/>
  <c r="C18"/>
  <c r="C24"/>
  <c r="C19"/>
  <c r="C22"/>
  <c r="C57"/>
  <c r="C55"/>
  <c r="C52"/>
  <c r="C53"/>
  <c r="C34"/>
  <c r="C56"/>
  <c r="C51"/>
  <c r="C54"/>
  <c r="F5" i="10"/>
  <c r="B22" i="5"/>
  <c r="E5" i="8"/>
  <c r="C9"/>
  <c r="F9" s="1"/>
  <c r="C7"/>
  <c r="E6"/>
  <c r="F6" s="1"/>
  <c r="F3" i="9"/>
  <c r="E53" i="13"/>
  <c r="E52"/>
  <c r="E128"/>
  <c r="C51"/>
  <c r="E81"/>
  <c r="E80"/>
  <c r="E79"/>
  <c r="E96" i="7"/>
  <c r="E94"/>
  <c r="E92"/>
  <c r="E90"/>
  <c r="E24"/>
  <c r="E22"/>
  <c r="E20"/>
  <c r="E18"/>
  <c r="E32"/>
  <c r="E30"/>
  <c r="E28"/>
  <c r="E26"/>
  <c r="E50"/>
  <c r="E48"/>
  <c r="E46"/>
  <c r="E44"/>
  <c r="E88"/>
  <c r="E86"/>
  <c r="E84"/>
  <c r="E82"/>
  <c r="E76"/>
  <c r="E74"/>
  <c r="E16"/>
  <c r="E14"/>
  <c r="E12"/>
  <c r="E10"/>
  <c r="C8" i="9"/>
  <c r="F8" s="1"/>
  <c r="C4"/>
  <c r="F4" s="1"/>
  <c r="E45" i="13"/>
  <c r="F45" s="1"/>
  <c r="E47"/>
  <c r="E49"/>
  <c r="F49" s="1"/>
  <c r="E48"/>
  <c r="C8"/>
  <c r="E96"/>
  <c r="F96" s="1"/>
  <c r="C7"/>
  <c r="C10"/>
  <c r="F10" s="1"/>
  <c r="E8"/>
  <c r="E7"/>
  <c r="C132"/>
  <c r="F132" s="1"/>
  <c r="C131"/>
  <c r="F131" s="1"/>
  <c r="E98"/>
  <c r="F98" s="1"/>
  <c r="C20"/>
  <c r="C18"/>
  <c r="F18" s="1"/>
  <c r="C107"/>
  <c r="F107" s="1"/>
  <c r="C103"/>
  <c r="F103" s="1"/>
  <c r="C109"/>
  <c r="F109" s="1"/>
  <c r="C28"/>
  <c r="C27"/>
  <c r="E37"/>
  <c r="C36"/>
  <c r="F36" s="1"/>
  <c r="C35"/>
  <c r="E39"/>
  <c r="C34"/>
  <c r="C40"/>
  <c r="C42"/>
  <c r="F42" s="1"/>
  <c r="E129"/>
  <c r="F129" s="1"/>
  <c r="C53"/>
  <c r="F53" s="1"/>
  <c r="E29"/>
  <c r="E28"/>
  <c r="C60"/>
  <c r="E136"/>
  <c r="E72"/>
  <c r="F72" s="1"/>
  <c r="C71"/>
  <c r="F71" s="1"/>
  <c r="E143"/>
  <c r="F143" s="1"/>
  <c r="C82"/>
  <c r="E25"/>
  <c r="E24"/>
  <c r="F24" s="1"/>
  <c r="C87"/>
  <c r="C85"/>
  <c r="I263" i="14"/>
  <c r="J263"/>
  <c r="I265"/>
  <c r="J265"/>
  <c r="I295"/>
  <c r="J295"/>
  <c r="I297"/>
  <c r="J297"/>
  <c r="I373"/>
  <c r="J373"/>
  <c r="C233" i="7"/>
  <c r="C117"/>
  <c r="C301"/>
  <c r="C129"/>
  <c r="C313"/>
  <c r="C113"/>
  <c r="E113" i="13"/>
  <c r="E112"/>
  <c r="F112" s="1"/>
  <c r="E111"/>
  <c r="F111" s="1"/>
  <c r="E57"/>
  <c r="F57" s="1"/>
  <c r="E60"/>
  <c r="E58"/>
  <c r="E85"/>
  <c r="E87"/>
  <c r="I311" i="14"/>
  <c r="J311"/>
  <c r="I313"/>
  <c r="J313"/>
  <c r="E72" i="7"/>
  <c r="E70"/>
  <c r="E68"/>
  <c r="E58"/>
  <c r="E7"/>
  <c r="E6"/>
  <c r="E5"/>
  <c r="E4"/>
  <c r="E42"/>
  <c r="E40"/>
  <c r="E38"/>
  <c r="E36"/>
  <c r="C297"/>
  <c r="E80"/>
  <c r="C136" i="13"/>
  <c r="F136" s="1"/>
  <c r="C59"/>
  <c r="F59" s="1"/>
  <c r="E77"/>
  <c r="E76"/>
  <c r="F76" s="1"/>
  <c r="C58"/>
  <c r="C64"/>
  <c r="C61"/>
  <c r="E73"/>
  <c r="C66"/>
  <c r="F66" s="1"/>
  <c r="E74"/>
  <c r="C88"/>
  <c r="C90"/>
  <c r="E89"/>
  <c r="F89" s="1"/>
  <c r="E88"/>
  <c r="E90"/>
  <c r="I193" i="14"/>
  <c r="J193"/>
  <c r="I233"/>
  <c r="J233"/>
  <c r="I331"/>
  <c r="J331"/>
  <c r="I333"/>
  <c r="J333"/>
  <c r="I339"/>
  <c r="J339"/>
  <c r="I341"/>
  <c r="J341"/>
  <c r="D13" i="6"/>
  <c r="D15" s="1"/>
  <c r="C6" s="1"/>
  <c r="E8" i="10"/>
  <c r="F22" i="13"/>
  <c r="F29"/>
  <c r="F73"/>
  <c r="F16" i="5"/>
  <c r="D15"/>
  <c r="B23" s="1" a="1"/>
  <c r="B23" s="1"/>
  <c r="N15"/>
  <c r="B25" s="1" a="1"/>
  <c r="B25" s="1"/>
  <c r="J17"/>
  <c r="D18"/>
  <c r="N18"/>
  <c r="E8" i="6"/>
  <c r="E5"/>
  <c r="E37" i="7"/>
  <c r="C107"/>
  <c r="C123"/>
  <c r="C235"/>
  <c r="C105"/>
  <c r="C15" i="10"/>
  <c r="H13"/>
  <c r="F14" i="13"/>
  <c r="C17"/>
  <c r="E35"/>
  <c r="C46"/>
  <c r="F46" s="1"/>
  <c r="C54"/>
  <c r="F54" s="1"/>
  <c r="F86"/>
  <c r="F113"/>
  <c r="C121"/>
  <c r="F121" s="1"/>
  <c r="F138"/>
  <c r="C19"/>
  <c r="F19" s="1"/>
  <c r="F101"/>
  <c r="E15"/>
  <c r="E84"/>
  <c r="J16" i="5"/>
  <c r="L18"/>
  <c r="C4" i="6"/>
  <c r="N20" s="1" a="1"/>
  <c r="N20" s="1"/>
  <c r="C9"/>
  <c r="E2" i="7"/>
  <c r="G4" s="1" a="1"/>
  <c r="G4" s="1"/>
  <c r="E15"/>
  <c r="E23"/>
  <c r="E31"/>
  <c r="E47"/>
  <c r="E79"/>
  <c r="E87"/>
  <c r="C90"/>
  <c r="C93"/>
  <c r="E95"/>
  <c r="C111"/>
  <c r="C116"/>
  <c r="C122"/>
  <c r="C186"/>
  <c r="C244"/>
  <c r="E78"/>
  <c r="H4" i="10"/>
  <c r="E9" s="1"/>
  <c r="H10"/>
  <c r="H15"/>
  <c r="E5" s="1"/>
  <c r="C9" i="13"/>
  <c r="F9" s="1"/>
  <c r="E27"/>
  <c r="E34"/>
  <c r="F38"/>
  <c r="C41"/>
  <c r="F62"/>
  <c r="E78"/>
  <c r="C94"/>
  <c r="F94" s="1"/>
  <c r="F5"/>
  <c r="C50"/>
  <c r="F50" s="1"/>
  <c r="E82"/>
  <c r="H16" i="5"/>
  <c r="D17"/>
  <c r="J18"/>
  <c r="E3" i="7"/>
  <c r="E17"/>
  <c r="E25"/>
  <c r="E33"/>
  <c r="E49"/>
  <c r="E73"/>
  <c r="E81"/>
  <c r="E89"/>
  <c r="C95"/>
  <c r="E97"/>
  <c r="C104"/>
  <c r="C110"/>
  <c r="C126"/>
  <c r="C190"/>
  <c r="C101"/>
  <c r="F5" i="8"/>
  <c r="E8"/>
  <c r="C4" i="10"/>
  <c r="H11"/>
  <c r="C9" s="1"/>
  <c r="F9" s="1"/>
  <c r="H12"/>
  <c r="C10" s="1"/>
  <c r="E26" i="13"/>
  <c r="F26" s="1"/>
  <c r="C30"/>
  <c r="F30" s="1"/>
  <c r="F37"/>
  <c r="E51"/>
  <c r="E70"/>
  <c r="F70" s="1"/>
  <c r="F78"/>
  <c r="E83"/>
  <c r="E102"/>
  <c r="F102" s="1"/>
  <c r="F142"/>
  <c r="F145"/>
  <c r="E56"/>
  <c r="E55"/>
  <c r="E41"/>
  <c r="E40"/>
  <c r="C47"/>
  <c r="F47" s="1"/>
  <c r="E23"/>
  <c r="C68"/>
  <c r="E140"/>
  <c r="I183" i="14"/>
  <c r="J183"/>
  <c r="I215"/>
  <c r="J215"/>
  <c r="I217"/>
  <c r="J217"/>
  <c r="I225"/>
  <c r="J225"/>
  <c r="I247"/>
  <c r="J247"/>
  <c r="I249"/>
  <c r="J249"/>
  <c r="I359"/>
  <c r="J359"/>
  <c r="I361"/>
  <c r="J361"/>
  <c r="F25" i="13"/>
  <c r="F81"/>
  <c r="E4"/>
  <c r="E3"/>
  <c r="C124"/>
  <c r="F124" s="1"/>
  <c r="C123"/>
  <c r="F123" s="1"/>
  <c r="C128"/>
  <c r="F128" s="1"/>
  <c r="E97"/>
  <c r="F97" s="1"/>
  <c r="C127"/>
  <c r="F127" s="1"/>
  <c r="C108"/>
  <c r="F108" s="1"/>
  <c r="C104"/>
  <c r="F104" s="1"/>
  <c r="C16"/>
  <c r="E13"/>
  <c r="F13" s="1"/>
  <c r="C15"/>
  <c r="F15" s="1"/>
  <c r="E12"/>
  <c r="C52"/>
  <c r="E21"/>
  <c r="F21" s="1"/>
  <c r="C8" i="8"/>
  <c r="F8" s="1"/>
  <c r="E7"/>
  <c r="C120" i="13"/>
  <c r="F120" s="1"/>
  <c r="C119"/>
  <c r="F119" s="1"/>
  <c r="C23"/>
  <c r="E20"/>
  <c r="C32"/>
  <c r="E17"/>
  <c r="C31"/>
  <c r="E16"/>
  <c r="C56"/>
  <c r="F56" s="1"/>
  <c r="C55"/>
  <c r="C140"/>
  <c r="F140" s="1"/>
  <c r="C67"/>
  <c r="F67" s="1"/>
  <c r="C84"/>
  <c r="C83"/>
  <c r="F83" s="1"/>
  <c r="I221" i="14"/>
  <c r="J221"/>
  <c r="I279"/>
  <c r="J279"/>
  <c r="I323"/>
  <c r="J323"/>
  <c r="I325"/>
  <c r="J325"/>
  <c r="I367"/>
  <c r="J367"/>
  <c r="I369"/>
  <c r="J369"/>
  <c r="F125" i="13"/>
  <c r="C39"/>
  <c r="C15" i="8"/>
  <c r="E10"/>
  <c r="F10" s="1"/>
  <c r="E31" i="13"/>
  <c r="F74"/>
  <c r="E95"/>
  <c r="F95" s="1"/>
  <c r="C106"/>
  <c r="F106" s="1"/>
  <c r="F130"/>
  <c r="E33"/>
  <c r="F33" s="1"/>
  <c r="C12"/>
  <c r="E32"/>
  <c r="C48"/>
  <c r="F48" s="1"/>
  <c r="E93"/>
  <c r="F93" s="1"/>
  <c r="C4"/>
  <c r="C3"/>
  <c r="C6"/>
  <c r="F6" s="1"/>
  <c r="E61"/>
  <c r="E64"/>
  <c r="E65"/>
  <c r="F65" s="1"/>
  <c r="E68"/>
  <c r="C80"/>
  <c r="C79"/>
  <c r="I155" i="14"/>
  <c r="J155"/>
  <c r="I157"/>
  <c r="J157"/>
  <c r="I171"/>
  <c r="J171"/>
  <c r="I187"/>
  <c r="J187"/>
  <c r="I189"/>
  <c r="J189"/>
  <c r="I239"/>
  <c r="J239"/>
  <c r="I241"/>
  <c r="J241"/>
  <c r="I255"/>
  <c r="J255"/>
  <c r="I257"/>
  <c r="J257"/>
  <c r="I303"/>
  <c r="J303"/>
  <c r="I305"/>
  <c r="J305"/>
  <c r="I347"/>
  <c r="J347"/>
  <c r="I349"/>
  <c r="J349"/>
  <c r="F77" i="13"/>
  <c r="C91"/>
  <c r="F91" s="1"/>
  <c r="C92"/>
  <c r="F92" s="1"/>
  <c r="I153" i="14"/>
  <c r="J153"/>
  <c r="I169"/>
  <c r="J169"/>
  <c r="I209"/>
  <c r="J209"/>
  <c r="I213"/>
  <c r="J213"/>
  <c r="I237"/>
  <c r="J237"/>
  <c r="I245"/>
  <c r="J245"/>
  <c r="I253"/>
  <c r="J253"/>
  <c r="I261"/>
  <c r="J261"/>
  <c r="I273"/>
  <c r="J273"/>
  <c r="I277"/>
  <c r="J277"/>
  <c r="I285"/>
  <c r="J285"/>
  <c r="I289"/>
  <c r="J289"/>
  <c r="I293"/>
  <c r="J293"/>
  <c r="I301"/>
  <c r="J301"/>
  <c r="I309"/>
  <c r="J309"/>
  <c r="I321"/>
  <c r="J321"/>
  <c r="I329"/>
  <c r="J329"/>
  <c r="I345"/>
  <c r="J345"/>
  <c r="I357"/>
  <c r="J357"/>
  <c r="I365"/>
  <c r="J365"/>
  <c r="I381"/>
  <c r="J381"/>
  <c r="I385"/>
  <c r="J385"/>
  <c r="I167"/>
  <c r="J167"/>
  <c r="I227"/>
  <c r="J227"/>
  <c r="I235"/>
  <c r="J235"/>
  <c r="I243"/>
  <c r="J243"/>
  <c r="I251"/>
  <c r="J251"/>
  <c r="I259"/>
  <c r="J259"/>
  <c r="I267"/>
  <c r="J267"/>
  <c r="I271"/>
  <c r="J271"/>
  <c r="I299"/>
  <c r="J299"/>
  <c r="I307"/>
  <c r="J307"/>
  <c r="I315"/>
  <c r="J315"/>
  <c r="I319"/>
  <c r="J319"/>
  <c r="I327"/>
  <c r="J327"/>
  <c r="I343"/>
  <c r="J343"/>
  <c r="I351"/>
  <c r="J351"/>
  <c r="I355"/>
  <c r="J355"/>
  <c r="I363"/>
  <c r="J363"/>
  <c r="I375"/>
  <c r="J375"/>
  <c r="I379"/>
  <c r="J379"/>
  <c r="A9" i="4"/>
  <c r="A8"/>
  <c r="A8" a="1"/>
  <c r="A7"/>
  <c r="A7" a="1"/>
  <c r="F6"/>
  <c r="D6"/>
  <c r="B6"/>
  <c r="A6"/>
  <c r="A6" a="1"/>
  <c r="A5"/>
  <c r="A5" a="1"/>
  <c r="F4"/>
  <c r="D4"/>
  <c r="F5" a="1"/>
  <c r="F5" s="1"/>
  <c r="B4"/>
  <c r="A3"/>
  <c r="F2"/>
  <c r="D2"/>
  <c r="B2"/>
  <c r="A2"/>
  <c r="G1"/>
  <c r="F1"/>
  <c r="E1"/>
  <c r="D1"/>
  <c r="C1"/>
  <c r="B1"/>
  <c r="A1"/>
  <c r="D7"/>
  <c r="B7"/>
  <c r="F7"/>
  <c r="C9"/>
  <c r="C3" l="1"/>
  <c r="F80" i="13"/>
  <c r="F41"/>
  <c r="F58"/>
  <c r="F87"/>
  <c r="F60"/>
  <c r="F27"/>
  <c r="F84"/>
  <c r="F32"/>
  <c r="F52"/>
  <c r="F17"/>
  <c r="F64"/>
  <c r="F82"/>
  <c r="F34"/>
  <c r="F8"/>
  <c r="F51"/>
  <c r="B3" i="4"/>
  <c r="F3"/>
  <c r="D3"/>
  <c r="F3" i="13"/>
  <c r="F39"/>
  <c r="F68"/>
  <c r="F85"/>
  <c r="C8" i="10"/>
  <c r="F8" s="1"/>
  <c r="B5" i="4" a="1"/>
  <c r="B5" s="1"/>
  <c r="D5" a="1"/>
  <c r="D5" s="1"/>
  <c r="F31" i="13"/>
  <c r="F23"/>
  <c r="E7" i="10"/>
  <c r="F7" s="1"/>
  <c r="F90" i="13"/>
  <c r="F35"/>
  <c r="F28"/>
  <c r="F7"/>
  <c r="E4" i="10"/>
  <c r="C16" s="1" a="1"/>
  <c r="C16" s="1"/>
  <c r="C6"/>
  <c r="F6" s="1"/>
  <c r="F16" i="13"/>
  <c r="E10" i="10"/>
  <c r="F10" s="1"/>
  <c r="F79" i="13"/>
  <c r="F4"/>
  <c r="F12"/>
  <c r="F55"/>
  <c r="F88"/>
  <c r="F61"/>
  <c r="F40"/>
  <c r="F20"/>
  <c r="F7" i="8"/>
  <c r="A4" i="4" l="1"/>
  <c r="F4" i="10"/>
</calcChain>
</file>

<file path=xl/comments1.xml><?xml version="1.0" encoding="utf-8"?>
<comments xmlns="http://schemas.openxmlformats.org/spreadsheetml/2006/main">
  <authors>
    <author>PeterL</author>
  </authors>
  <commentList>
    <comment ref="I3" authorId="0">
      <text>
        <r>
          <rPr>
            <b/>
            <sz val="9"/>
            <color indexed="81"/>
            <rFont val="Tahoma"/>
            <family val="2"/>
          </rPr>
          <t>Observable_x000D_
0.00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Determined_x000D_
0.01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Determined_x000D_
-2.48</t>
        </r>
      </text>
    </comment>
    <comment ref="I6" authorId="0">
      <text>
        <r>
          <rPr>
            <b/>
            <sz val="9"/>
            <color indexed="81"/>
            <rFont val="Tahoma"/>
            <family val="2"/>
          </rPr>
          <t>Determined_x000D_
12.80</t>
        </r>
      </text>
    </comment>
    <comment ref="I7" authorId="0">
      <text>
        <r>
          <rPr>
            <b/>
            <sz val="9"/>
            <color indexed="81"/>
            <rFont val="Tahoma"/>
            <family val="2"/>
          </rPr>
          <t>Determined_x000D_
35.61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Redundant_x000D_
-0.85</t>
        </r>
      </text>
    </comment>
    <comment ref="I9" authorId="0">
      <text>
        <r>
          <rPr>
            <b/>
            <sz val="9"/>
            <color indexed="81"/>
            <rFont val="Tahoma"/>
            <family val="2"/>
          </rPr>
          <t>Observable_x000D_
0.00</t>
        </r>
      </text>
    </comment>
    <comment ref="I10" authorId="0">
      <text>
        <r>
          <rPr>
            <b/>
            <sz val="9"/>
            <color indexed="81"/>
            <rFont val="Tahoma"/>
            <family val="2"/>
          </rPr>
          <t>Observable_x000D_
0.00</t>
        </r>
      </text>
    </comment>
  </commentList>
</comments>
</file>

<file path=xl/sharedStrings.xml><?xml version="1.0" encoding="utf-8"?>
<sst xmlns="http://schemas.openxmlformats.org/spreadsheetml/2006/main" count="5006" uniqueCount="2447">
  <si>
    <t>Ammonia Reconciliation Problem</t>
  </si>
  <si>
    <t>Variables</t>
  </si>
  <si>
    <t>Nitrogen</t>
  </si>
  <si>
    <t>Hydrogen</t>
  </si>
  <si>
    <t>Argon</t>
  </si>
  <si>
    <t>Ammonia</t>
  </si>
  <si>
    <t>Stream</t>
  </si>
  <si>
    <t>Var</t>
  </si>
  <si>
    <t>Recon.</t>
  </si>
  <si>
    <t>Tol.</t>
  </si>
  <si>
    <t>Meas.</t>
  </si>
  <si>
    <t>Stream 1</t>
  </si>
  <si>
    <t>Stream 2</t>
  </si>
  <si>
    <t>Stream 3</t>
  </si>
  <si>
    <t>Stream 4</t>
  </si>
  <si>
    <t>Stream 5</t>
  </si>
  <si>
    <t>Stream 6</t>
  </si>
  <si>
    <t>Stream 7</t>
  </si>
  <si>
    <t>Reactor Eff.</t>
  </si>
  <si>
    <t>Splitter Eff.</t>
  </si>
  <si>
    <t>Constraints</t>
  </si>
  <si>
    <t>Node 1</t>
  </si>
  <si>
    <t>=</t>
  </si>
  <si>
    <t>Node 2</t>
  </si>
  <si>
    <t>Node 3</t>
  </si>
  <si>
    <t>Node 4</t>
  </si>
  <si>
    <t>Splitter</t>
  </si>
  <si>
    <t/>
  </si>
  <si>
    <t>Model Constraints</t>
  </si>
  <si>
    <t>Model Variables and Results</t>
  </si>
  <si>
    <t>Node</t>
  </si>
  <si>
    <t>Feed Flow</t>
  </si>
  <si>
    <t>Equality</t>
  </si>
  <si>
    <t>Product Flow</t>
  </si>
  <si>
    <t>Node test</t>
  </si>
  <si>
    <t>Variable</t>
  </si>
  <si>
    <t>Labeled Variable</t>
  </si>
  <si>
    <t>Solution</t>
  </si>
  <si>
    <t>Tolerance</t>
  </si>
  <si>
    <t>Estimate</t>
  </si>
  <si>
    <t>D_4</t>
  </si>
  <si>
    <t>acid_gas</t>
  </si>
  <si>
    <t>J_4</t>
  </si>
  <si>
    <t>treat_gas</t>
  </si>
  <si>
    <t>J_6</t>
  </si>
  <si>
    <t>abs_btm</t>
  </si>
  <si>
    <t>T_5</t>
  </si>
  <si>
    <t>recycle</t>
  </si>
  <si>
    <t>T_3</t>
  </si>
  <si>
    <t>lean_oil</t>
  </si>
  <si>
    <t>D_7</t>
  </si>
  <si>
    <t>abs_ovhd</t>
  </si>
  <si>
    <t>world</t>
  </si>
  <si>
    <t>fat_oil</t>
  </si>
  <si>
    <t>sep_ovhd</t>
  </si>
  <si>
    <t>Test Dependent Expressions</t>
  </si>
  <si>
    <t>sour_gas</t>
  </si>
  <si>
    <t>fuel_gas</t>
  </si>
  <si>
    <t>condensate</t>
  </si>
  <si>
    <t>bypass</t>
  </si>
  <si>
    <t>Problem Definition</t>
  </si>
  <si>
    <t>Target</t>
  </si>
  <si>
    <t>Options</t>
  </si>
  <si>
    <t>Objective</t>
  </si>
  <si>
    <t>Large Nonlinear problem</t>
  </si>
  <si>
    <t>ConstraintName</t>
  </si>
  <si>
    <t>Value</t>
  </si>
  <si>
    <t>Problem</t>
  </si>
  <si>
    <t>MB_ConcFilterFeedPump_Mass:(+0.0 = +ConcStorageTank1UnderflowStream_Mass+ConcStorageTank2UnderflowStream_Mass-PressureFilterFeedStream_Mass-SpillageReturnStream_Mass);</t>
  </si>
  <si>
    <t>MB_ConcFilterFeedPump_Mass</t>
  </si>
  <si>
    <t>MB_ConcFilterFeedPump_Ag:(+0.0 = +(ConcStorageTank1UnderflowStream_Mass * ConcStorageTank1UnderflowStream_Ag)+(ConcStorageTank2UnderflowStream_Mass * ConcStorageTank2UnderflowStream_Ag)-(PressureFilterFeedStream_Mass * PressureFilterFeedStream_Ag)-(SpillageReturnStream_Mass * SpillageReturnStream_Ag));</t>
  </si>
  <si>
    <t>MB_ConcFilterFeedPump_Ag</t>
  </si>
  <si>
    <t>MB_ConcFilterFeedPump_Au:(+0.0 = +(ConcStorageTank1UnderflowStream_Mass * ConcStorageTank1UnderflowStream_Au)+(ConcStorageTank2UnderflowStream_Mass * ConcStorageTank2UnderflowStream_Au)-(PressureFilterFeedStream_Mass * PressureFilterFeedStream_Au)-(SpillageReturnStream_Mass * SpillageReturnStream_Au));</t>
  </si>
  <si>
    <t>MB_ConcFilterFeedPump_Au</t>
  </si>
  <si>
    <t>MB_ConcFilterFeedPump_Cu:(+0.0 = +(ConcStorageTank1UnderflowStream_Mass * ConcStorageTank1UnderflowStream_Cu)+(ConcStorageTank2UnderflowStream_Mass * ConcStorageTank2UnderflowStream_Cu)-(PressureFilterFeedStream_Mass * PressureFilterFeedStream_Cu)-(SpillageReturnStream_Mass * SpillageReturnStream_Cu));</t>
  </si>
  <si>
    <t>MB_ConcFilterFeedPump_Cu</t>
  </si>
  <si>
    <t>MB_ConcFilterFeedPump_F:(+0.0 = +(ConcStorageTank1UnderflowStream_Mass * ConcStorageTank1UnderflowStream_F)+(ConcStorageTank2UnderflowStream_Mass * ConcStorageTank2UnderflowStream_F)-(PressureFilterFeedStream_Mass * PressureFilterFeedStream_F)-(SpillageReturnStream_Mass * SpillageReturnStream_F));</t>
  </si>
  <si>
    <t>MB_ConcFilterFeedPump_F</t>
  </si>
  <si>
    <t>MB_ConcFilterFeedPump_Fe:(+0.0 = +(ConcStorageTank1UnderflowStream_Mass * ConcStorageTank1UnderflowStream_Fe)+(ConcStorageTank2UnderflowStream_Mass * ConcStorageTank2UnderflowStream_Fe)-(PressureFilterFeedStream_Mass * PressureFilterFeedStream_Fe)-(SpillageReturnStream_Mass * SpillageReturnStream_Fe));</t>
  </si>
  <si>
    <t>MB_ConcFilterFeedPump_Fe</t>
  </si>
  <si>
    <t>MB_ConcFilterFeedPump_S:(+0.0 = +(ConcStorageTank1UnderflowStream_Mass * ConcStorageTank1UnderflowStream_S)+(ConcStorageTank2UnderflowStream_Mass * ConcStorageTank2UnderflowStream_S)-(PressureFilterFeedStream_Mass * PressureFilterFeedStream_S)-(SpillageReturnStream_Mass * SpillageReturnStream_S));</t>
  </si>
  <si>
    <t>MB_ConcFilterFeedPump_S</t>
  </si>
  <si>
    <t>MB_ConcFilterFeedPump_U:(+0.0 = +(ConcStorageTank1UnderflowStream_Mass * ConcStorageTank1UnderflowStream_U)+(ConcStorageTank2UnderflowStream_Mass * ConcStorageTank2UnderflowStream_U)-(PressureFilterFeedStream_Mass * PressureFilterFeedStream_U)-(SpillageReturnStream_Mass * SpillageReturnStream_U));</t>
  </si>
  <si>
    <t>MB_ConcFilterFeedPump_U</t>
  </si>
  <si>
    <t>MB_ConcPressureFilter_Mass:(+0.0 = +PressureFilterFeedStream_Mass-PressureFilterUnderflowStream_Mass);</t>
  </si>
  <si>
    <t>MB_ConcPressureFilter_Mass</t>
  </si>
  <si>
    <t>MB_ConcPressureFilter_Ag:(+0.0 = +(PressureFilterFeedStream_Mass * PressureFilterFeedStream_Ag)-(PressureFilterUnderflowStream_Mass * PressureFilterUnderflowStream_Ag));</t>
  </si>
  <si>
    <t>MB_ConcPressureFilter_Ag</t>
  </si>
  <si>
    <t>MB_ConcPressureFilter_Au:(+0.0 = +(PressureFilterFeedStream_Mass * PressureFilterFeedStream_Au)-(PressureFilterUnderflowStream_Mass * PressureFilterUnderflowStream_Au));</t>
  </si>
  <si>
    <t>MB_ConcPressureFilter_Au</t>
  </si>
  <si>
    <t>MB_ConcPressureFilter_Cu:(+0.0 = +(PressureFilterFeedStream_Mass * PressureFilterFeedStream_Cu)-(PressureFilterUnderflowStream_Mass * PressureFilterUnderflowStream_Cu));</t>
  </si>
  <si>
    <t>MB_ConcPressureFilter_Cu</t>
  </si>
  <si>
    <t>MB_ConcPressureFilter_F:(+0.0 = +(PressureFilterFeedStream_Mass * PressureFilterFeedStream_F)-(PressureFilterUnderflowStream_Mass * PressureFilterUnderflowStream_F));</t>
  </si>
  <si>
    <t>MB_ConcPressureFilter_F</t>
  </si>
  <si>
    <t>MB_ConcPressureFilter_Fe:(+0.0 = +(PressureFilterFeedStream_Mass * PressureFilterFeedStream_Fe)-(PressureFilterUnderflowStream_Mass * PressureFilterUnderflowStream_Fe));</t>
  </si>
  <si>
    <t>MB_ConcPressureFilter_Fe</t>
  </si>
  <si>
    <t>MB_ConcPressureFilter_S:(+0.0 = +(PressureFilterFeedStream_Mass * PressureFilterFeedStream_S)-(PressureFilterUnderflowStream_Mass * PressureFilterUnderflowStream_S));</t>
  </si>
  <si>
    <t>MB_ConcPressureFilter_S</t>
  </si>
  <si>
    <t>MB_ConcPressureFilter_U:(+0.0 = +(PressureFilterFeedStream_Mass * PressureFilterFeedStream_U)-(PressureFilterUnderflowStream_Mass * PressureFilterUnderflowStream_U));</t>
  </si>
  <si>
    <t>MB_ConcPressureFilter_U</t>
  </si>
  <si>
    <t>MB_ConcStorageTank1_Mass:(ConcStorageTank1_close_Mass - ConcStorageTank1_open_Mass+0.0 = +ConcStorageTank1FeedStream_Mass-ConcStorageTank1UnderflowStream_Mass);</t>
  </si>
  <si>
    <t>MB_ConcStorageTank1_Mass</t>
  </si>
  <si>
    <t>MB_ConcStorageTank1_Ag:((ConcStorageTank1_close_Mass * ConcStorageTank1_close_Ag) - (ConcStorageTank1_open_Mass * ConcStorageTank1_open_Ag)+0.0 = +(ConcStorageTank1FeedStream_Mass * ConcStorageTank1FeedStream_Ag)-(ConcStorageTank1UnderflowStream_Mass * ConcStorageTank1UnderflowStream_Ag));</t>
  </si>
  <si>
    <t>MB_ConcStorageTank1_Ag</t>
  </si>
  <si>
    <t>MB_ConcStorageTank1_Au:((ConcStorageTank1_close_Mass * ConcStorageTank1_close_Au) - (ConcStorageTank1_open_Mass * ConcStorageTank1_open_Au)+0.0 = +(ConcStorageTank1FeedStream_Mass * ConcStorageTank1FeedStream_Au)-(ConcStorageTank1UnderflowStream_Mass * ConcStorageTank1UnderflowStream_Au));</t>
  </si>
  <si>
    <t>MB_ConcStorageTank1_Au</t>
  </si>
  <si>
    <t>MB_ConcStorageTank1_Cu:((ConcStorageTank1_close_Mass * ConcStorageTank1_close_Cu) - (ConcStorageTank1_open_Mass * ConcStorageTank1_open_Cu)+0.0 = +(ConcStorageTank1FeedStream_Mass * ConcStorageTank1FeedStream_Cu)-(ConcStorageTank1UnderflowStream_Mass * ConcStorageTank1UnderflowStream_Cu));</t>
  </si>
  <si>
    <t>MB_ConcStorageTank1_Cu</t>
  </si>
  <si>
    <t>MB_ConcStorageTank1_F:((ConcStorageTank1_close_Mass * ConcStorageTank1_close_F) - (ConcStorageTank1_open_Mass * ConcStorageTank1_open_F)+0.0 = +(ConcStorageTank1FeedStream_Mass * ConcStorageTank1FeedStream_F)-(ConcStorageTank1UnderflowStream_Mass * ConcStorageTank1UnderflowStream_F));</t>
  </si>
  <si>
    <t>MB_ConcStorageTank1_F</t>
  </si>
  <si>
    <t>MB_ConcStorageTank1_Fe:((ConcStorageTank1_close_Mass * ConcStorageTank1_close_Fe) - (ConcStorageTank1_open_Mass * ConcStorageTank1_open_Fe)+0.0 = +(ConcStorageTank1FeedStream_Mass * ConcStorageTank1FeedStream_Fe)-(ConcStorageTank1UnderflowStream_Mass * ConcStorageTank1UnderflowStream_Fe));</t>
  </si>
  <si>
    <t>MB_ConcStorageTank1_Fe</t>
  </si>
  <si>
    <t>MB_ConcStorageTank1_S:((ConcStorageTank1_close_Mass * ConcStorageTank1_close_S) - (ConcStorageTank1_open_Mass * ConcStorageTank1_open_S)+0.0 = +(ConcStorageTank1FeedStream_Mass * ConcStorageTank1FeedStream_S)-(ConcStorageTank1UnderflowStream_Mass * ConcStorageTank1UnderflowStream_S));</t>
  </si>
  <si>
    <t>MB_ConcStorageTank1_S</t>
  </si>
  <si>
    <t>MB_ConcStorageTank1_U:((ConcStorageTank1_close_Mass * ConcStorageTank1_close_U) - (ConcStorageTank1_open_Mass * ConcStorageTank1_open_U)+0.0 = +(ConcStorageTank1FeedStream_Mass * ConcStorageTank1FeedStream_U)-(ConcStorageTank1UnderflowStream_Mass * ConcStorageTank1UnderflowStream_U));</t>
  </si>
  <si>
    <t>MB_ConcStorageTank1_U</t>
  </si>
  <si>
    <t>MB_ConcStorageTank2_Mass:(ConcStorageTank2_close_Mass - ConcStorageTank2_open_Mass+0.0 = +ConcStorageTank2FeedStream_Mass-ConcStorageTank2UnderflowStream_Mass);</t>
  </si>
  <si>
    <t>MB_ConcStorageTank2_Mass</t>
  </si>
  <si>
    <t>MB_ConcStorageTank2_Ag:((ConcStorageTank2_close_Mass * ConcStorageTank2_close_Ag) - (ConcStorageTank2_open_Mass * ConcStorageTank2_open_Ag)+0.0 = +(ConcStorageTank2FeedStream_Mass * ConcStorageTank2FeedStream_Ag)-(ConcStorageTank2UnderflowStream_Mass * ConcStorageTank2UnderflowStream_Ag));</t>
  </si>
  <si>
    <t>MB_ConcStorageTank2_Ag</t>
  </si>
  <si>
    <t>MB_ConcStorageTank2_Au:((ConcStorageTank2_close_Mass * ConcStorageTank2_close_Au) - (ConcStorageTank2_open_Mass * ConcStorageTank2_open_Au)+0.0 = +(ConcStorageTank2FeedStream_Mass * ConcStorageTank2FeedStream_Au)-(ConcStorageTank2UnderflowStream_Mass * ConcStorageTank2UnderflowStream_Au));</t>
  </si>
  <si>
    <t>MB_ConcStorageTank2_Au</t>
  </si>
  <si>
    <t>MB_ConcStorageTank2_Cu:((ConcStorageTank2_close_Mass * ConcStorageTank2_close_Cu) - (ConcStorageTank2_open_Mass * ConcStorageTank2_open_Cu)+0.0 = +(ConcStorageTank2FeedStream_Mass * ConcStorageTank2FeedStream_Cu)-(ConcStorageTank2UnderflowStream_Mass * ConcStorageTank2UnderflowStream_Cu));</t>
  </si>
  <si>
    <t>MB_ConcStorageTank2_Cu</t>
  </si>
  <si>
    <t>MB_ConcStorageTank2_F:((ConcStorageTank2_close_Mass * ConcStorageTank2_close_F) - (ConcStorageTank2_open_Mass * ConcStorageTank2_open_F)+0.0 = +(ConcStorageTank2FeedStream_Mass * ConcStorageTank2FeedStream_F)-(ConcStorageTank2UnderflowStream_Mass * ConcStorageTank2UnderflowStream_F));</t>
  </si>
  <si>
    <t>MB_ConcStorageTank2_F</t>
  </si>
  <si>
    <t>MB_ConcStorageTank2_Fe:((ConcStorageTank2_close_Mass * ConcStorageTank2_close_Fe) - (ConcStorageTank2_open_Mass * ConcStorageTank2_open_Fe)+0.0 = +(ConcStorageTank2FeedStream_Mass * ConcStorageTank2FeedStream_Fe)-(ConcStorageTank2UnderflowStream_Mass * ConcStorageTank2UnderflowStream_Fe));</t>
  </si>
  <si>
    <t>MB_ConcStorageTank2_Fe</t>
  </si>
  <si>
    <t>MB_ConcStorageTank2_S:((ConcStorageTank2_close_Mass * ConcStorageTank2_close_S) - (ConcStorageTank2_open_Mass * ConcStorageTank2_open_S)+0.0 = +(ConcStorageTank2FeedStream_Mass * ConcStorageTank2FeedStream_S)-(ConcStorageTank2UnderflowStream_Mass * ConcStorageTank2UnderflowStream_S));</t>
  </si>
  <si>
    <t>MB_ConcStorageTank2_S</t>
  </si>
  <si>
    <t>MB_ConcStorageTank2_U:((ConcStorageTank2_close_Mass * ConcStorageTank2_close_U) - (ConcStorageTank2_open_Mass * ConcStorageTank2_open_U)+0.0 = +(ConcStorageTank2FeedStream_Mass * ConcStorageTank2FeedStream_U)-(ConcStorageTank2UnderflowStream_Mass * ConcStorageTank2UnderflowStream_U));</t>
  </si>
  <si>
    <t>MB_ConcStorageTank2_U</t>
  </si>
  <si>
    <t>MB_ConcThickener_Mass:(ConcThickener_close_Mass - ConcThickener_open_Mass+0.0 = +CCLASStreamConcThickenerFeedStream_Mass+SpillageReturnStream_Mass-ConcThickenerUnderflowStream_Mass);</t>
  </si>
  <si>
    <t>MB_ConcThickener_Mass</t>
  </si>
  <si>
    <t>MB_ConcThickenerFeedStream_Mass:(+0.0 = +OSAStreamConcThickenerFeedStream_Mass-CCLASStreamConcThickenerFeedStream_Mass);</t>
  </si>
  <si>
    <t>MB_ConcThickenerFeedStream_Mass</t>
  </si>
  <si>
    <t>MB_ConcThickenerFeedStream_Ag:(+0.0 = +(OSAStreamConcThickenerFeedStream_Mass * OSAStreamConcThickenerFeedStream_Ag)-(CCLASStreamConcThickenerFeedStream_Mass * CCLASStreamConcThickenerFeedStream_Ag));</t>
  </si>
  <si>
    <t>MB_ConcThickenerFeedStream_Ag</t>
  </si>
  <si>
    <t>MB_ConcThickenerFeedStream_Au:(+0.0 = +(OSAStreamConcThickenerFeedStream_Mass * OSAStreamConcThickenerFeedStream_Au)-(CCLASStreamConcThickenerFeedStream_Mass * CCLASStreamConcThickenerFeedStream_Au));</t>
  </si>
  <si>
    <t>MB_ConcThickenerFeedStream_Au</t>
  </si>
  <si>
    <t>MB_ConcThickenerFeedStream_Cu:(+0.0 = +(OSAStreamConcThickenerFeedStream_Mass * OSAStreamConcThickenerFeedStream_Cu)-(CCLASStreamConcThickenerFeedStream_Mass * CCLASStreamConcThickenerFeedStream_Cu));</t>
  </si>
  <si>
    <t>MB_ConcThickenerFeedStream_Cu</t>
  </si>
  <si>
    <t>MB_ConcThickenerFeedStream_F:(+0.0 = +(OSAStreamConcThickenerFeedStream_Mass * OSAStreamConcThickenerFeedStream_F)-(CCLASStreamConcThickenerFeedStream_Mass * CCLASStreamConcThickenerFeedStream_F));</t>
  </si>
  <si>
    <t>MB_ConcThickenerFeedStream_F</t>
  </si>
  <si>
    <t>MB_ConcThickenerFeedStream_Fe:(+0.0 = +(OSAStreamConcThickenerFeedStream_Mass * OSAStreamConcThickenerFeedStream_Fe)-(CCLASStreamConcThickenerFeedStream_Mass * CCLASStreamConcThickenerFeedStream_Fe));</t>
  </si>
  <si>
    <t>MB_ConcThickenerFeedStream_Fe</t>
  </si>
  <si>
    <t>MB_ConcThickenerFeedStream_S:(+0.0 = +(OSAStreamConcThickenerFeedStream_Mass * OSAStreamConcThickenerFeedStream_S)-(CCLASStreamConcThickenerFeedStream_Mass * CCLASStreamConcThickenerFeedStream_S));</t>
  </si>
  <si>
    <t>MB_ConcThickenerFeedStream_S</t>
  </si>
  <si>
    <t>MB_ConcThickenerFeedStream_U:(+0.0 = +(OSAStreamConcThickenerFeedStream_Mass * OSAStreamConcThickenerFeedStream_U)-(CCLASStreamConcThickenerFeedStream_Mass * CCLASStreamConcThickenerFeedStream_U));</t>
  </si>
  <si>
    <t>MB_ConcThickenerFeedStream_U</t>
  </si>
  <si>
    <t>MB_ConcThickenerUnderflowPump_Mass:(+0.0 = +ConcThickenerUnderflowStream_Mass-ConcStorageTank1FeedStream_Mass-ConcStorageTank2FeedStream_Mass);</t>
  </si>
  <si>
    <t>MB_ConcThickenerUnderflowPump_Mass</t>
  </si>
  <si>
    <t>MB_ConcThickenerUnderflowPump_Ag:(+0.0 = +(ConcThickenerUnderflowStream_Mass * ConcThickenerUnderflowStream_Ag)-(ConcStorageTank1FeedStream_Mass * ConcStorageTank1FeedStream_Ag)-(ConcStorageTank2FeedStream_Mass * ConcStorageTank2FeedStream_Ag));</t>
  </si>
  <si>
    <t>MB_ConcThickenerUnderflowPump_Ag</t>
  </si>
  <si>
    <t>MB_ConcThickenerUnderflowPump_Au:(+0.0 = +(ConcThickenerUnderflowStream_Mass * ConcThickenerUnderflowStream_Au)-(ConcStorageTank1FeedStream_Mass * ConcStorageTank1FeedStream_Au)-(ConcStorageTank2FeedStream_Mass * ConcStorageTank2FeedStream_Au));</t>
  </si>
  <si>
    <t>MB_ConcThickenerUnderflowPump_Au</t>
  </si>
  <si>
    <t>MB_ConcThickenerUnderflowPump_Cu:(+0.0 = +(ConcThickenerUnderflowStream_Mass * ConcThickenerUnderflowStream_Cu)-(ConcStorageTank1FeedStream_Mass * ConcStorageTank1FeedStream_Cu)-(ConcStorageTank2FeedStream_Mass * ConcStorageTank2FeedStream_Cu));</t>
  </si>
  <si>
    <t>MB_ConcThickenerUnderflowPump_Cu</t>
  </si>
  <si>
    <t>MB_ConcThickenerUnderflowPump_F:(+0.0 = +(ConcThickenerUnderflowStream_Mass * ConcThickenerUnderflowStream_F)-(ConcStorageTank1FeedStream_Mass * ConcStorageTank1FeedStream_F)-(ConcStorageTank2FeedStream_Mass * ConcStorageTank2FeedStream_F));</t>
  </si>
  <si>
    <t>MB_ConcThickenerUnderflowPump_F</t>
  </si>
  <si>
    <t>MB_ConcThickenerUnderflowPump_Fe:(+0.0 = +(ConcThickenerUnderflowStream_Mass * ConcThickenerUnderflowStream_Fe)-(ConcStorageTank1FeedStream_Mass * ConcStorageTank1FeedStream_Fe)-(ConcStorageTank2FeedStream_Mass * ConcStorageTank2FeedStream_Fe));</t>
  </si>
  <si>
    <t>MB_ConcThickenerUnderflowPump_Fe</t>
  </si>
  <si>
    <t>MB_ConcThickenerUnderflowPump_S:(+0.0 = +(ConcThickenerUnderflowStream_Mass * ConcThickenerUnderflowStream_S)-(ConcStorageTank1FeedStream_Mass * ConcStorageTank1FeedStream_S)-(ConcStorageTank2FeedStream_Mass * ConcStorageTank2FeedStream_S));</t>
  </si>
  <si>
    <t>MB_ConcThickenerUnderflowPump_S</t>
  </si>
  <si>
    <t>MB_ConcThickenerUnderflowPump_U:(+0.0 = +(ConcThickenerUnderflowStream_Mass * ConcThickenerUnderflowStream_U)-(ConcStorageTank1FeedStream_Mass * ConcStorageTank1FeedStream_U)-(ConcStorageTank2FeedStream_Mass * ConcStorageTank2FeedStream_U));</t>
  </si>
  <si>
    <t>MB_ConcThickenerUnderflowPump_U</t>
  </si>
  <si>
    <t>MB_ConcThickener_Ag:((ConcThickener_close_Mass * ConcThickener_close_Ag) - (ConcThickener_open_Mass * ConcThickener_open_Ag)+0.0 = +(CCLASStreamConcThickenerFeedStream_Mass * CCLASStreamConcThickenerFeedStream_Ag)+(SpillageReturnStream_Mass * SpillageReturnStream_Ag)-(ConcThickenerUnderflowStream_Mass * ConcThickenerUnderflowStream_Ag));</t>
  </si>
  <si>
    <t>MB_ConcThickener_Ag</t>
  </si>
  <si>
    <t>MB_ConcThickener_Au:((ConcThickener_close_Mass * ConcThickener_close_Au) - (ConcThickener_open_Mass * ConcThickener_open_Au)+0.0 = +(CCLASStreamConcThickenerFeedStream_Mass * CCLASStreamConcThickenerFeedStream_Au)+(SpillageReturnStream_Mass * SpillageReturnStream_Au)-(ConcThickenerUnderflowStream_Mass * ConcThickenerUnderflowStream_Au));</t>
  </si>
  <si>
    <t>MB_ConcThickener_Au</t>
  </si>
  <si>
    <t>MB_ConcThickener_Cu:((ConcThickener_close_Mass * ConcThickener_close_Cu) - (ConcThickener_open_Mass * ConcThickener_open_Cu)+0.0 = +(CCLASStreamConcThickenerFeedStream_Mass * CCLASStreamConcThickenerFeedStream_Cu)+(SpillageReturnStream_Mass * SpillageReturnStream_Cu)-(ConcThickenerUnderflowStream_Mass * ConcThickenerUnderflowStream_Cu));</t>
  </si>
  <si>
    <t>MB_ConcThickener_Cu</t>
  </si>
  <si>
    <t>MB_ConcThickener_F:((ConcThickener_close_Mass * ConcThickener_close_F) - (ConcThickener_open_Mass * ConcThickener_open_F)+0.0 = +(CCLASStreamConcThickenerFeedStream_Mass * CCLASStreamConcThickenerFeedStream_F)+(SpillageReturnStream_Mass * SpillageReturnStream_F)-(ConcThickenerUnderflowStream_Mass * ConcThickenerUnderflowStream_F));</t>
  </si>
  <si>
    <t>MB_ConcThickener_F</t>
  </si>
  <si>
    <t>MB_ConcThickener_Fe:((ConcThickener_close_Mass * ConcThickener_close_Fe) - (ConcThickener_open_Mass * ConcThickener_open_Fe)+0.0 = +(CCLASStreamConcThickenerFeedStream_Mass * CCLASStreamConcThickenerFeedStream_Fe)+(SpillageReturnStream_Mass * SpillageReturnStream_Fe)-(ConcThickenerUnderflowStream_Mass * ConcThickenerUnderflowStream_Fe));</t>
  </si>
  <si>
    <t>MB_ConcThickener_Fe</t>
  </si>
  <si>
    <t>MB_ConcThickener_S:((ConcThickener_close_Mass * ConcThickener_close_S) - (ConcThickener_open_Mass * ConcThickener_open_S)+0.0 = +(CCLASStreamConcThickenerFeedStream_Mass * CCLASStreamConcThickenerFeedStream_S)+(SpillageReturnStream_Mass * SpillageReturnStream_S)-(ConcThickenerUnderflowStream_Mass * ConcThickenerUnderflowStream_S));</t>
  </si>
  <si>
    <t>MB_ConcThickener_S</t>
  </si>
  <si>
    <t>MB_ConcThickener_U:((ConcThickener_close_Mass * ConcThickener_close_U) - (ConcThickener_open_Mass * ConcThickener_open_U)+0.0 = +(CCLASStreamConcThickenerFeedStream_Mass * CCLASStreamConcThickenerFeedStream_U)+(SpillageReturnStream_Mass * SpillageReturnStream_U)-(ConcThickenerUnderflowStream_Mass * ConcThickenerUnderflowStream_U));</t>
  </si>
  <si>
    <t>MB_ConcThickener_U</t>
  </si>
  <si>
    <t>MB_Flotation_Mass:(+0.0 = +CCLASStreamRougherFeedStream_Mass-OSAStreamConcThickenerFeedStream_Mass-OSAStreamFlotationTailsStream_Mass);</t>
  </si>
  <si>
    <t>MB_Flotation_Mass</t>
  </si>
  <si>
    <t>MB_FlotationTailsStream_Mass:(+0.0 = +OSAStreamFlotationTailsStream_Mass-CCLASStreamFlotationTailsStream_Mass);</t>
  </si>
  <si>
    <t>MB_FlotationTailsStream_Mass</t>
  </si>
  <si>
    <t>MB_FlotationTailsStream_Ag:(+0.0 = +(OSAStreamFlotationTailsStream_Mass * OSAStreamFlotationTailsStream_Ag)-(CCLASStreamFlotationTailsStream_Mass * CCLASStreamFlotationTailsStream_Ag));</t>
  </si>
  <si>
    <t>MB_FlotationTailsStream_Ag</t>
  </si>
  <si>
    <t>MB_FlotationTailsStream_Au:(+0.0 = +(OSAStreamFlotationTailsStream_Mass * OSAStreamFlotationTailsStream_Au)-(CCLASStreamFlotationTailsStream_Mass * CCLASStreamFlotationTailsStream_Au));</t>
  </si>
  <si>
    <t>MB_FlotationTailsStream_Au</t>
  </si>
  <si>
    <t>MB_FlotationTailsStream_Cu:(+0.0 = +(OSAStreamFlotationTailsStream_Mass * OSAStreamFlotationTailsStream_Cu)-(CCLASStreamFlotationTailsStream_Mass * CCLASStreamFlotationTailsStream_Cu));</t>
  </si>
  <si>
    <t>MB_FlotationTailsStream_Cu</t>
  </si>
  <si>
    <t>MB_FlotationTailsStream_F:(+0.0 = +(OSAStreamFlotationTailsStream_Mass * OSAStreamFlotationTailsStream_F)-(CCLASStreamFlotationTailsStream_Mass * CCLASStreamFlotationTailsStream_F));</t>
  </si>
  <si>
    <t>MB_FlotationTailsStream_F</t>
  </si>
  <si>
    <t>MB_FlotationTailsStream_Fe:(+0.0 = +(OSAStreamFlotationTailsStream_Mass * OSAStreamFlotationTailsStream_Fe)-(CCLASStreamFlotationTailsStream_Mass * CCLASStreamFlotationTailsStream_Fe));</t>
  </si>
  <si>
    <t>MB_FlotationTailsStream_Fe</t>
  </si>
  <si>
    <t>MB_FlotationTailsStream_S:(+0.0 = +(OSAStreamFlotationTailsStream_Mass * OSAStreamFlotationTailsStream_S)-(CCLASStreamFlotationTailsStream_Mass * CCLASStreamFlotationTailsStream_S));</t>
  </si>
  <si>
    <t>MB_FlotationTailsStream_S</t>
  </si>
  <si>
    <t>MB_FlotationTailsStream_U:(+0.0 = +(OSAStreamFlotationTailsStream_Mass * OSAStreamFlotationTailsStream_U)-(CCLASStreamFlotationTailsStream_Mass * CCLASStreamFlotationTailsStream_U));</t>
  </si>
  <si>
    <t>MB_FlotationTailsStream_U</t>
  </si>
  <si>
    <t>MB_Flotation_Ag:(+0.0 = +(CCLASStreamRougherFeedStream_Mass * CCLASStreamRougherFeedStream_Ag)-(OSAStreamConcThickenerFeedStream_Mass * OSAStreamConcThickenerFeedStream_Ag)-(OSAStreamFlotationTailsStream_Mass * OSAStreamFlotationTailsStream_Ag));</t>
  </si>
  <si>
    <t>MB_Flotation_Ag</t>
  </si>
  <si>
    <t>MB_Flotation_Au:(+0.0 = +(CCLASStreamRougherFeedStream_Mass * CCLASStreamRougherFeedStream_Au)-(OSAStreamConcThickenerFeedStream_Mass * OSAStreamConcThickenerFeedStream_Au)-(OSAStreamFlotationTailsStream_Mass * OSAStreamFlotationTailsStream_Au));</t>
  </si>
  <si>
    <t>MB_Flotation_Au</t>
  </si>
  <si>
    <t>MB_Flotation_Cu:(+0.0 = +(CCLASStreamRougherFeedStream_Mass * CCLASStreamRougherFeedStream_Cu)-(OSAStreamConcThickenerFeedStream_Mass * OSAStreamConcThickenerFeedStream_Cu)-(OSAStreamFlotationTailsStream_Mass * OSAStreamFlotationTailsStream_Cu));</t>
  </si>
  <si>
    <t>MB_Flotation_Cu</t>
  </si>
  <si>
    <t>MB_Flotation_F:(+0.0 = +(CCLASStreamRougherFeedStream_Mass * CCLASStreamRougherFeedStream_F)-(OSAStreamConcThickenerFeedStream_Mass * OSAStreamConcThickenerFeedStream_F)-(OSAStreamFlotationTailsStream_Mass * OSAStreamFlotationTailsStream_F));</t>
  </si>
  <si>
    <t>MB_Flotation_F</t>
  </si>
  <si>
    <t>MB_Flotation_Fe:(+0.0 = +(CCLASStreamRougherFeedStream_Mass * CCLASStreamRougherFeedStream_Fe)-(OSAStreamConcThickenerFeedStream_Mass * OSAStreamConcThickenerFeedStream_Fe)-(OSAStreamFlotationTailsStream_Mass * OSAStreamFlotationTailsStream_Fe));</t>
  </si>
  <si>
    <t>MB_Flotation_Fe</t>
  </si>
  <si>
    <t>MB_Flotation_S:(+0.0 = +(CCLASStreamRougherFeedStream_Mass * CCLASStreamRougherFeedStream_S)-(OSAStreamConcThickenerFeedStream_Mass * OSAStreamConcThickenerFeedStream_S)-(OSAStreamFlotationTailsStream_Mass * OSAStreamFlotationTailsStream_S));</t>
  </si>
  <si>
    <t>MB_Flotation_S</t>
  </si>
  <si>
    <t>MB_Flotation_U:(+0.0 = +(CCLASStreamRougherFeedStream_Mass * CCLASStreamRougherFeedStream_U)-(OSAStreamConcThickenerFeedStream_Mass * OSAStreamConcThickenerFeedStream_U)-(OSAStreamFlotationTailsStream_Mass * OSAStreamFlotationTailsStream_U));</t>
  </si>
  <si>
    <t>MB_Flotation_U</t>
  </si>
  <si>
    <t>MB_Grinding_Mass:(+0.0 = +SAGMillFeedStream_Mass-OSAStreamRougherFeedStream_Mass);</t>
  </si>
  <si>
    <t>MB_Grinding_Mass</t>
  </si>
  <si>
    <t>MB_Grinding_Ag:(+0.0 = +(SAGMillFeedStream_Mass * SAGMillFeedStream_Ag)-(OSAStreamRougherFeedStream_Mass * OSAStreamRougherFeedStream_Ag));</t>
  </si>
  <si>
    <t>MB_Grinding_Ag</t>
  </si>
  <si>
    <t>MB_Grinding_Au:(+0.0 = +(SAGMillFeedStream_Mass * SAGMillFeedStream_Au)-(OSAStreamRougherFeedStream_Mass * OSAStreamRougherFeedStream_Au));</t>
  </si>
  <si>
    <t>MB_Grinding_Au</t>
  </si>
  <si>
    <t>MB_Grinding_Cu:(+0.0 = +(SAGMillFeedStream_Mass * SAGMillFeedStream_Cu)-(OSAStreamRougherFeedStream_Mass * OSAStreamRougherFeedStream_Cu));</t>
  </si>
  <si>
    <t>MB_Grinding_Cu</t>
  </si>
  <si>
    <t>MB_Grinding_F:(+0.0 = +(SAGMillFeedStream_Mass * SAGMillFeedStream_F)-(OSAStreamRougherFeedStream_Mass * OSAStreamRougherFeedStream_F));</t>
  </si>
  <si>
    <t>MB_Grinding_F</t>
  </si>
  <si>
    <t>MB_Grinding_Fe:(+0.0 = +(SAGMillFeedStream_Mass * SAGMillFeedStream_Fe)-(OSAStreamRougherFeedStream_Mass * OSAStreamRougherFeedStream_Fe));</t>
  </si>
  <si>
    <t>MB_Grinding_Fe</t>
  </si>
  <si>
    <t>MB_Grinding_S:(+0.0 = +(SAGMillFeedStream_Mass * SAGMillFeedStream_S)-(OSAStreamRougherFeedStream_Mass * OSAStreamRougherFeedStream_S));</t>
  </si>
  <si>
    <t>MB_Grinding_S</t>
  </si>
  <si>
    <t>MB_Grinding_U:(+0.0 = +(SAGMillFeedStream_Mass * SAGMillFeedStream_U)-(OSAStreamRougherFeedStream_Mass * OSAStreamRougherFeedStream_U));</t>
  </si>
  <si>
    <t>MB_Grinding_U</t>
  </si>
  <si>
    <t>MB_RougherFeedStream_Mass:(+0.0 = +OSAStreamRougherFeedStream_Mass-CCLASStreamRougherFeedStream_Mass);</t>
  </si>
  <si>
    <t>MB_RougherFeedStream_Mass</t>
  </si>
  <si>
    <t>MB_RougherFeedStream_Ag:(+0.0 = +(OSAStreamRougherFeedStream_Mass * OSAStreamRougherFeedStream_Ag)-(CCLASStreamRougherFeedStream_Mass * CCLASStreamRougherFeedStream_Ag));</t>
  </si>
  <si>
    <t>MB_RougherFeedStream_Ag</t>
  </si>
  <si>
    <t>MB_RougherFeedStream_Au:(+0.0 = +(OSAStreamRougherFeedStream_Mass * OSAStreamRougherFeedStream_Au)-(CCLASStreamRougherFeedStream_Mass * CCLASStreamRougherFeedStream_Au));</t>
  </si>
  <si>
    <t>MB_RougherFeedStream_Au</t>
  </si>
  <si>
    <t>MB_RougherFeedStream_Cu:(+0.0 = +(OSAStreamRougherFeedStream_Mass * OSAStreamRougherFeedStream_Cu)-(CCLASStreamRougherFeedStream_Mass * CCLASStreamRougherFeedStream_Cu));</t>
  </si>
  <si>
    <t>MB_RougherFeedStream_Cu</t>
  </si>
  <si>
    <t>MB_RougherFeedStream_F:(+0.0 = +(OSAStreamRougherFeedStream_Mass * OSAStreamRougherFeedStream_F)-(CCLASStreamRougherFeedStream_Mass * CCLASStreamRougherFeedStream_F));</t>
  </si>
  <si>
    <t>MB_RougherFeedStream_F</t>
  </si>
  <si>
    <t>MB_RougherFeedStream_Fe:(+0.0 = +(OSAStreamRougherFeedStream_Mass * OSAStreamRougherFeedStream_Fe)-(CCLASStreamRougherFeedStream_Mass * CCLASStreamRougherFeedStream_Fe));</t>
  </si>
  <si>
    <t>MB_RougherFeedStream_Fe</t>
  </si>
  <si>
    <t>MB_RougherFeedStream_S:(+0.0 = +(OSAStreamRougherFeedStream_Mass * OSAStreamRougherFeedStream_S)-(CCLASStreamRougherFeedStream_Mass * CCLASStreamRougherFeedStream_S));</t>
  </si>
  <si>
    <t>MB_RougherFeedStream_S</t>
  </si>
  <si>
    <t>MB_RougherFeedStream_U:(+0.0 = +(OSAStreamRougherFeedStream_Mass * OSAStreamRougherFeedStream_U)-(CCLASStreamRougherFeedStream_Mass * CCLASStreamRougherFeedStream_U));</t>
  </si>
  <si>
    <t>MB_RougherFeedStream_U</t>
  </si>
  <si>
    <t>MB_TailsThickening_Mass:(TailsThickening_close_Mass - TailsThickening_open_Mass+0.0 = +CCLASStreamFlotationTailsStream_Mass-TailsThickenerUnderflowStream_Mass);</t>
  </si>
  <si>
    <t>MB_TailsThickening_Mass</t>
  </si>
  <si>
    <t>MB_TailsThickening_Ag:((TailsThickening_close_Mass * TailsThickening_close_Ag) - (TailsThickening_open_Mass * TailsThickening_open_Ag)+0.0 = +(CCLASStreamFlotationTailsStream_Mass * CCLASStreamFlotationTailsStream_Ag)-(TailsThickenerUnderflowStream_Mass * TailsThickenerUnderflowStream_Ag));</t>
  </si>
  <si>
    <t>MB_TailsThickening_Ag</t>
  </si>
  <si>
    <t>MB_TailsThickening_Au:((TailsThickening_close_Mass * TailsThickening_close_Au) - (TailsThickening_open_Mass * TailsThickening_open_Au)+0.0 = +(CCLASStreamFlotationTailsStream_Mass * CCLASStreamFlotationTailsStream_Au)-(TailsThickenerUnderflowStream_Mass * TailsThickenerUnderflowStream_Au));</t>
  </si>
  <si>
    <t>MB_TailsThickening_Au</t>
  </si>
  <si>
    <t>MB_TailsThickening_Cu:((TailsThickening_close_Mass * TailsThickening_close_Cu) - (TailsThickening_open_Mass * TailsThickening_open_Cu)+0.0 = +(CCLASStreamFlotationTailsStream_Mass * CCLASStreamFlotationTailsStream_Cu)-(TailsThickenerUnderflowStream_Mass * TailsThickenerUnderflowStream_Cu));</t>
  </si>
  <si>
    <t>MB_TailsThickening_Cu</t>
  </si>
  <si>
    <t>MB_TailsThickening_F:((TailsThickening_close_Mass * TailsThickening_close_F) - (TailsThickening_open_Mass * TailsThickening_open_F)+0.0 = +(CCLASStreamFlotationTailsStream_Mass * CCLASStreamFlotationTailsStream_F)-(TailsThickenerUnderflowStream_Mass * TailsThickenerUnderflowStream_F));</t>
  </si>
  <si>
    <t>MB_TailsThickening_F</t>
  </si>
  <si>
    <t>MB_TailsThickening_Fe:((TailsThickening_close_Mass * TailsThickening_close_Fe) - (TailsThickening_open_Mass * TailsThickening_open_Fe)+0.0 = +(CCLASStreamFlotationTailsStream_Mass * CCLASStreamFlotationTailsStream_Fe)-(TailsThickenerUnderflowStream_Mass * TailsThickenerUnderflowStream_Fe));</t>
  </si>
  <si>
    <t>MB_TailsThickening_Fe</t>
  </si>
  <si>
    <t>MB_TailsThickening_S:((TailsThickening_close_Mass * TailsThickening_close_S) - (TailsThickening_open_Mass * TailsThickening_open_S)+0.0 = +(CCLASStreamFlotationTailsStream_Mass * CCLASStreamFlotationTailsStream_S)-(TailsThickenerUnderflowStream_Mass * TailsThickenerUnderflowStream_S));</t>
  </si>
  <si>
    <t>MB_TailsThickening_S</t>
  </si>
  <si>
    <t>MB_TailsThickening_U:((TailsThickening_close_Mass * TailsThickening_close_U) - (TailsThickening_open_Mass * TailsThickening_open_U)+0.0 = +(CCLASStreamFlotationTailsStream_Mass * CCLASStreamFlotationTailsStream_U)-(TailsThickenerUnderflowStream_Mass * TailsThickenerUnderflowStream_U));</t>
  </si>
  <si>
    <t>MB_TailsThickening_U</t>
  </si>
  <si>
    <t>/* User Defined Equations */</t>
  </si>
  <si>
    <t>ConcThickener_Cu:((3*ConcThickenerUnderflowStream_Cu)-(ConcThickener_open_Cu)-(2*OSAStreamConcThickenerFeedStream_Cu)=0);</t>
  </si>
  <si>
    <t>ConcThickener_Cu</t>
  </si>
  <si>
    <t>ConcThickener_Fe:((3*ConcThickenerUnderflowStream_Fe)-(ConcThickener_open_Fe)-(2*OSAStreamConcThickenerFeedStream_Fe)=0);</t>
  </si>
  <si>
    <t>ConcThickener_Fe</t>
  </si>
  <si>
    <t>ConcThickener_Au:((3*ConcThickenerUnderflowStream_Au)-(ConcThickener_open_Au)-(2*OSAStreamConcThickenerFeedStream_Au)=0);</t>
  </si>
  <si>
    <t>ConcThickener_Au</t>
  </si>
  <si>
    <t>ConcThickener_Ag:((3*ConcThickenerUnderflowStream_Ag)-(ConcThickener_open_Ag)-(2*OSAStreamConcThickenerFeedStream_Ag)=0);</t>
  </si>
  <si>
    <t>ConcThickener_Ag</t>
  </si>
  <si>
    <t>ConcThickener_S:((3*ConcThickenerUnderflowStream_S)-(ConcThickener_open_S)-(2*OSAStreamConcThickenerFeedStream_S)=0);</t>
  </si>
  <si>
    <t>ConcThickener_S</t>
  </si>
  <si>
    <t>ConcThickener_U:((3*ConcThickenerUnderflowStream_U)-(ConcThickener_open_U)-(2*OSAStreamConcThickenerFeedStream_U)=0);</t>
  </si>
  <si>
    <t>ConcThickener_U</t>
  </si>
  <si>
    <t>ConcThickener_F:((3*ConcThickenerUnderflowStream_F)-(ConcThickener_open_F)-(2*OSAStreamConcThickenerFeedStream_F)=0);</t>
  </si>
  <si>
    <t>ConcThickener_F</t>
  </si>
  <si>
    <t>TailsThickening_Cu:((4*TailsThickenerUnderflowStream_Cu)-(TailsThickening_open_Cu)-(3*OSAStreamFlotationTailsStream_Cu)=0);</t>
  </si>
  <si>
    <t>TailsThickening_Cu</t>
  </si>
  <si>
    <t>TailsThickening_Fe:((4*TailsThickenerUnderflowStream_Fe)-(TailsThickening_open_Fe)-(3*OSAStreamFlotationTailsStream_Fe)=0);</t>
  </si>
  <si>
    <t>TailsThickening_Fe</t>
  </si>
  <si>
    <t>TailsThickening_Au:((4*TailsThickenerUnderflowStream_Au)-(TailsThickening_open_Au)-(3*OSAStreamFlotationTailsStream_Au)=0);</t>
  </si>
  <si>
    <t>TailsThickening_Au</t>
  </si>
  <si>
    <t>TailsThickening_Ag:((4*TailsThickenerUnderflowStream_Ag)-(TailsThickening_open_Ag)-(3*OSAStreamFlotationTailsStream_Ag)=0);</t>
  </si>
  <si>
    <t>TailsThickening_Ag</t>
  </si>
  <si>
    <t>TailsThickening_S:((4*TailsThickenerUnderflowStream_S)-(TailsThickening_open_S)-(3*OSAStreamFlotationTailsStream_S)=0);</t>
  </si>
  <si>
    <t>TailsThickening_S</t>
  </si>
  <si>
    <t>TailsThickening_U:((4*TailsThickenerUnderflowStream_U)-(TailsThickening_open_U)-(3*OSAStreamFlotationTailsStream_U)=0);</t>
  </si>
  <si>
    <t>TailsThickening_U</t>
  </si>
  <si>
    <t>TailsThickening_F:((4*TailsThickenerUnderflowStream_F)-(TailsThickening_open_F)-(3*OSAStreamFlotationTailsStream_F)=0);</t>
  </si>
  <si>
    <t>TailsThickening_F</t>
  </si>
  <si>
    <t>ConcStorageTank1_Cu:((ConcStorageTank1UnderflowStream_Cu)-(ConcStorageTank1_open_Cu)=0);</t>
  </si>
  <si>
    <t>ConcStorageTank1_Cu</t>
  </si>
  <si>
    <t>ConcStorageTank1_Fe:((ConcStorageTank1UnderflowStream_Fe)-(ConcStorageTank1_open_Fe)=0);</t>
  </si>
  <si>
    <t>ConcStorageTank1_Fe</t>
  </si>
  <si>
    <t>ConcStorageTank1_Au:((ConcStorageTank1UnderflowStream_Au)-(ConcStorageTank1_open_Au)=0);</t>
  </si>
  <si>
    <t>ConcStorageTank1_Au</t>
  </si>
  <si>
    <t>ConcStorageTank1_Ag:((ConcStorageTank1UnderflowStream_Ag)-(ConcStorageTank1_open_Ag)=0);</t>
  </si>
  <si>
    <t>ConcStorageTank1_Ag</t>
  </si>
  <si>
    <t>ConcStorageTank1_S:((ConcStorageTank1UnderflowStream_S)-(ConcStorageTank1_open_S)=0);</t>
  </si>
  <si>
    <t>ConcStorageTank1_S</t>
  </si>
  <si>
    <t>ConcStorageTank1_U:((ConcStorageTank1UnderflowStream_U)-(ConcStorageTank1_open_U)=0);</t>
  </si>
  <si>
    <t>ConcStorageTank1_U</t>
  </si>
  <si>
    <t>ConcStorageTank1_F:((ConcStorageTank1UnderflowStream_F)-(ConcStorageTank1_open_F)=0);</t>
  </si>
  <si>
    <t>ConcStorageTank1_F</t>
  </si>
  <si>
    <t>ConcStorageTank2_Cu:((ConcStorageTank2UnderflowStream_Cu)-(ConcStorageTank2_open_Cu)=0);</t>
  </si>
  <si>
    <t>ConcStorageTank2_Cu</t>
  </si>
  <si>
    <t>ConcStorageTank2_Fe:((ConcStorageTank2UnderflowStream_Fe)-(ConcStorageTank2_open_Fe)=0);</t>
  </si>
  <si>
    <t>ConcStorageTank2_Fe</t>
  </si>
  <si>
    <t>ConcStorageTank2_Au:((ConcStorageTank2UnderflowStream_Au)-(ConcStorageTank2_open_Au)=0);</t>
  </si>
  <si>
    <t>ConcStorageTank2_Au</t>
  </si>
  <si>
    <t>ConcStorageTank2_Ag:((ConcStorageTank2UnderflowStream_Ag)-(ConcStorageTank2_open_Ag)=0);</t>
  </si>
  <si>
    <t>ConcStorageTank2_Ag</t>
  </si>
  <si>
    <t>ConcStorageTank2_S:((ConcStorageTank2UnderflowStream_S)-(ConcStorageTank2_open_S)=0);</t>
  </si>
  <si>
    <t>ConcStorageTank2_S</t>
  </si>
  <si>
    <t>ConcStorageTank2_U:((ConcStorageTank2UnderflowStream_U)-(ConcStorageTank2_open_U)=0);</t>
  </si>
  <si>
    <t>ConcStorageTank2_U</t>
  </si>
  <si>
    <t>ConcStorageTank2_F:((ConcStorageTank2UnderflowStream_F)-(ConcStorageTank2_open_F)=0);</t>
  </si>
  <si>
    <t>ConcStorageTank2_F</t>
  </si>
  <si>
    <t>SpillageReturnStream_Cu:((SpillageReturnStream_Cu)-(PressureFilterFeedStream_Cu)=0);</t>
  </si>
  <si>
    <t>SpillageReturnStream_Cu</t>
  </si>
  <si>
    <t>SpillageReturnStream_Fe:((SpillageReturnStream_Fe)-(PressureFilterFeedStream_Fe)=0);</t>
  </si>
  <si>
    <t>SpillageReturnStream_Fe</t>
  </si>
  <si>
    <t>SpillageReturnStream_Au:((SpillageReturnStream_Au)-(PressureFilterFeedStream_Au)=0);</t>
  </si>
  <si>
    <t>SpillageReturnStream_Au</t>
  </si>
  <si>
    <t>SpillageReturnStream_Ag:((SpillageReturnStream_Ag)-(PressureFilterFeedStream_Ag)=0);</t>
  </si>
  <si>
    <t>SpillageReturnStream_Ag</t>
  </si>
  <si>
    <t>SpillageReturnStream_S:((SpillageReturnStream_S)-(PressureFilterFeedStream_S)=0);</t>
  </si>
  <si>
    <t>SpillageReturnStream_S</t>
  </si>
  <si>
    <t>SpillageReturnStream_U:((SpillageReturnStream_U)-(PressureFilterFeedStream_U)=0);</t>
  </si>
  <si>
    <t>SpillageReturnStream_U</t>
  </si>
  <si>
    <t>SpillageReturnStream_F:((SpillageReturnStream_F)-(PressureFilterFeedStream_F)=0);</t>
  </si>
  <si>
    <t>SpillageReturnStream_F</t>
  </si>
  <si>
    <t>/* Non-Negative Constraint Equations */</t>
  </si>
  <si>
    <t>/* Mass Fraction Non-Negativity Constraints */</t>
  </si>
  <si>
    <t>NNC_ConcStorageTank1_close_Cu:(ConcStorageTank1_close_Cu &gt;= 0.0);</t>
  </si>
  <si>
    <t>NNC_ConcStorageTank1_close_Cu</t>
  </si>
  <si>
    <t>&gt;=</t>
  </si>
  <si>
    <t>NNC_ConcStorageTank1_close_Fe:(ConcStorageTank1_close_Fe &gt;= 0.0);</t>
  </si>
  <si>
    <t>NNC_ConcStorageTank1_close_Fe</t>
  </si>
  <si>
    <t>NNC_ConcStorageTank1_close_Au:(ConcStorageTank1_close_Au &gt;= 0.0);</t>
  </si>
  <si>
    <t>NNC_ConcStorageTank1_close_Au</t>
  </si>
  <si>
    <t>NNC_ConcStorageTank1_close_Ag:(ConcStorageTank1_close_Ag &gt;= 0.0);</t>
  </si>
  <si>
    <t>NNC_ConcStorageTank1_close_Ag</t>
  </si>
  <si>
    <t>NNC_ConcStorageTank1_close_S:(ConcStorageTank1_close_S &gt;= 0.0);</t>
  </si>
  <si>
    <t>NNC_ConcStorageTank1_close_S</t>
  </si>
  <si>
    <t>NNC_ConcStorageTank1_close_U:(ConcStorageTank1_close_U &gt;= 0.0);</t>
  </si>
  <si>
    <t>NNC_ConcStorageTank1_close_U</t>
  </si>
  <si>
    <t>NNC_ConcStorageTank1_close_F:(ConcStorageTank1_close_F &gt;= 0.0);</t>
  </si>
  <si>
    <t>NNC_ConcStorageTank1_close_F</t>
  </si>
  <si>
    <t>NNC_ConcStorageTank2_close_Cu:(ConcStorageTank2_close_Cu &gt;= 0.0);</t>
  </si>
  <si>
    <t>NNC_ConcStorageTank2_close_Cu</t>
  </si>
  <si>
    <t>NNC_ConcStorageTank2_close_Fe:(ConcStorageTank2_close_Fe &gt;= 0.0);</t>
  </si>
  <si>
    <t>NNC_ConcStorageTank2_close_Fe</t>
  </si>
  <si>
    <t>NNC_ConcStorageTank2_close_Au:(ConcStorageTank2_close_Au &gt;= 0.0);</t>
  </si>
  <si>
    <t>NNC_ConcStorageTank2_close_Au</t>
  </si>
  <si>
    <t>NNC_ConcStorageTank2_close_Ag:(ConcStorageTank2_close_Ag &gt;= 0.0);</t>
  </si>
  <si>
    <t>NNC_ConcStorageTank2_close_Ag</t>
  </si>
  <si>
    <t>NNC_ConcStorageTank2_close_S:(ConcStorageTank2_close_S &gt;= 0.0);</t>
  </si>
  <si>
    <t>NNC_ConcStorageTank2_close_S</t>
  </si>
  <si>
    <t>NNC_ConcStorageTank2_close_U:(ConcStorageTank2_close_U &gt;= 0.0);</t>
  </si>
  <si>
    <t>NNC_ConcStorageTank2_close_U</t>
  </si>
  <si>
    <t>NNC_ConcStorageTank2_close_F:(ConcStorageTank2_close_F &gt;= 0.0);</t>
  </si>
  <si>
    <t>NNC_ConcStorageTank2_close_F</t>
  </si>
  <si>
    <t>NNC_ConcThickener_close_Cu:(ConcThickener_close_Cu &gt;= 0.0);</t>
  </si>
  <si>
    <t>NNC_ConcThickener_close_Cu</t>
  </si>
  <si>
    <t>NNC_ConcThickener_close_Fe:(ConcThickener_close_Fe &gt;= 0.0);</t>
  </si>
  <si>
    <t>NNC_ConcThickener_close_Fe</t>
  </si>
  <si>
    <t>NNC_ConcThickener_close_Au:(ConcThickener_close_Au &gt;= 0.0);</t>
  </si>
  <si>
    <t>NNC_ConcThickener_close_Au</t>
  </si>
  <si>
    <t>NNC_ConcThickener_close_Ag:(ConcThickener_close_Ag &gt;= 0.0);</t>
  </si>
  <si>
    <t>NNC_ConcThickener_close_Ag</t>
  </si>
  <si>
    <t>NNC_ConcThickener_close_S:(ConcThickener_close_S &gt;= 0.0);</t>
  </si>
  <si>
    <t>NNC_ConcThickener_close_S</t>
  </si>
  <si>
    <t>NNC_ConcThickener_close_U:(ConcThickener_close_U &gt;= 0.0);</t>
  </si>
  <si>
    <t>NNC_ConcThickener_close_U</t>
  </si>
  <si>
    <t>NNC_ConcThickener_close_F:(ConcThickener_close_F &gt;= 0.0);</t>
  </si>
  <si>
    <t>NNC_ConcThickener_close_F</t>
  </si>
  <si>
    <t>NNC_TailsThickening_close_Cu:(TailsThickening_close_Cu &gt;= 0.0);</t>
  </si>
  <si>
    <t>NNC_TailsThickening_close_Cu</t>
  </si>
  <si>
    <t>NNC_TailsThickening_close_Fe:(TailsThickening_close_Fe &gt;= 0.0);</t>
  </si>
  <si>
    <t>NNC_TailsThickening_close_Fe</t>
  </si>
  <si>
    <t>NNC_TailsThickening_close_Au:(TailsThickening_close_Au &gt;= 0.0);</t>
  </si>
  <si>
    <t>NNC_TailsThickening_close_Au</t>
  </si>
  <si>
    <t>NNC_TailsThickening_close_Ag:(TailsThickening_close_Ag &gt;= 0.0);</t>
  </si>
  <si>
    <t>NNC_TailsThickening_close_Ag</t>
  </si>
  <si>
    <t>NNC_TailsThickening_close_S:(TailsThickening_close_S &gt;= 0.0);</t>
  </si>
  <si>
    <t>NNC_TailsThickening_close_S</t>
  </si>
  <si>
    <t>NNC_TailsThickening_close_U:(TailsThickening_close_U &gt;= 0.0);</t>
  </si>
  <si>
    <t>NNC_TailsThickening_close_U</t>
  </si>
  <si>
    <t>NNC_TailsThickening_close_F:(TailsThickening_close_F &gt;= 0.0);</t>
  </si>
  <si>
    <t>NNC_TailsThickening_close_F</t>
  </si>
  <si>
    <t>NNC_ConcStorageTank1_open_Cu:(ConcStorageTank1_open_Cu &gt;= 0.0);</t>
  </si>
  <si>
    <t>NNC_ConcStorageTank1_open_Cu</t>
  </si>
  <si>
    <t>NNC_ConcStorageTank1_open_Fe:(ConcStorageTank1_open_Fe &gt;= 0.0);</t>
  </si>
  <si>
    <t>NNC_ConcStorageTank1_open_Fe</t>
  </si>
  <si>
    <t>NNC_ConcStorageTank1_open_Au:(ConcStorageTank1_open_Au &gt;= 0.0);</t>
  </si>
  <si>
    <t>NNC_ConcStorageTank1_open_Au</t>
  </si>
  <si>
    <t>NNC_ConcStorageTank1_open_Ag:(ConcStorageTank1_open_Ag &gt;= 0.0);</t>
  </si>
  <si>
    <t>NNC_ConcStorageTank1_open_Ag</t>
  </si>
  <si>
    <t>NNC_ConcStorageTank1_open_S:(ConcStorageTank1_open_S &gt;= 0.0);</t>
  </si>
  <si>
    <t>NNC_ConcStorageTank1_open_S</t>
  </si>
  <si>
    <t>NNC_ConcStorageTank1_open_U:(ConcStorageTank1_open_U &gt;= 0.0);</t>
  </si>
  <si>
    <t>NNC_ConcStorageTank1_open_U</t>
  </si>
  <si>
    <t>NNC_ConcStorageTank1_open_F:(ConcStorageTank1_open_F &gt;= 0.0);</t>
  </si>
  <si>
    <t>NNC_ConcStorageTank1_open_F</t>
  </si>
  <si>
    <t>NNC_ConcStorageTank2_open_Cu:(ConcStorageTank2_open_Cu &gt;= 0.0);</t>
  </si>
  <si>
    <t>NNC_ConcStorageTank2_open_Cu</t>
  </si>
  <si>
    <t>NNC_ConcStorageTank2_open_Fe:(ConcStorageTank2_open_Fe &gt;= 0.0);</t>
  </si>
  <si>
    <t>NNC_ConcStorageTank2_open_Fe</t>
  </si>
  <si>
    <t>NNC_ConcStorageTank2_open_Au:(ConcStorageTank2_open_Au &gt;= 0.0);</t>
  </si>
  <si>
    <t>NNC_ConcStorageTank2_open_Au</t>
  </si>
  <si>
    <t>NNC_ConcStorageTank2_open_Ag:(ConcStorageTank2_open_Ag &gt;= 0.0);</t>
  </si>
  <si>
    <t>NNC_ConcStorageTank2_open_Ag</t>
  </si>
  <si>
    <t>NNC_ConcStorageTank2_open_S:(ConcStorageTank2_open_S &gt;= 0.0);</t>
  </si>
  <si>
    <t>NNC_ConcStorageTank2_open_S</t>
  </si>
  <si>
    <t>NNC_ConcStorageTank2_open_U:(ConcStorageTank2_open_U &gt;= 0.0);</t>
  </si>
  <si>
    <t>NNC_ConcStorageTank2_open_U</t>
  </si>
  <si>
    <t>NNC_ConcStorageTank2_open_F:(ConcStorageTank2_open_F &gt;= 0.0);</t>
  </si>
  <si>
    <t>NNC_ConcStorageTank2_open_F</t>
  </si>
  <si>
    <t>NNC_ConcThickener_open_Cu:(ConcThickener_open_Cu &gt;= 0.0);</t>
  </si>
  <si>
    <t>NNC_ConcThickener_open_Cu</t>
  </si>
  <si>
    <t>NNC_ConcThickener_open_Fe:(ConcThickener_open_Fe &gt;= 0.0);</t>
  </si>
  <si>
    <t>NNC_ConcThickener_open_Fe</t>
  </si>
  <si>
    <t>NNC_ConcThickener_open_Au:(ConcThickener_open_Au &gt;= 0.0);</t>
  </si>
  <si>
    <t>NNC_ConcThickener_open_Au</t>
  </si>
  <si>
    <t>NNC_ConcThickener_open_Ag:(ConcThickener_open_Ag &gt;= 0.0);</t>
  </si>
  <si>
    <t>NNC_ConcThickener_open_Ag</t>
  </si>
  <si>
    <t>NNC_ConcThickener_open_S:(ConcThickener_open_S &gt;= 0.0);</t>
  </si>
  <si>
    <t>NNC_ConcThickener_open_S</t>
  </si>
  <si>
    <t>NNC_ConcThickener_open_U:(ConcThickener_open_U &gt;= 0.0);</t>
  </si>
  <si>
    <t>NNC_ConcThickener_open_U</t>
  </si>
  <si>
    <t>NNC_ConcThickener_open_F:(ConcThickener_open_F &gt;= 0.0);</t>
  </si>
  <si>
    <t>NNC_ConcThickener_open_F</t>
  </si>
  <si>
    <t>NNC_TailsThickening_open_Cu:(TailsThickening_open_Cu &gt;= 0.0);</t>
  </si>
  <si>
    <t>NNC_TailsThickening_open_Cu</t>
  </si>
  <si>
    <t>NNC_TailsThickening_open_Fe:(TailsThickening_open_Fe &gt;= 0.0);</t>
  </si>
  <si>
    <t>NNC_TailsThickening_open_Fe</t>
  </si>
  <si>
    <t>NNC_TailsThickening_open_Au:(TailsThickening_open_Au &gt;= 0.0);</t>
  </si>
  <si>
    <t>NNC_TailsThickening_open_Au</t>
  </si>
  <si>
    <t>NNC_TailsThickening_open_Ag:(TailsThickening_open_Ag &gt;= 0.0);</t>
  </si>
  <si>
    <t>NNC_TailsThickening_open_Ag</t>
  </si>
  <si>
    <t>NNC_TailsThickening_open_S:(TailsThickening_open_S &gt;= 0.0);</t>
  </si>
  <si>
    <t>NNC_TailsThickening_open_S</t>
  </si>
  <si>
    <t>NNC_TailsThickening_open_U:(TailsThickening_open_U &gt;= 0.0);</t>
  </si>
  <si>
    <t>NNC_TailsThickening_open_U</t>
  </si>
  <si>
    <t>NNC_TailsThickening_open_F:(TailsThickening_open_F &gt;= 0.0);</t>
  </si>
  <si>
    <t>NNC_TailsThickening_open_F</t>
  </si>
  <si>
    <t>NNC_CrushedOreStream_Cu:(CrushedOreStream_Cu &gt;= 0.0);</t>
  </si>
  <si>
    <t>NNC_CrushedOreStream_Cu</t>
  </si>
  <si>
    <t>NNC_CrushedOreStream_Fe:(CrushedOreStream_Fe &gt;= 0.0);</t>
  </si>
  <si>
    <t>NNC_CrushedOreStream_Fe</t>
  </si>
  <si>
    <t>NNC_CrushedOreStream_Au:(CrushedOreStream_Au &gt;= 0.0);</t>
  </si>
  <si>
    <t>NNC_CrushedOreStream_Au</t>
  </si>
  <si>
    <t>NNC_CrushedOreStream_Ag:(CrushedOreStream_Ag &gt;= 0.0);</t>
  </si>
  <si>
    <t>NNC_CrushedOreStream_Ag</t>
  </si>
  <si>
    <t>NNC_CrushedOreStream_S:(CrushedOreStream_S &gt;= 0.0);</t>
  </si>
  <si>
    <t>NNC_CrushedOreStream_S</t>
  </si>
  <si>
    <t>NNC_CrushedOreStream_U:(CrushedOreStream_U &gt;= 0.0);</t>
  </si>
  <si>
    <t>NNC_CrushedOreStream_U</t>
  </si>
  <si>
    <t>NNC_CrushedOreStream_F:(CrushedOreStream_F &gt;= 0.0);</t>
  </si>
  <si>
    <t>NNC_CrushedOreStream_F</t>
  </si>
  <si>
    <t>NNC_CCLASStreamConcThickenerFeedStream_Cu:(CCLASStreamConcThickenerFeedStream_Cu &gt;= 0.0);</t>
  </si>
  <si>
    <t>NNC_CCLASStreamConcThickenerFeedStream_Cu</t>
  </si>
  <si>
    <t>NNC_CCLASStreamConcThickenerFeedStream_Fe:(CCLASStreamConcThickenerFeedStream_Fe &gt;= 0.0);</t>
  </si>
  <si>
    <t>NNC_CCLASStreamConcThickenerFeedStream_Fe</t>
  </si>
  <si>
    <t>NNC_CCLASStreamConcThickenerFeedStream_Au:(CCLASStreamConcThickenerFeedStream_Au &gt;= 0.0);</t>
  </si>
  <si>
    <t>NNC_CCLASStreamConcThickenerFeedStream_Au</t>
  </si>
  <si>
    <t>NNC_CCLASStreamConcThickenerFeedStream_Ag:(CCLASStreamConcThickenerFeedStream_Ag &gt;= 0.0);</t>
  </si>
  <si>
    <t>NNC_CCLASStreamConcThickenerFeedStream_Ag</t>
  </si>
  <si>
    <t>NNC_CCLASStreamConcThickenerFeedStream_S:(CCLASStreamConcThickenerFeedStream_S &gt;= 0.0);</t>
  </si>
  <si>
    <t>NNC_CCLASStreamConcThickenerFeedStream_S</t>
  </si>
  <si>
    <t>NNC_CCLASStreamConcThickenerFeedStream_U:(CCLASStreamConcThickenerFeedStream_U &gt;= 0.0);</t>
  </si>
  <si>
    <t>NNC_CCLASStreamConcThickenerFeedStream_U</t>
  </si>
  <si>
    <t>NNC_CCLASStreamConcThickenerFeedStream_F:(CCLASStreamConcThickenerFeedStream_F &gt;= 0.0);</t>
  </si>
  <si>
    <t>NNC_CCLASStreamConcThickenerFeedStream_F</t>
  </si>
  <si>
    <t>NNC_CCLASStreamFlotationTailsStream_Cu:(CCLASStreamFlotationTailsStream_Cu &gt;= 0.0);</t>
  </si>
  <si>
    <t>NNC_CCLASStreamFlotationTailsStream_Cu</t>
  </si>
  <si>
    <t>NNC_CCLASStreamFlotationTailsStream_Fe:(CCLASStreamFlotationTailsStream_Fe &gt;= 0.0);</t>
  </si>
  <si>
    <t>NNC_CCLASStreamFlotationTailsStream_Fe</t>
  </si>
  <si>
    <t>NNC_CCLASStreamFlotationTailsStream_Au:(CCLASStreamFlotationTailsStream_Au &gt;= 0.0);</t>
  </si>
  <si>
    <t>NNC_CCLASStreamFlotationTailsStream_Au</t>
  </si>
  <si>
    <t>NNC_CCLASStreamFlotationTailsStream_Ag:(CCLASStreamFlotationTailsStream_Ag &gt;= 0.0);</t>
  </si>
  <si>
    <t>NNC_CCLASStreamFlotationTailsStream_Ag</t>
  </si>
  <si>
    <t>NNC_CCLASStreamFlotationTailsStream_S:(CCLASStreamFlotationTailsStream_S &gt;= 0.0);</t>
  </si>
  <si>
    <t>NNC_CCLASStreamFlotationTailsStream_S</t>
  </si>
  <si>
    <t>NNC_CCLASStreamFlotationTailsStream_U:(CCLASStreamFlotationTailsStream_U &gt;= 0.0);</t>
  </si>
  <si>
    <t>NNC_CCLASStreamFlotationTailsStream_U</t>
  </si>
  <si>
    <t>NNC_CCLASStreamFlotationTailsStream_F:(CCLASStreamFlotationTailsStream_F &gt;= 0.0);</t>
  </si>
  <si>
    <t>NNC_CCLASStreamFlotationTailsStream_F</t>
  </si>
  <si>
    <t>NNC_CCLASStreamRougherFeedStream_Cu:(CCLASStreamRougherFeedStream_Cu &gt;= 0.0);</t>
  </si>
  <si>
    <t>NNC_CCLASStreamRougherFeedStream_Cu</t>
  </si>
  <si>
    <t>NNC_CCLASStreamRougherFeedStream_Fe:(CCLASStreamRougherFeedStream_Fe &gt;= 0.0);</t>
  </si>
  <si>
    <t>NNC_CCLASStreamRougherFeedStream_Fe</t>
  </si>
  <si>
    <t>NNC_CCLASStreamRougherFeedStream_Au:(CCLASStreamRougherFeedStream_Au &gt;= 0.0);</t>
  </si>
  <si>
    <t>NNC_CCLASStreamRougherFeedStream_Au</t>
  </si>
  <si>
    <t>NNC_CCLASStreamRougherFeedStream_Ag:(CCLASStreamRougherFeedStream_Ag &gt;= 0.0);</t>
  </si>
  <si>
    <t>NNC_CCLASStreamRougherFeedStream_Ag</t>
  </si>
  <si>
    <t>NNC_CCLASStreamRougherFeedStream_S:(CCLASStreamRougherFeedStream_S &gt;= 0.0);</t>
  </si>
  <si>
    <t>NNC_CCLASStreamRougherFeedStream_S</t>
  </si>
  <si>
    <t>NNC_CCLASStreamRougherFeedStream_U:(CCLASStreamRougherFeedStream_U &gt;= 0.0);</t>
  </si>
  <si>
    <t>NNC_CCLASStreamRougherFeedStream_U</t>
  </si>
  <si>
    <t>NNC_CCLASStreamRougherFeedStream_F:(CCLASStreamRougherFeedStream_F &gt;= 0.0);</t>
  </si>
  <si>
    <t>NNC_CCLASStreamRougherFeedStream_F</t>
  </si>
  <si>
    <t>NNC_ConcStorageTank1FeedStream_Cu:(ConcStorageTank1FeedStream_Cu &gt;= 0.0);</t>
  </si>
  <si>
    <t>NNC_ConcStorageTank1FeedStream_Cu</t>
  </si>
  <si>
    <t>NNC_ConcStorageTank1FeedStream_Fe:(ConcStorageTank1FeedStream_Fe &gt;= 0.0);</t>
  </si>
  <si>
    <t>NNC_ConcStorageTank1FeedStream_Fe</t>
  </si>
  <si>
    <t>NNC_ConcStorageTank1FeedStream_Au:(ConcStorageTank1FeedStream_Au &gt;= 0.0);</t>
  </si>
  <si>
    <t>NNC_ConcStorageTank1FeedStream_Au</t>
  </si>
  <si>
    <t>NNC_ConcStorageTank1FeedStream_Ag:(ConcStorageTank1FeedStream_Ag &gt;= 0.0);</t>
  </si>
  <si>
    <t>NNC_ConcStorageTank1FeedStream_Ag</t>
  </si>
  <si>
    <t>NNC_ConcStorageTank1FeedStream_S:(ConcStorageTank1FeedStream_S &gt;= 0.0);</t>
  </si>
  <si>
    <t>NNC_ConcStorageTank1FeedStream_S</t>
  </si>
  <si>
    <t>NNC_ConcStorageTank1FeedStream_U:(ConcStorageTank1FeedStream_U &gt;= 0.0);</t>
  </si>
  <si>
    <t>NNC_ConcStorageTank1FeedStream_U</t>
  </si>
  <si>
    <t>NNC_ConcStorageTank1FeedStream_F:(ConcStorageTank1FeedStream_F &gt;= 0.0);</t>
  </si>
  <si>
    <t>NNC_ConcStorageTank1FeedStream_F</t>
  </si>
  <si>
    <t>NNC_ConcStorageTank1UnderflowStream_Cu:(ConcStorageTank1UnderflowStream_Cu &gt;= 0.0);</t>
  </si>
  <si>
    <t>NNC_ConcStorageTank1UnderflowStream_Cu</t>
  </si>
  <si>
    <t>NNC_ConcStorageTank1UnderflowStream_Fe:(ConcStorageTank1UnderflowStream_Fe &gt;= 0.0);</t>
  </si>
  <si>
    <t>NNC_ConcStorageTank1UnderflowStream_Fe</t>
  </si>
  <si>
    <t>NNC_ConcStorageTank1UnderflowStream_Au:(ConcStorageTank1UnderflowStream_Au &gt;= 0.0);</t>
  </si>
  <si>
    <t>NNC_ConcStorageTank1UnderflowStream_Au</t>
  </si>
  <si>
    <t>NNC_ConcStorageTank1UnderflowStream_Ag:(ConcStorageTank1UnderflowStream_Ag &gt;= 0.0);</t>
  </si>
  <si>
    <t>NNC_ConcStorageTank1UnderflowStream_Ag</t>
  </si>
  <si>
    <t>NNC_ConcStorageTank1UnderflowStream_S:(ConcStorageTank1UnderflowStream_S &gt;= 0.0);</t>
  </si>
  <si>
    <t>NNC_ConcStorageTank1UnderflowStream_S</t>
  </si>
  <si>
    <t>NNC_ConcStorageTank1UnderflowStream_U:(ConcStorageTank1UnderflowStream_U &gt;= 0.0);</t>
  </si>
  <si>
    <t>NNC_ConcStorageTank1UnderflowStream_U</t>
  </si>
  <si>
    <t>NNC_ConcStorageTank1UnderflowStream_F:(ConcStorageTank1UnderflowStream_F &gt;= 0.0);</t>
  </si>
  <si>
    <t>NNC_ConcStorageTank1UnderflowStream_F</t>
  </si>
  <si>
    <t>NNC_ConcStorageTank2FeedStream_Cu:(ConcStorageTank2FeedStream_Cu &gt;= 0.0);</t>
  </si>
  <si>
    <t>NNC_ConcStorageTank2FeedStream_Cu</t>
  </si>
  <si>
    <t>NNC_ConcStorageTank2FeedStream_Fe:(ConcStorageTank2FeedStream_Fe &gt;= 0.0);</t>
  </si>
  <si>
    <t>NNC_ConcStorageTank2FeedStream_Fe</t>
  </si>
  <si>
    <t>NNC_ConcStorageTank2FeedStream_Au:(ConcStorageTank2FeedStream_Au &gt;= 0.0);</t>
  </si>
  <si>
    <t>NNC_ConcStorageTank2FeedStream_Au</t>
  </si>
  <si>
    <t>NNC_ConcStorageTank2FeedStream_Ag:(ConcStorageTank2FeedStream_Ag &gt;= 0.0);</t>
  </si>
  <si>
    <t>NNC_ConcStorageTank2FeedStream_Ag</t>
  </si>
  <si>
    <t>NNC_ConcStorageTank2FeedStream_S:(ConcStorageTank2FeedStream_S &gt;= 0.0);</t>
  </si>
  <si>
    <t>NNC_ConcStorageTank2FeedStream_S</t>
  </si>
  <si>
    <t>NNC_ConcStorageTank2FeedStream_U:(ConcStorageTank2FeedStream_U &gt;= 0.0);</t>
  </si>
  <si>
    <t>NNC_ConcStorageTank2FeedStream_U</t>
  </si>
  <si>
    <t>NNC_ConcStorageTank2FeedStream_F:(ConcStorageTank2FeedStream_F &gt;= 0.0);</t>
  </si>
  <si>
    <t>NNC_ConcStorageTank2FeedStream_F</t>
  </si>
  <si>
    <t>NNC_ConcStorageTank2UnderflowStream_Cu:(ConcStorageTank2UnderflowStream_Cu &gt;= 0.0);</t>
  </si>
  <si>
    <t>NNC_ConcStorageTank2UnderflowStream_Cu</t>
  </si>
  <si>
    <t>NNC_ConcStorageTank2UnderflowStream_Fe:(ConcStorageTank2UnderflowStream_Fe &gt;= 0.0);</t>
  </si>
  <si>
    <t>NNC_ConcStorageTank2UnderflowStream_Fe</t>
  </si>
  <si>
    <t>NNC_ConcStorageTank2UnderflowStream_Au:(ConcStorageTank2UnderflowStream_Au &gt;= 0.0);</t>
  </si>
  <si>
    <t>NNC_ConcStorageTank2UnderflowStream_Au</t>
  </si>
  <si>
    <t>NNC_ConcStorageTank2UnderflowStream_Ag:(ConcStorageTank2UnderflowStream_Ag &gt;= 0.0);</t>
  </si>
  <si>
    <t>NNC_ConcStorageTank2UnderflowStream_Ag</t>
  </si>
  <si>
    <t>NNC_ConcStorageTank2UnderflowStream_S:(ConcStorageTank2UnderflowStream_S &gt;= 0.0);</t>
  </si>
  <si>
    <t>NNC_ConcStorageTank2UnderflowStream_S</t>
  </si>
  <si>
    <t>NNC_ConcStorageTank2UnderflowStream_U:(ConcStorageTank2UnderflowStream_U &gt;= 0.0);</t>
  </si>
  <si>
    <t>NNC_ConcStorageTank2UnderflowStream_U</t>
  </si>
  <si>
    <t>NNC_ConcStorageTank2UnderflowStream_F:(ConcStorageTank2UnderflowStream_F &gt;= 0.0);</t>
  </si>
  <si>
    <t>NNC_ConcStorageTank2UnderflowStream_F</t>
  </si>
  <si>
    <t>NNC_ConcThickenerUnderflowStream_Cu:(ConcThickenerUnderflowStream_Cu &gt;= 0.0);</t>
  </si>
  <si>
    <t>NNC_ConcThickenerUnderflowStream_Cu</t>
  </si>
  <si>
    <t>NNC_ConcThickenerUnderflowStream_Fe:(ConcThickenerUnderflowStream_Fe &gt;= 0.0);</t>
  </si>
  <si>
    <t>NNC_ConcThickenerUnderflowStream_Fe</t>
  </si>
  <si>
    <t>NNC_ConcThickenerUnderflowStream_Au:(ConcThickenerUnderflowStream_Au &gt;= 0.0);</t>
  </si>
  <si>
    <t>NNC_ConcThickenerUnderflowStream_Au</t>
  </si>
  <si>
    <t>NNC_ConcThickenerUnderflowStream_Ag:(ConcThickenerUnderflowStream_Ag &gt;= 0.0);</t>
  </si>
  <si>
    <t>NNC_ConcThickenerUnderflowStream_Ag</t>
  </si>
  <si>
    <t>NNC_ConcThickenerUnderflowStream_S:(ConcThickenerUnderflowStream_S &gt;= 0.0);</t>
  </si>
  <si>
    <t>NNC_ConcThickenerUnderflowStream_S</t>
  </si>
  <si>
    <t>NNC_ConcThickenerUnderflowStream_U:(ConcThickenerUnderflowStream_U &gt;= 0.0);</t>
  </si>
  <si>
    <t>NNC_ConcThickenerUnderflowStream_U</t>
  </si>
  <si>
    <t>NNC_ConcThickenerUnderflowStream_F:(ConcThickenerUnderflowStream_F &gt;= 0.0);</t>
  </si>
  <si>
    <t>NNC_ConcThickenerUnderflowStream_F</t>
  </si>
  <si>
    <t>NNC_OSAStreamConcThickenerFeedStream_Cu:(OSAStreamConcThickenerFeedStream_Cu &gt;= 0.0);</t>
  </si>
  <si>
    <t>NNC_OSAStreamConcThickenerFeedStream_Cu</t>
  </si>
  <si>
    <t>NNC_OSAStreamConcThickenerFeedStream_Fe:(OSAStreamConcThickenerFeedStream_Fe &gt;= 0.0);</t>
  </si>
  <si>
    <t>NNC_OSAStreamConcThickenerFeedStream_Fe</t>
  </si>
  <si>
    <t>NNC_OSAStreamConcThickenerFeedStream_Au:(OSAStreamConcThickenerFeedStream_Au &gt;= 0.0);</t>
  </si>
  <si>
    <t>NNC_OSAStreamConcThickenerFeedStream_Au</t>
  </si>
  <si>
    <t>NNC_OSAStreamConcThickenerFeedStream_Ag:(OSAStreamConcThickenerFeedStream_Ag &gt;= 0.0);</t>
  </si>
  <si>
    <t>NNC_OSAStreamConcThickenerFeedStream_Ag</t>
  </si>
  <si>
    <t>NNC_OSAStreamConcThickenerFeedStream_S:(OSAStreamConcThickenerFeedStream_S &gt;= 0.0);</t>
  </si>
  <si>
    <t>NNC_OSAStreamConcThickenerFeedStream_S</t>
  </si>
  <si>
    <t>NNC_OSAStreamConcThickenerFeedStream_U:(OSAStreamConcThickenerFeedStream_U &gt;= 0.0);</t>
  </si>
  <si>
    <t>NNC_OSAStreamConcThickenerFeedStream_U</t>
  </si>
  <si>
    <t>NNC_OSAStreamConcThickenerFeedStream_F:(OSAStreamConcThickenerFeedStream_F &gt;= 0.0);</t>
  </si>
  <si>
    <t>NNC_OSAStreamConcThickenerFeedStream_F</t>
  </si>
  <si>
    <t>NNC_OSAStreamFlotationTailsStream_Cu:(OSAStreamFlotationTailsStream_Cu &gt;= 0.0);</t>
  </si>
  <si>
    <t>NNC_OSAStreamFlotationTailsStream_Cu</t>
  </si>
  <si>
    <t>NNC_OSAStreamFlotationTailsStream_Fe:(OSAStreamFlotationTailsStream_Fe &gt;= 0.0);</t>
  </si>
  <si>
    <t>NNC_OSAStreamFlotationTailsStream_Fe</t>
  </si>
  <si>
    <t>NNC_OSAStreamFlotationTailsStream_Au:(OSAStreamFlotationTailsStream_Au &gt;= 0.0);</t>
  </si>
  <si>
    <t>NNC_OSAStreamFlotationTailsStream_Au</t>
  </si>
  <si>
    <t>NNC_OSAStreamFlotationTailsStream_Ag:(OSAStreamFlotationTailsStream_Ag &gt;= 0.0);</t>
  </si>
  <si>
    <t>NNC_OSAStreamFlotationTailsStream_Ag</t>
  </si>
  <si>
    <t>NNC_OSAStreamFlotationTailsStream_S:(OSAStreamFlotationTailsStream_S &gt;= 0.0);</t>
  </si>
  <si>
    <t>NNC_OSAStreamFlotationTailsStream_S</t>
  </si>
  <si>
    <t>NNC_OSAStreamFlotationTailsStream_U:(OSAStreamFlotationTailsStream_U &gt;= 0.0);</t>
  </si>
  <si>
    <t>NNC_OSAStreamFlotationTailsStream_U</t>
  </si>
  <si>
    <t>NNC_OSAStreamFlotationTailsStream_F:(OSAStreamFlotationTailsStream_F &gt;= 0.0);</t>
  </si>
  <si>
    <t>NNC_OSAStreamFlotationTailsStream_F</t>
  </si>
  <si>
    <t>NNC_OSAStreamRougherFeedStream_Cu:(OSAStreamRougherFeedStream_Cu &gt;= 0.0);</t>
  </si>
  <si>
    <t>NNC_OSAStreamRougherFeedStream_Cu</t>
  </si>
  <si>
    <t>NNC_OSAStreamRougherFeedStream_Fe:(OSAStreamRougherFeedStream_Fe &gt;= 0.0);</t>
  </si>
  <si>
    <t>NNC_OSAStreamRougherFeedStream_Fe</t>
  </si>
  <si>
    <t>NNC_OSAStreamRougherFeedStream_Au:(OSAStreamRougherFeedStream_Au &gt;= 0.0);</t>
  </si>
  <si>
    <t>NNC_OSAStreamRougherFeedStream_Au</t>
  </si>
  <si>
    <t>NNC_OSAStreamRougherFeedStream_Ag:(OSAStreamRougherFeedStream_Ag &gt;= 0.0);</t>
  </si>
  <si>
    <t>NNC_OSAStreamRougherFeedStream_Ag</t>
  </si>
  <si>
    <t>NNC_OSAStreamRougherFeedStream_S:(OSAStreamRougherFeedStream_S &gt;= 0.0);</t>
  </si>
  <si>
    <t>NNC_OSAStreamRougherFeedStream_S</t>
  </si>
  <si>
    <t>NNC_OSAStreamRougherFeedStream_U:(OSAStreamRougherFeedStream_U &gt;= 0.0);</t>
  </si>
  <si>
    <t>NNC_OSAStreamRougherFeedStream_U</t>
  </si>
  <si>
    <t>NNC_OSAStreamRougherFeedStream_F:(OSAStreamRougherFeedStream_F &gt;= 0.0);</t>
  </si>
  <si>
    <t>NNC_OSAStreamRougherFeedStream_F</t>
  </si>
  <si>
    <t>NNC_PressureFilterFeedStream_Cu:(PressureFilterFeedStream_Cu &gt;= 0.0);</t>
  </si>
  <si>
    <t>NNC_PressureFilterFeedStream_Cu</t>
  </si>
  <si>
    <t>NNC_PressureFilterFeedStream_Fe:(PressureFilterFeedStream_Fe &gt;= 0.0);</t>
  </si>
  <si>
    <t>NNC_PressureFilterFeedStream_Fe</t>
  </si>
  <si>
    <t>NNC_PressureFilterFeedStream_Au:(PressureFilterFeedStream_Au &gt;= 0.0);</t>
  </si>
  <si>
    <t>NNC_PressureFilterFeedStream_Au</t>
  </si>
  <si>
    <t>NNC_PressureFilterFeedStream_Ag:(PressureFilterFeedStream_Ag &gt;= 0.0);</t>
  </si>
  <si>
    <t>NNC_PressureFilterFeedStream_Ag</t>
  </si>
  <si>
    <t>NNC_PressureFilterFeedStream_S:(PressureFilterFeedStream_S &gt;= 0.0);</t>
  </si>
  <si>
    <t>NNC_PressureFilterFeedStream_S</t>
  </si>
  <si>
    <t>NNC_PressureFilterFeedStream_U:(PressureFilterFeedStream_U &gt;= 0.0);</t>
  </si>
  <si>
    <t>NNC_PressureFilterFeedStream_U</t>
  </si>
  <si>
    <t>NNC_PressureFilterFeedStream_F:(PressureFilterFeedStream_F &gt;= 0.0);</t>
  </si>
  <si>
    <t>NNC_PressureFilterFeedStream_F</t>
  </si>
  <si>
    <t>NNC_PressureFilterUnderflowStream_Cu:(PressureFilterUnderflowStream_Cu &gt;= 0.0);</t>
  </si>
  <si>
    <t>NNC_PressureFilterUnderflowStream_Cu</t>
  </si>
  <si>
    <t>NNC_PressureFilterUnderflowStream_Fe:(PressureFilterUnderflowStream_Fe &gt;= 0.0);</t>
  </si>
  <si>
    <t>NNC_PressureFilterUnderflowStream_Fe</t>
  </si>
  <si>
    <t>NNC_PressureFilterUnderflowStream_Au:(PressureFilterUnderflowStream_Au &gt;= 0.0);</t>
  </si>
  <si>
    <t>NNC_PressureFilterUnderflowStream_Au</t>
  </si>
  <si>
    <t>NNC_PressureFilterUnderflowStream_Ag:(PressureFilterUnderflowStream_Ag &gt;= 0.0);</t>
  </si>
  <si>
    <t>NNC_PressureFilterUnderflowStream_Ag</t>
  </si>
  <si>
    <t>NNC_PressureFilterUnderflowStream_S:(PressureFilterUnderflowStream_S &gt;= 0.0);</t>
  </si>
  <si>
    <t>NNC_PressureFilterUnderflowStream_S</t>
  </si>
  <si>
    <t>NNC_PressureFilterUnderflowStream_U:(PressureFilterUnderflowStream_U &gt;= 0.0);</t>
  </si>
  <si>
    <t>NNC_PressureFilterUnderflowStream_U</t>
  </si>
  <si>
    <t>NNC_PressureFilterUnderflowStream_F:(PressureFilterUnderflowStream_F &gt;= 0.0);</t>
  </si>
  <si>
    <t>NNC_PressureFilterUnderflowStream_F</t>
  </si>
  <si>
    <t>NNC_SAGMillFeedStream_Cu:(SAGMillFeedStream_Cu &gt;= 0.0);</t>
  </si>
  <si>
    <t>NNC_SAGMillFeedStream_Cu</t>
  </si>
  <si>
    <t>NNC_SAGMillFeedStream_Fe:(SAGMillFeedStream_Fe &gt;= 0.0);</t>
  </si>
  <si>
    <t>NNC_SAGMillFeedStream_Fe</t>
  </si>
  <si>
    <t>NNC_SAGMillFeedStream_Au:(SAGMillFeedStream_Au &gt;= 0.0);</t>
  </si>
  <si>
    <t>NNC_SAGMillFeedStream_Au</t>
  </si>
  <si>
    <t>NNC_SAGMillFeedStream_Ag:(SAGMillFeedStream_Ag &gt;= 0.0);</t>
  </si>
  <si>
    <t>NNC_SAGMillFeedStream_Ag</t>
  </si>
  <si>
    <t>NNC_SAGMillFeedStream_S:(SAGMillFeedStream_S &gt;= 0.0);</t>
  </si>
  <si>
    <t>NNC_SAGMillFeedStream_S</t>
  </si>
  <si>
    <t>NNC_SAGMillFeedStream_U:(SAGMillFeedStream_U &gt;= 0.0);</t>
  </si>
  <si>
    <t>NNC_SAGMillFeedStream_U</t>
  </si>
  <si>
    <t>NNC_SAGMillFeedStream_F:(SAGMillFeedStream_F &gt;= 0.0);</t>
  </si>
  <si>
    <t>NNC_SAGMillFeedStream_F</t>
  </si>
  <si>
    <t>NNC_SpillageReturnStream_Cu:(SpillageReturnStream_Cu &gt;= 0.0);</t>
  </si>
  <si>
    <t>NNC_SpillageReturnStream_Cu</t>
  </si>
  <si>
    <t>NNC_SpillageReturnStream_Fe:(SpillageReturnStream_Fe &gt;= 0.0);</t>
  </si>
  <si>
    <t>NNC_SpillageReturnStream_Fe</t>
  </si>
  <si>
    <t>NNC_SpillageReturnStream_Au:(SpillageReturnStream_Au &gt;= 0.0);</t>
  </si>
  <si>
    <t>NNC_SpillageReturnStream_Au</t>
  </si>
  <si>
    <t>NNC_SpillageReturnStream_Ag:(SpillageReturnStream_Ag &gt;= 0.0);</t>
  </si>
  <si>
    <t>NNC_SpillageReturnStream_Ag</t>
  </si>
  <si>
    <t>NNC_SpillageReturnStream_S:(SpillageReturnStream_S &gt;= 0.0);</t>
  </si>
  <si>
    <t>NNC_SpillageReturnStream_S</t>
  </si>
  <si>
    <t>NNC_SpillageReturnStream_U:(SpillageReturnStream_U &gt;= 0.0);</t>
  </si>
  <si>
    <t>NNC_SpillageReturnStream_U</t>
  </si>
  <si>
    <t>NNC_SpillageReturnStream_F:(SpillageReturnStream_F &gt;= 0.0);</t>
  </si>
  <si>
    <t>NNC_SpillageReturnStream_F</t>
  </si>
  <si>
    <t>NNC_TailsThickenerUnderflowStream_Cu:(TailsThickenerUnderflowStream_Cu &gt;= 0.0);</t>
  </si>
  <si>
    <t>NNC_TailsThickenerUnderflowStream_Cu</t>
  </si>
  <si>
    <t>NNC_TailsThickenerUnderflowStream_Fe:(TailsThickenerUnderflowStream_Fe &gt;= 0.0);</t>
  </si>
  <si>
    <t>NNC_TailsThickenerUnderflowStream_Fe</t>
  </si>
  <si>
    <t>NNC_TailsThickenerUnderflowStream_Au:(TailsThickenerUnderflowStream_Au &gt;= 0.0);</t>
  </si>
  <si>
    <t>NNC_TailsThickenerUnderflowStream_Au</t>
  </si>
  <si>
    <t>NNC_TailsThickenerUnderflowStream_Ag:(TailsThickenerUnderflowStream_Ag &gt;= 0.0);</t>
  </si>
  <si>
    <t>NNC_TailsThickenerUnderflowStream_Ag</t>
  </si>
  <si>
    <t>NNC_TailsThickenerUnderflowStream_S:(TailsThickenerUnderflowStream_S &gt;= 0.0);</t>
  </si>
  <si>
    <t>NNC_TailsThickenerUnderflowStream_S</t>
  </si>
  <si>
    <t>NNC_TailsThickenerUnderflowStream_U:(TailsThickenerUnderflowStream_U &gt;= 0.0);</t>
  </si>
  <si>
    <t>NNC_TailsThickenerUnderflowStream_U</t>
  </si>
  <si>
    <t>NNC_TailsThickenerUnderflowStream_F:(TailsThickenerUnderflowStream_F &gt;= 0.0);</t>
  </si>
  <si>
    <t>NNC_TailsThickenerUnderflowStream_F</t>
  </si>
  <si>
    <t>/* Measurement Constraint Equations */</t>
  </si>
  <si>
    <t>VariableName</t>
  </si>
  <si>
    <t>Measurement</t>
  </si>
  <si>
    <t>Initialize</t>
  </si>
  <si>
    <t>CCLASStreamConcThickenerFeedStream_Mass:$NORMAL(0, 1200000000);</t>
  </si>
  <si>
    <t>CCLASStreamConcThickenerFeedStream_Mass</t>
  </si>
  <si>
    <t>CCLASStreamConcThickenerFeedStream_Cu:$NORMAL(0, 100000000);</t>
  </si>
  <si>
    <t>CCLASStreamConcThickenerFeedStream_Cu</t>
  </si>
  <si>
    <t>CCLASStreamConcThickenerFeedStream_Fe:$NORMAL(0, 100000000);</t>
  </si>
  <si>
    <t>CCLASStreamConcThickenerFeedStream_Fe</t>
  </si>
  <si>
    <t>CCLASStreamConcThickenerFeedStream_Au:$NORMAL(0, 10000);</t>
  </si>
  <si>
    <t>CCLASStreamConcThickenerFeedStream_Au</t>
  </si>
  <si>
    <t>CCLASStreamConcThickenerFeedStream_Ag:$NORMAL(0, 10000);</t>
  </si>
  <si>
    <t>CCLASStreamConcThickenerFeedStream_Ag</t>
  </si>
  <si>
    <t>CCLASStreamConcThickenerFeedStream_S:$NORMAL(0, 100000000);</t>
  </si>
  <si>
    <t>CCLASStreamConcThickenerFeedStream_S</t>
  </si>
  <si>
    <t>CCLASStreamConcThickenerFeedStream_U:$NORMAL(0, 10000);</t>
  </si>
  <si>
    <t>CCLASStreamConcThickenerFeedStream_U</t>
  </si>
  <si>
    <t>CCLASStreamConcThickenerFeedStream_F:$NORMAL(0, 10000);</t>
  </si>
  <si>
    <t>CCLASStreamConcThickenerFeedStream_F</t>
  </si>
  <si>
    <t>CCLASStreamFlotationTailsStream_Mass:$NORMAL(0, 1200000000);</t>
  </si>
  <si>
    <t>CCLASStreamFlotationTailsStream_Mass</t>
  </si>
  <si>
    <t>CCLASStreamFlotationTailsStream_Cu:$NORMAL(.18662, .018662);</t>
  </si>
  <si>
    <t>CCLASStreamFlotationTailsStream_Cu</t>
  </si>
  <si>
    <t>CCLASStreamFlotationTailsStream_Fe:$NORMAL(6.28239, .628239);</t>
  </si>
  <si>
    <t>CCLASStreamFlotationTailsStream_Fe</t>
  </si>
  <si>
    <t>CCLASStreamFlotationTailsStream_Au:$NORMAL(.000010442, .0000010442);</t>
  </si>
  <si>
    <t>CCLASStreamFlotationTailsStream_Au</t>
  </si>
  <si>
    <t>CCLASStreamFlotationTailsStream_Ag:$NORMAL(.000219283, .0000219283);</t>
  </si>
  <si>
    <t>CCLASStreamFlotationTailsStream_Ag</t>
  </si>
  <si>
    <t>CCLASStreamFlotationTailsStream_S:$NORMAL(5.99782, .599782);</t>
  </si>
  <si>
    <t>CCLASStreamFlotationTailsStream_S</t>
  </si>
  <si>
    <t>CCLASStreamFlotationTailsStream_U:$NORMAL(.00594541, .000594541);</t>
  </si>
  <si>
    <t>CCLASStreamFlotationTailsStream_U</t>
  </si>
  <si>
    <t>CCLASStreamFlotationTailsStream_F:$NORMAL(.04530937, .004530937);</t>
  </si>
  <si>
    <t>CCLASStreamFlotationTailsStream_F</t>
  </si>
  <si>
    <t>CCLASStreamRougherFeedStream_Mass:$NORMAL(0, 1200000000);</t>
  </si>
  <si>
    <t>CCLASStreamRougherFeedStream_Mass</t>
  </si>
  <si>
    <t>CCLASStreamRougherFeedStream_Cu:$NORMAL(1.38745, .138745);</t>
  </si>
  <si>
    <t>CCLASStreamRougherFeedStream_Cu</t>
  </si>
  <si>
    <t>CCLASStreamRougherFeedStream_Fe:$NORMAL(6.49355, .649355);</t>
  </si>
  <si>
    <t>CCLASStreamRougherFeedStream_Fe</t>
  </si>
  <si>
    <t>CCLASStreamRougherFeedStream_Au:$NORMAL(.000043624, .0000043624);</t>
  </si>
  <si>
    <t>CCLASStreamRougherFeedStream_Au</t>
  </si>
  <si>
    <t>CCLASStreamRougherFeedStream_Ag:$NORMAL(.000579352, .0000579352);</t>
  </si>
  <si>
    <t>CCLASStreamRougherFeedStream_Ag</t>
  </si>
  <si>
    <t>CCLASStreamRougherFeedStream_S:$NORMAL(6.29934, .629934);</t>
  </si>
  <si>
    <t>CCLASStreamRougherFeedStream_S</t>
  </si>
  <si>
    <t>CCLASStreamRougherFeedStream_U:$NORMAL(.005938209, .0005938209);</t>
  </si>
  <si>
    <t>CCLASStreamRougherFeedStream_U</t>
  </si>
  <si>
    <t>CCLASStreamRougherFeedStream_F:$NORMAL(.045901387, .0045901387);</t>
  </si>
  <si>
    <t>CCLASStreamRougherFeedStream_F</t>
  </si>
  <si>
    <t>ConcStorageTank1_close_Mass:$NORMAL(491.80713, 49.180713);</t>
  </si>
  <si>
    <t>ConcStorageTank1_close_Mass</t>
  </si>
  <si>
    <t>ConcStorageTank1_open_Mass:$NORMAL(931.078978, 0);</t>
  </si>
  <si>
    <t>ConcStorageTank1_open_Mass</t>
  </si>
  <si>
    <t>ConcStorageTank1_close_Cu:$NORMAL(48.61461, 4.861461);</t>
  </si>
  <si>
    <t>ConcStorageTank1_close_Cu</t>
  </si>
  <si>
    <t>ConcStorageTank1_open_Cu:$NORMAL(46.803008, 0);</t>
  </si>
  <si>
    <t>ConcStorageTank1_open_Cu</t>
  </si>
  <si>
    <t>ConcStorageTank1_close_Fe:$NORMAL(15.70195, 1.570195);</t>
  </si>
  <si>
    <t>ConcStorageTank1_close_Fe</t>
  </si>
  <si>
    <t>ConcStorageTank1_open_Fe:$NORMAL(15.514926, 0);</t>
  </si>
  <si>
    <t>ConcStorageTank1_open_Fe</t>
  </si>
  <si>
    <t>ConcStorageTank1_close_Au:$NORMAL(.001335109, .0001335109);</t>
  </si>
  <si>
    <t>ConcStorageTank1_close_Au</t>
  </si>
  <si>
    <t>ConcStorageTank1_open_Au:$NORMAL(.0013139073, 0);</t>
  </si>
  <si>
    <t>ConcStorageTank1_open_Au</t>
  </si>
  <si>
    <t>ConcStorageTank1_close_Ag:$NORMAL(.014855127, .0014855127);</t>
  </si>
  <si>
    <t>ConcStorageTank1_close_Ag</t>
  </si>
  <si>
    <t>ConcStorageTank1_open_Ag:$NORMAL(.014585254, 0);</t>
  </si>
  <si>
    <t>ConcStorageTank1_open_Ag</t>
  </si>
  <si>
    <t>ConcStorageTank1_close_S:$NORMAL(18.14812, 1.814812);</t>
  </si>
  <si>
    <t>ConcStorageTank1_close_S</t>
  </si>
  <si>
    <t>ConcStorageTank1_open_S:$NORMAL(17.750843, 0);</t>
  </si>
  <si>
    <t>ConcStorageTank1_open_S</t>
  </si>
  <si>
    <t>ConcStorageTank1_close_U:$NORMAL(.005216988, .0005216988);</t>
  </si>
  <si>
    <t>ConcStorageTank1_close_U</t>
  </si>
  <si>
    <t>ConcStorageTank1_open_U:$NORMAL(.0051087674, 0);</t>
  </si>
  <si>
    <t>ConcStorageTank1_open_U</t>
  </si>
  <si>
    <t>ConcStorageTank1_close_F:$NORMAL(.068473831, .0068473831);</t>
  </si>
  <si>
    <t>ConcStorageTank1_close_F</t>
  </si>
  <si>
    <t>ConcStorageTank1_open_F:$NORMAL(.0670017734, 0);</t>
  </si>
  <si>
    <t>ConcStorageTank1_open_F</t>
  </si>
  <si>
    <t>ConcStorageTank1FeedStream_Mass:$NORMAL(0, 0);</t>
  </si>
  <si>
    <t>ConcStorageTank1FeedStream_Mass</t>
  </si>
  <si>
    <t>ConcStorageTank1FeedStream_Cu:$NORMAL(0, 100000000);</t>
  </si>
  <si>
    <t>ConcStorageTank1FeedStream_Cu</t>
  </si>
  <si>
    <t>ConcStorageTank1FeedStream_Fe:$NORMAL(0, 100000000);</t>
  </si>
  <si>
    <t>ConcStorageTank1FeedStream_Fe</t>
  </si>
  <si>
    <t>ConcStorageTank1FeedStream_Au:$NORMAL(0, 10000);</t>
  </si>
  <si>
    <t>ConcStorageTank1FeedStream_Au</t>
  </si>
  <si>
    <t>ConcStorageTank1FeedStream_Ag:$NORMAL(0, 10000);</t>
  </si>
  <si>
    <t>ConcStorageTank1FeedStream_Ag</t>
  </si>
  <si>
    <t>ConcStorageTank1FeedStream_S:$NORMAL(0, 100000000);</t>
  </si>
  <si>
    <t>ConcStorageTank1FeedStream_S</t>
  </si>
  <si>
    <t>ConcStorageTank1FeedStream_U:$NORMAL(0, 10000);</t>
  </si>
  <si>
    <t>ConcStorageTank1FeedStream_U</t>
  </si>
  <si>
    <t>ConcStorageTank1FeedStream_F:$NORMAL(0, 10000);</t>
  </si>
  <si>
    <t>ConcStorageTank1FeedStream_F</t>
  </si>
  <si>
    <t>ConcStorageTank1UnderflowStream_Mass:$NORMAL(418.8996, 41.88996);</t>
  </si>
  <si>
    <t>ConcStorageTank1UnderflowStream_Mass</t>
  </si>
  <si>
    <t>ConcStorageTank1UnderflowStream_Cu:$NORMAL(0, 100000000);</t>
  </si>
  <si>
    <t>ConcStorageTank1UnderflowStream_Cu</t>
  </si>
  <si>
    <t>ConcStorageTank1UnderflowStream_Fe:$NORMAL(0, 100000000);</t>
  </si>
  <si>
    <t>ConcStorageTank1UnderflowStream_Fe</t>
  </si>
  <si>
    <t>ConcStorageTank1UnderflowStream_Au:$NORMAL(0, 10000);</t>
  </si>
  <si>
    <t>ConcStorageTank1UnderflowStream_Au</t>
  </si>
  <si>
    <t>ConcStorageTank1UnderflowStream_Ag:$NORMAL(0, 10000);</t>
  </si>
  <si>
    <t>ConcStorageTank1UnderflowStream_Ag</t>
  </si>
  <si>
    <t>ConcStorageTank1UnderflowStream_S:$NORMAL(0, 100000000);</t>
  </si>
  <si>
    <t>ConcStorageTank1UnderflowStream_S</t>
  </si>
  <si>
    <t>ConcStorageTank1UnderflowStream_U:$NORMAL(0, 10000);</t>
  </si>
  <si>
    <t>ConcStorageTank1UnderflowStream_U</t>
  </si>
  <si>
    <t>ConcStorageTank1UnderflowStream_F:$NORMAL(0, 10000);</t>
  </si>
  <si>
    <t>ConcStorageTank1UnderflowStream_F</t>
  </si>
  <si>
    <t>ConcStorageTank2_close_Mass:$NORMAL(501.40381, 50.140381);</t>
  </si>
  <si>
    <t>ConcStorageTank2_close_Mass</t>
  </si>
  <si>
    <t>ConcStorageTank2_open_Mass:$NORMAL(200.863942, 0);</t>
  </si>
  <si>
    <t>ConcStorageTank2_open_Mass</t>
  </si>
  <si>
    <t>ConcStorageTank2_close_Cu:$NORMAL(47.92096, 4.792096);</t>
  </si>
  <si>
    <t>ConcStorageTank2_close_Cu</t>
  </si>
  <si>
    <t>ConcStorageTank2_open_Cu:$NORMAL(47.559143, 0);</t>
  </si>
  <si>
    <t>ConcStorageTank2_open_Cu</t>
  </si>
  <si>
    <t>ConcStorageTank2_close_Fe:$NORMAL(14.81783, 1.481783);</t>
  </si>
  <si>
    <t>ConcStorageTank2_close_Fe</t>
  </si>
  <si>
    <t>ConcStorageTank2_open_Fe:$NORMAL(14.991615, 0);</t>
  </si>
  <si>
    <t>ConcStorageTank2_open_Fe</t>
  </si>
  <si>
    <t>ConcStorageTank2_close_Au:$NORMAL(.001314217, .0001314217);</t>
  </si>
  <si>
    <t>ConcStorageTank2_close_Au</t>
  </si>
  <si>
    <t>ConcStorageTank2_open_Au:$NORMAL(.0012884338, 0);</t>
  </si>
  <si>
    <t>ConcStorageTank2_open_Au</t>
  </si>
  <si>
    <t>ConcStorageTank2_close_Ag:$NORMAL(.014544872, .0014544872);</t>
  </si>
  <si>
    <t>ConcStorageTank2_close_Ag</t>
  </si>
  <si>
    <t>ConcStorageTank2_open_Ag:$NORMAL(.0145145034, 0);</t>
  </si>
  <si>
    <t>ConcStorageTank2_open_Ag</t>
  </si>
  <si>
    <t>ConcStorageTank2_close_S:$NORMAL(17.80425, 1.780425);</t>
  </si>
  <si>
    <t>ConcStorageTank2_close_S</t>
  </si>
  <si>
    <t>ConcStorageTank2_open_S:$NORMAL(17.46523, 0);</t>
  </si>
  <si>
    <t>ConcStorageTank2_open_S</t>
  </si>
  <si>
    <t>ConcStorageTank2_close_U:$NORMAL(.005595907, .0005595907);</t>
  </si>
  <si>
    <t>ConcStorageTank2_close_U</t>
  </si>
  <si>
    <t>ConcStorageTank2_open_U:$NORMAL(.0054770572, 0);</t>
  </si>
  <si>
    <t>ConcStorageTank2_open_U</t>
  </si>
  <si>
    <t>ConcStorageTank2_close_F:$NORMAL(.068559126, .0068559126);</t>
  </si>
  <si>
    <t>ConcStorageTank2_close_F</t>
  </si>
  <si>
    <t>ConcStorageTank2_open_F:$NORMAL(.0678291362, 0);</t>
  </si>
  <si>
    <t>ConcStorageTank2_open_F</t>
  </si>
  <si>
    <t>ConcStorageTank2FeedStream_Mass:$NORMAL(298.61424, 29.861424);</t>
  </si>
  <si>
    <t>ConcStorageTank2FeedStream_Mass</t>
  </si>
  <si>
    <t>ConcStorageTank2FeedStream_Cu:$NORMAL(0, 100000000);</t>
  </si>
  <si>
    <t>ConcStorageTank2FeedStream_Cu</t>
  </si>
  <si>
    <t>ConcStorageTank2FeedStream_Fe:$NORMAL(0, 100000000);</t>
  </si>
  <si>
    <t>ConcStorageTank2FeedStream_Fe</t>
  </si>
  <si>
    <t>ConcStorageTank2FeedStream_Au:$NORMAL(0, 10000);</t>
  </si>
  <si>
    <t>ConcStorageTank2FeedStream_Au</t>
  </si>
  <si>
    <t>ConcStorageTank2FeedStream_Ag:$NORMAL(0, 10000);</t>
  </si>
  <si>
    <t>ConcStorageTank2FeedStream_Ag</t>
  </si>
  <si>
    <t>ConcStorageTank2FeedStream_S:$NORMAL(0, 100000000);</t>
  </si>
  <si>
    <t>ConcStorageTank2FeedStream_S</t>
  </si>
  <si>
    <t>ConcStorageTank2FeedStream_U:$NORMAL(0, 10000);</t>
  </si>
  <si>
    <t>ConcStorageTank2FeedStream_U</t>
  </si>
  <si>
    <t>ConcStorageTank2FeedStream_F:$NORMAL(0, 10000);</t>
  </si>
  <si>
    <t>ConcStorageTank2FeedStream_F</t>
  </si>
  <si>
    <t>ConcStorageTank2UnderflowStream_Mass:$NORMAL(0, 0);</t>
  </si>
  <si>
    <t>ConcStorageTank2UnderflowStream_Mass</t>
  </si>
  <si>
    <t>ConcStorageTank2UnderflowStream_Cu:$NORMAL(0, 100000000);</t>
  </si>
  <si>
    <t>ConcStorageTank2UnderflowStream_Cu</t>
  </si>
  <si>
    <t>ConcStorageTank2UnderflowStream_Fe:$NORMAL(0, 100000000);</t>
  </si>
  <si>
    <t>ConcStorageTank2UnderflowStream_Fe</t>
  </si>
  <si>
    <t>ConcStorageTank2UnderflowStream_Au:$NORMAL(0, 10000);</t>
  </si>
  <si>
    <t>ConcStorageTank2UnderflowStream_Au</t>
  </si>
  <si>
    <t>ConcStorageTank2UnderflowStream_Ag:$NORMAL(0, 10000);</t>
  </si>
  <si>
    <t>ConcStorageTank2UnderflowStream_Ag</t>
  </si>
  <si>
    <t>ConcStorageTank2UnderflowStream_S:$NORMAL(0, 100000000);</t>
  </si>
  <si>
    <t>ConcStorageTank2UnderflowStream_S</t>
  </si>
  <si>
    <t>ConcStorageTank2UnderflowStream_U:$NORMAL(0, 10000);</t>
  </si>
  <si>
    <t>ConcStorageTank2UnderflowStream_U</t>
  </si>
  <si>
    <t>ConcStorageTank2UnderflowStream_F:$NORMAL(0, 10000);</t>
  </si>
  <si>
    <t>ConcStorageTank2UnderflowStream_F</t>
  </si>
  <si>
    <t>ConcThickener_close_Mass:$NORMAL(0, 100000000);</t>
  </si>
  <si>
    <t>ConcThickener_close_Mass</t>
  </si>
  <si>
    <t>ConcThickener_open_Mass:$NORMAL(1002.307494, 0);</t>
  </si>
  <si>
    <t>ConcThickener_open_Mass</t>
  </si>
  <si>
    <t>ConcThickener_close_Cu:$NORMAL(0, 100000000);</t>
  </si>
  <si>
    <t>ConcThickener_close_Cu</t>
  </si>
  <si>
    <t>ConcThickener_open_Cu:$NORMAL(46.817815, 0);</t>
  </si>
  <si>
    <t>ConcThickener_open_Cu</t>
  </si>
  <si>
    <t>ConcThickener_close_Fe:$NORMAL(0, 100000000);</t>
  </si>
  <si>
    <t>ConcThickener_close_Fe</t>
  </si>
  <si>
    <t>ConcThickener_open_Fe:$NORMAL(15.416853, 0);</t>
  </si>
  <si>
    <t>ConcThickener_open_Fe</t>
  </si>
  <si>
    <t>ConcThickener_close_Au:$NORMAL(0, 10000);</t>
  </si>
  <si>
    <t>ConcThickener_close_Au</t>
  </si>
  <si>
    <t>ConcThickener_open_Au:$NORMAL(.0013183448, 0);</t>
  </si>
  <si>
    <t>ConcThickener_open_Au</t>
  </si>
  <si>
    <t>ConcThickener_close_Ag:$NORMAL(0, 10000);</t>
  </si>
  <si>
    <t>ConcThickener_close_Ag</t>
  </si>
  <si>
    <t>ConcThickener_open_Ag:$NORMAL(.0145066251, 0);</t>
  </si>
  <si>
    <t>ConcThickener_open_Ag</t>
  </si>
  <si>
    <t>ConcThickener_close_S:$NORMAL(0, 100000000);</t>
  </si>
  <si>
    <t>ConcThickener_close_S</t>
  </si>
  <si>
    <t>ConcThickener_open_S:$NORMAL(17.756429, 0);</t>
  </si>
  <si>
    <t>ConcThickener_open_S</t>
  </si>
  <si>
    <t>ConcThickener_close_U:$NORMAL(0, 10000);</t>
  </si>
  <si>
    <t>ConcThickener_close_U</t>
  </si>
  <si>
    <t>ConcThickener_open_U:$NORMAL(.0050968631, 0);</t>
  </si>
  <si>
    <t>ConcThickener_open_U</t>
  </si>
  <si>
    <t>ConcThickener_close_F:$NORMAL(0, 10000);</t>
  </si>
  <si>
    <t>ConcThickener_close_F</t>
  </si>
  <si>
    <t>ConcThickener_open_F:$NORMAL(.0664585441, 0);</t>
  </si>
  <si>
    <t>ConcThickener_open_F</t>
  </si>
  <si>
    <t>ConcThickenerUnderflowStream_Mass:$NORMAL(298.61424, 29.861424);</t>
  </si>
  <si>
    <t>ConcThickenerUnderflowStream_Mass</t>
  </si>
  <si>
    <t>ConcThickenerUnderflowStream_Cu:$NORMAL(47.90221, 4.790221);</t>
  </si>
  <si>
    <t>ConcThickenerUnderflowStream_Cu</t>
  </si>
  <si>
    <t>ConcThickenerUnderflowStream_Fe:$NORMAL(14.67245, 1.467245);</t>
  </si>
  <si>
    <t>ConcThickenerUnderflowStream_Fe</t>
  </si>
  <si>
    <t>ConcThickenerUnderflowStream_Au:$NORMAL(.001353066, .0001353066);</t>
  </si>
  <si>
    <t>ConcThickenerUnderflowStream_Au</t>
  </si>
  <si>
    <t>ConcThickenerUnderflowStream_Ag:$NORMAL(.014527066, .0014527066);</t>
  </si>
  <si>
    <t>ConcThickenerUnderflowStream_Ag</t>
  </si>
  <si>
    <t>ConcThickenerUnderflowStream_S:$NORMAL(17.97936, 1.797936);</t>
  </si>
  <si>
    <t>ConcThickenerUnderflowStream_S</t>
  </si>
  <si>
    <t>ConcThickenerUnderflowStream_U:$NORMAL(.00566002, .000566002);</t>
  </si>
  <si>
    <t>ConcThickenerUnderflowStream_U</t>
  </si>
  <si>
    <t>ConcThickenerUnderflowStream_F:$NORMAL(.068834343, .0068834343);</t>
  </si>
  <si>
    <t>ConcThickenerUnderflowStream_F</t>
  </si>
  <si>
    <t>OSAStreamConcThickenerFeedStream_Mass:$NORMAL(0, 1200000000);</t>
  </si>
  <si>
    <t>OSAStreamConcThickenerFeedStream_Mass</t>
  </si>
  <si>
    <t>OSAStreamConcThickenerFeedStream_Cu:$NORMAL(47.08775, 4.708775);</t>
  </si>
  <si>
    <t>OSAStreamConcThickenerFeedStream_Cu</t>
  </si>
  <si>
    <t>OSAStreamConcThickenerFeedStream_Fe:$NORMAL(15.74202, 1.574202);</t>
  </si>
  <si>
    <t>OSAStreamConcThickenerFeedStream_Fe</t>
  </si>
  <si>
    <t>OSAStreamConcThickenerFeedStream_Au:$NORMAL(0, 10000);</t>
  </si>
  <si>
    <t>OSAStreamConcThickenerFeedStream_Au</t>
  </si>
  <si>
    <t>OSAStreamConcThickenerFeedStream_Ag:$NORMAL(0, 10000);</t>
  </si>
  <si>
    <t>OSAStreamConcThickenerFeedStream_Ag</t>
  </si>
  <si>
    <t>OSAStreamConcThickenerFeedStream_S:$NORMAL(0, 100000000);</t>
  </si>
  <si>
    <t>OSAStreamConcThickenerFeedStream_S</t>
  </si>
  <si>
    <t>OSAStreamConcThickenerFeedStream_U:$NORMAL(0, 10000);</t>
  </si>
  <si>
    <t>OSAStreamConcThickenerFeedStream_U</t>
  </si>
  <si>
    <t>OSAStreamConcThickenerFeedStream_F:$NORMAL(0, 10000);</t>
  </si>
  <si>
    <t>OSAStreamConcThickenerFeedStream_F</t>
  </si>
  <si>
    <t>OSAStreamFlotationTailsStream_Mass:$NORMAL(0, 1200000000);</t>
  </si>
  <si>
    <t>OSAStreamFlotationTailsStream_Mass</t>
  </si>
  <si>
    <t>OSAStreamFlotationTailsStream_Cu:$NORMAL(.18337, .018337);</t>
  </si>
  <si>
    <t>OSAStreamFlotationTailsStream_Cu</t>
  </si>
  <si>
    <t>OSAStreamFlotationTailsStream_Fe:$NORMAL(6.11496, .611496);</t>
  </si>
  <si>
    <t>OSAStreamFlotationTailsStream_Fe</t>
  </si>
  <si>
    <t>OSAStreamFlotationTailsStream_Au:$NORMAL(0, 10000);</t>
  </si>
  <si>
    <t>OSAStreamFlotationTailsStream_Au</t>
  </si>
  <si>
    <t>OSAStreamFlotationTailsStream_Ag:$NORMAL(0, 10000);</t>
  </si>
  <si>
    <t>OSAStreamFlotationTailsStream_Ag</t>
  </si>
  <si>
    <t>OSAStreamFlotationTailsStream_S:$NORMAL(0, 100000000);</t>
  </si>
  <si>
    <t>OSAStreamFlotationTailsStream_S</t>
  </si>
  <si>
    <t>OSAStreamFlotationTailsStream_U:$NORMAL(0, 10000);</t>
  </si>
  <si>
    <t>OSAStreamFlotationTailsStream_U</t>
  </si>
  <si>
    <t>OSAStreamFlotationTailsStream_F:$NORMAL(0, 10000);</t>
  </si>
  <si>
    <t>OSAStreamFlotationTailsStream_F</t>
  </si>
  <si>
    <t>OSAStreamRougherFeedStream_Mass:$NORMAL(0, 1200000000);</t>
  </si>
  <si>
    <t>OSAStreamRougherFeedStream_Mass</t>
  </si>
  <si>
    <t>OSAStreamRougherFeedStream_Cu:$NORMAL(1.3679, .13679);</t>
  </si>
  <si>
    <t>OSAStreamRougherFeedStream_Cu</t>
  </si>
  <si>
    <t>OSAStreamRougherFeedStream_Fe:$NORMAL(6.38199, .638199);</t>
  </si>
  <si>
    <t>OSAStreamRougherFeedStream_Fe</t>
  </si>
  <si>
    <t>OSAStreamRougherFeedStream_Au:$NORMAL(0, 10000);</t>
  </si>
  <si>
    <t>OSAStreamRougherFeedStream_Au</t>
  </si>
  <si>
    <t>OSAStreamRougherFeedStream_Ag:$NORMAL(0, 10000);</t>
  </si>
  <si>
    <t>OSAStreamRougherFeedStream_Ag</t>
  </si>
  <si>
    <t>OSAStreamRougherFeedStream_S:$NORMAL(0, 100000000);</t>
  </si>
  <si>
    <t>OSAStreamRougherFeedStream_S</t>
  </si>
  <si>
    <t>OSAStreamRougherFeedStream_U:$NORMAL(0, 10000);</t>
  </si>
  <si>
    <t>OSAStreamRougherFeedStream_U</t>
  </si>
  <si>
    <t>OSAStreamRougherFeedStream_F:$NORMAL(0, 10000);</t>
  </si>
  <si>
    <t>OSAStreamRougherFeedStream_F</t>
  </si>
  <si>
    <t>PressureFilterFeedStream_Mass:$NORMAL(418.9, 41.89);</t>
  </si>
  <si>
    <t>PressureFilterFeedStream_Mass</t>
  </si>
  <si>
    <t>PressureFilterFeedStream_Cu:$NORMAL(0, 100000000);</t>
  </si>
  <si>
    <t>PressureFilterFeedStream_Cu</t>
  </si>
  <si>
    <t>PressureFilterFeedStream_Fe:$NORMAL(0, 100000000);</t>
  </si>
  <si>
    <t>PressureFilterFeedStream_Fe</t>
  </si>
  <si>
    <t>PressureFilterFeedStream_Au:$NORMAL(0, 10000);</t>
  </si>
  <si>
    <t>PressureFilterFeedStream_Au</t>
  </si>
  <si>
    <t>PressureFilterFeedStream_Ag:$NORMAL(0, 10000);</t>
  </si>
  <si>
    <t>PressureFilterFeedStream_Ag</t>
  </si>
  <si>
    <t>PressureFilterFeedStream_S:$NORMAL(0, 100000000);</t>
  </si>
  <si>
    <t>PressureFilterFeedStream_S</t>
  </si>
  <si>
    <t>PressureFilterFeedStream_U:$NORMAL(0, 10000);</t>
  </si>
  <si>
    <t>PressureFilterFeedStream_U</t>
  </si>
  <si>
    <t>PressureFilterFeedStream_F:$NORMAL(0, 10000);</t>
  </si>
  <si>
    <t>PressureFilterFeedStream_F</t>
  </si>
  <si>
    <t>PressureFilterUnderflowStream_Mass:$NORMAL(0, 1200000000);</t>
  </si>
  <si>
    <t>PressureFilterUnderflowStream_Mass</t>
  </si>
  <si>
    <t>PressureFilterUnderflowStream_Cu:$NORMAL(0, 100000000);</t>
  </si>
  <si>
    <t>PressureFilterUnderflowStream_Cu</t>
  </si>
  <si>
    <t>PressureFilterUnderflowStream_Fe:$NORMAL(0, 100000000);</t>
  </si>
  <si>
    <t>PressureFilterUnderflowStream_Fe</t>
  </si>
  <si>
    <t>PressureFilterUnderflowStream_Au:$NORMAL(0, 10000);</t>
  </si>
  <si>
    <t>PressureFilterUnderflowStream_Au</t>
  </si>
  <si>
    <t>PressureFilterUnderflowStream_Ag:$NORMAL(0, 10000);</t>
  </si>
  <si>
    <t>PressureFilterUnderflowStream_Ag</t>
  </si>
  <si>
    <t>PressureFilterUnderflowStream_S:$NORMAL(0, 100000000);</t>
  </si>
  <si>
    <t>PressureFilterUnderflowStream_S</t>
  </si>
  <si>
    <t>PressureFilterUnderflowStream_U:$NORMAL(0, 10000);</t>
  </si>
  <si>
    <t>PressureFilterUnderflowStream_U</t>
  </si>
  <si>
    <t>PressureFilterUnderflowStream_F:$NORMAL(0, 10000);</t>
  </si>
  <si>
    <t>PressureFilterUnderflowStream_F</t>
  </si>
  <si>
    <t>SAGMillFeedStream_Mass:$NORMAL(11865.27084, 237.3054168);</t>
  </si>
  <si>
    <t>SAGMillFeedStream_Mass</t>
  </si>
  <si>
    <t>SAGMillFeedStream_Cu:$NORMAL(0, 100000000);</t>
  </si>
  <si>
    <t>SAGMillFeedStream_Cu</t>
  </si>
  <si>
    <t>SAGMillFeedStream_Fe:$NORMAL(0, 100000000);</t>
  </si>
  <si>
    <t>SAGMillFeedStream_Fe</t>
  </si>
  <si>
    <t>SAGMillFeedStream_Au:$NORMAL(0, 10000);</t>
  </si>
  <si>
    <t>SAGMillFeedStream_Au</t>
  </si>
  <si>
    <t>SAGMillFeedStream_Ag:$NORMAL(0, 10000);</t>
  </si>
  <si>
    <t>SAGMillFeedStream_Ag</t>
  </si>
  <si>
    <t>SAGMillFeedStream_S:$NORMAL(0, 100000000);</t>
  </si>
  <si>
    <t>SAGMillFeedStream_S</t>
  </si>
  <si>
    <t>SAGMillFeedStream_U:$NORMAL(0, 10000);</t>
  </si>
  <si>
    <t>SAGMillFeedStream_U</t>
  </si>
  <si>
    <t>SAGMillFeedStream_F:$NORMAL(0, 10000);</t>
  </si>
  <si>
    <t>SAGMillFeedStream_F</t>
  </si>
  <si>
    <t>SpillageReturnStream_Mass:$NORMAL(0, 0);</t>
  </si>
  <si>
    <t>SpillageReturnStream_Mass</t>
  </si>
  <si>
    <t>SpillageReturnStream_Cu:$NORMAL(0, 100000000);</t>
  </si>
  <si>
    <t>SpillageReturnStream_Fe:$NORMAL(0, 100000000);</t>
  </si>
  <si>
    <t>SpillageReturnStream_Au:$NORMAL(0, 10000);</t>
  </si>
  <si>
    <t>SpillageReturnStream_Ag:$NORMAL(0, 10000);</t>
  </si>
  <si>
    <t>SpillageReturnStream_S:$NORMAL(0, 100000000);</t>
  </si>
  <si>
    <t>SpillageReturnStream_U:$NORMAL(0, 10000);</t>
  </si>
  <si>
    <t>SpillageReturnStream_F:$NORMAL(0, 10000);</t>
  </si>
  <si>
    <t>TailsThickenerUnderflowStream_Mass:$NORMAL(11566.65672, 1156.665672);</t>
  </si>
  <si>
    <t>TailsThickenerUnderflowStream_Mass</t>
  </si>
  <si>
    <t>TailsThickenerUnderflowStream_Cu:$NORMAL(0, 100000000);</t>
  </si>
  <si>
    <t>TailsThickenerUnderflowStream_Cu</t>
  </si>
  <si>
    <t>TailsThickenerUnderflowStream_Fe:$NORMAL(0, 100000000);</t>
  </si>
  <si>
    <t>TailsThickenerUnderflowStream_Fe</t>
  </si>
  <si>
    <t>TailsThickenerUnderflowStream_Au:$NORMAL(0, 10000);</t>
  </si>
  <si>
    <t>TailsThickenerUnderflowStream_Au</t>
  </si>
  <si>
    <t>TailsThickenerUnderflowStream_Ag:$NORMAL(0, 10000);</t>
  </si>
  <si>
    <t>TailsThickenerUnderflowStream_Ag</t>
  </si>
  <si>
    <t>TailsThickenerUnderflowStream_S:$NORMAL(0, 100000000);</t>
  </si>
  <si>
    <t>TailsThickenerUnderflowStream_S</t>
  </si>
  <si>
    <t>TailsThickenerUnderflowStream_U:$NORMAL(0, 10000);</t>
  </si>
  <si>
    <t>TailsThickenerUnderflowStream_U</t>
  </si>
  <si>
    <t>TailsThickenerUnderflowStream_F:$NORMAL(0, 10000);</t>
  </si>
  <si>
    <t>TailsThickenerUnderflowStream_F</t>
  </si>
  <si>
    <t>TailsThickening_close_Mass:$NORMAL(0, 100000000);</t>
  </si>
  <si>
    <t>TailsThickening_close_Mass</t>
  </si>
  <si>
    <t>TailsThickening_open_Mass:$NORMAL(2980.845823, 0);</t>
  </si>
  <si>
    <t>TailsThickening_open_Mass</t>
  </si>
  <si>
    <t>TailsThickening_close_Cu:$NORMAL(0, 100000000);</t>
  </si>
  <si>
    <t>TailsThickening_close_Cu</t>
  </si>
  <si>
    <t>TailsThickening_open_Cu:$NORMAL(.195048, 0);</t>
  </si>
  <si>
    <t>TailsThickening_open_Cu</t>
  </si>
  <si>
    <t>TailsThickening_close_Fe:$NORMAL(0, 100000000);</t>
  </si>
  <si>
    <t>TailsThickening_close_Fe</t>
  </si>
  <si>
    <t>TailsThickening_open_Fe:$NORMAL(6.160552, 0);</t>
  </si>
  <si>
    <t>TailsThickening_open_Fe</t>
  </si>
  <si>
    <t>TailsThickening_close_Au:$NORMAL(0, 10000);</t>
  </si>
  <si>
    <t>TailsThickening_close_Au</t>
  </si>
  <si>
    <t>TailsThickening_open_Au:$NORMAL(.000010257, 0);</t>
  </si>
  <si>
    <t>TailsThickening_open_Au</t>
  </si>
  <si>
    <t>TailsThickening_close_Ag:$NORMAL(0, 10000);</t>
  </si>
  <si>
    <t>TailsThickening_close_Ag</t>
  </si>
  <si>
    <t>TailsThickening_open_Ag:$NORMAL(.0002101291, 0);</t>
  </si>
  <si>
    <t>TailsThickening_open_Ag</t>
  </si>
  <si>
    <t>TailsThickening_close_S:$NORMAL(0, 100000000);</t>
  </si>
  <si>
    <t>TailsThickening_close_S</t>
  </si>
  <si>
    <t>TailsThickening_open_S:$NORMAL(6.079655, 0);</t>
  </si>
  <si>
    <t>TailsThickening_open_S</t>
  </si>
  <si>
    <t>TailsThickening_close_U:$NORMAL(0, 10000);</t>
  </si>
  <si>
    <t>TailsThickening_close_U</t>
  </si>
  <si>
    <t>TailsThickening_open_U:$NORMAL(.0058350421, 0);</t>
  </si>
  <si>
    <t>TailsThickening_open_U</t>
  </si>
  <si>
    <t>TailsThickening_close_F:$NORMAL(0, 10000);</t>
  </si>
  <si>
    <t>TailsThickening_close_F</t>
  </si>
  <si>
    <t>TailsThickening_open_F:$NORMAL(.0443543689, 0);</t>
  </si>
  <si>
    <t>TailsThickening_open_F</t>
  </si>
  <si>
    <t>/* Measurement Constraint Equations - User-Defined */</t>
  </si>
  <si>
    <t xml:space="preserve">CrushedOreStream_Cu </t>
  </si>
  <si>
    <t xml:space="preserve">CrushedOreStream_Fe </t>
  </si>
  <si>
    <t xml:space="preserve">CrushedOreStream_Au </t>
  </si>
  <si>
    <t xml:space="preserve">CrushedOreStream_Ag </t>
  </si>
  <si>
    <t xml:space="preserve">CrushedOreStream_S </t>
  </si>
  <si>
    <t xml:space="preserve">CrushedOreStream_U </t>
  </si>
  <si>
    <t xml:space="preserve">CrushedOreStream_F </t>
  </si>
  <si>
    <t>f1</t>
  </si>
  <si>
    <t>yy1</t>
  </si>
  <si>
    <t>f2</t>
  </si>
  <si>
    <t>xx5</t>
  </si>
  <si>
    <t>f3</t>
  </si>
  <si>
    <t>xx2</t>
  </si>
  <si>
    <t>f4</t>
  </si>
  <si>
    <t>xx4</t>
  </si>
  <si>
    <t>f5</t>
  </si>
  <si>
    <t>xx1</t>
  </si>
  <si>
    <t>f6</t>
  </si>
  <si>
    <t>xx3</t>
  </si>
  <si>
    <t>yy2</t>
  </si>
  <si>
    <t>yy3</t>
  </si>
  <si>
    <t>Mass Constraints</t>
  </si>
  <si>
    <t>acid_gas_mass</t>
  </si>
  <si>
    <t>acid_gas_vol</t>
  </si>
  <si>
    <t>acid_gas_dens</t>
  </si>
  <si>
    <t>treat_gas_mass</t>
  </si>
  <si>
    <t>treat_gas_vol</t>
  </si>
  <si>
    <t>treat_gas_dens</t>
  </si>
  <si>
    <t>abs_btm_mass</t>
  </si>
  <si>
    <t>abs_btm_vol</t>
  </si>
  <si>
    <t>abs_btm_dens</t>
  </si>
  <si>
    <t>recycle_mass</t>
  </si>
  <si>
    <t>recycle_vol</t>
  </si>
  <si>
    <t>recycle_dens</t>
  </si>
  <si>
    <t>lean_oil_mass</t>
  </si>
  <si>
    <t>lean_oil_vol</t>
  </si>
  <si>
    <t>lean_oil_dens</t>
  </si>
  <si>
    <t>abs_ovhd_mass</t>
  </si>
  <si>
    <t>abs_ovhd_vol</t>
  </si>
  <si>
    <t>abs_ovhd_dens</t>
  </si>
  <si>
    <t>fat_oil_mass</t>
  </si>
  <si>
    <t>fat_oil_vol</t>
  </si>
  <si>
    <t>fat_oil_dens</t>
  </si>
  <si>
    <t>sep_ovhd_mass</t>
  </si>
  <si>
    <t>sep_ovhd_vol</t>
  </si>
  <si>
    <t>sep_ovhd_dens</t>
  </si>
  <si>
    <t>sour_gas_mass</t>
  </si>
  <si>
    <t>sour_gas_vol</t>
  </si>
  <si>
    <t>sour_gas_dens</t>
  </si>
  <si>
    <t>fuel_gas_mass</t>
  </si>
  <si>
    <t>fuel_gas_vol</t>
  </si>
  <si>
    <t>fuel_gas_dens</t>
  </si>
  <si>
    <t>condensate_mass</t>
  </si>
  <si>
    <t>condensate_vol</t>
  </si>
  <si>
    <t>condensate_dens</t>
  </si>
  <si>
    <t>bypass_mass</t>
  </si>
  <si>
    <t>bypass_vol</t>
  </si>
  <si>
    <t>bypass_dens</t>
  </si>
  <si>
    <t>Resolver Answer Report</t>
  </si>
  <si>
    <t>Worksheet:[Resolver.test.xlsm]Bilinear</t>
  </si>
  <si>
    <t>Report Created:2/18/2012 7:12:08 PM</t>
  </si>
  <si>
    <t>Total Constraints</t>
  </si>
  <si>
    <t>Linear</t>
  </si>
  <si>
    <t>Nonlinear</t>
  </si>
  <si>
    <t>Active Linear</t>
  </si>
  <si>
    <t>Active Nonlinear</t>
  </si>
  <si>
    <t>Fixed Variables</t>
  </si>
  <si>
    <t>Convergence</t>
  </si>
  <si>
    <t>Converged</t>
  </si>
  <si>
    <t>Termination</t>
  </si>
  <si>
    <t>Time</t>
  </si>
  <si>
    <t>Iterations</t>
  </si>
  <si>
    <t>Precision</t>
  </si>
  <si>
    <t>Minimum precision</t>
  </si>
  <si>
    <t>Cell</t>
  </si>
  <si>
    <t>Reconciled Cost</t>
  </si>
  <si>
    <t>Global Critical Value</t>
  </si>
  <si>
    <t>Redundancy Degree</t>
  </si>
  <si>
    <t>Measurement Critical Value</t>
  </si>
  <si>
    <t>Constraint Critical Value</t>
  </si>
  <si>
    <t>$H$2</t>
  </si>
  <si>
    <t>Adjusted Variables</t>
  </si>
  <si>
    <t>Reconciled Value</t>
  </si>
  <si>
    <t>Measured Value</t>
  </si>
  <si>
    <t>Solvability</t>
  </si>
  <si>
    <t>Reconciled Test</t>
  </si>
  <si>
    <t>Measured Test</t>
  </si>
  <si>
    <t>Measured Tolerance</t>
  </si>
  <si>
    <t>Reconciled Tolerance</t>
  </si>
  <si>
    <t>CONCTHK21_CLOSE_Q</t>
  </si>
  <si>
    <t>Redundant</t>
  </si>
  <si>
    <t>CONCTHK21_CLOSE_CF</t>
  </si>
  <si>
    <t>CONCTHK21_PP52_Q</t>
  </si>
  <si>
    <t>CONCTHK21_PP52_CF</t>
  </si>
  <si>
    <t>CONCTHK21_PP51_Q</t>
  </si>
  <si>
    <t>Fixed</t>
  </si>
  <si>
    <t>CONCTHK21_PP51_CF</t>
  </si>
  <si>
    <t>CONCTHK21_OPEN_Q</t>
  </si>
  <si>
    <t>CONCTHK21_OPEN_CF</t>
  </si>
  <si>
    <t>DI101_CONCTHK21_Q</t>
  </si>
  <si>
    <t>DI101_CONCTHK21_CF</t>
  </si>
  <si>
    <t>CONCTHK21_TOTVOL_CLOSE_Q</t>
  </si>
  <si>
    <t>CONCTHK21_TOTVOL_OPEN_Q</t>
  </si>
  <si>
    <t>CONCTHK21_CLOSE_WF</t>
  </si>
  <si>
    <t>CONCTHK21_PP52_WF</t>
  </si>
  <si>
    <t>CONCTHK1_OVERFLOW_Q</t>
  </si>
  <si>
    <t>CONCTHK21_PP51_WF</t>
  </si>
  <si>
    <t>CONCTHK21_OPEN_WF</t>
  </si>
  <si>
    <t>DI101_CONCTHK21_WF</t>
  </si>
  <si>
    <t>CONCTHK22_CLOSE_Q</t>
  </si>
  <si>
    <t>CONCTHK22_CLOSE_CF</t>
  </si>
  <si>
    <t>CONCTHK22_PP53_Q</t>
  </si>
  <si>
    <t>CONCTHK22_PP53_CF</t>
  </si>
  <si>
    <t>CONCTHK22_PP54_Q</t>
  </si>
  <si>
    <t>CONCTHK22_PP54_CF</t>
  </si>
  <si>
    <t>CONCTHK22_OPEN_Q</t>
  </si>
  <si>
    <t>CONCTHK22_OPEN_CF</t>
  </si>
  <si>
    <t>DI101_CONCTHK22_Q</t>
  </si>
  <si>
    <t>DI101_CONCTHK22_CF</t>
  </si>
  <si>
    <t>CONCTHK22_TOTVOL_CLOSE_Q</t>
  </si>
  <si>
    <t>CONCTHK22_TOTVOL_OPEN_Q</t>
  </si>
  <si>
    <t>CONCTHK22_CLOSE_WF</t>
  </si>
  <si>
    <t>CONCTHK22_PP53_WF</t>
  </si>
  <si>
    <t>CONCTHK22_PP54_WF</t>
  </si>
  <si>
    <t>CONCTHK2_OVERFLOW_Q</t>
  </si>
  <si>
    <t>CONCTHK22_OPEN_WF</t>
  </si>
  <si>
    <t>DI101_CONCTHK22_WF</t>
  </si>
  <si>
    <t>CONCTHK_OVERFLOW_Q</t>
  </si>
  <si>
    <t>DI101_TOTAL_Q</t>
  </si>
  <si>
    <t>DI101_TOTAL_CF</t>
  </si>
  <si>
    <t>DI101_TOTAL_WF</t>
  </si>
  <si>
    <t>FINALCONC_Q</t>
  </si>
  <si>
    <t>FINALCONC_CF</t>
  </si>
  <si>
    <t>PP54_DI101_Q</t>
  </si>
  <si>
    <t>PP54_DI101_CF</t>
  </si>
  <si>
    <t>PP51_DI101_Q</t>
  </si>
  <si>
    <t>PP51_DI101_CF</t>
  </si>
  <si>
    <t>PP53_DI101_Q</t>
  </si>
  <si>
    <t>PP53_DI101_CF</t>
  </si>
  <si>
    <t>PP52_DI101_Q</t>
  </si>
  <si>
    <t>PP52_DI101_CF</t>
  </si>
  <si>
    <t>FINALCONC_WF</t>
  </si>
  <si>
    <t>PP52_DI101_WF</t>
  </si>
  <si>
    <t>PP54_DI101_WF</t>
  </si>
  <si>
    <t>PP53_DI101_WF</t>
  </si>
  <si>
    <t>PP51_DI101_WF</t>
  </si>
  <si>
    <t>CONCTHK_TK23_Q</t>
  </si>
  <si>
    <t>CONCTHK_TK23_CF</t>
  </si>
  <si>
    <t>CONCTHK_TK24_Q</t>
  </si>
  <si>
    <t>CONCTHK_TK24_CF</t>
  </si>
  <si>
    <t>CONCTHK_TK25_Q</t>
  </si>
  <si>
    <t>CONCTHK_TK25_CF</t>
  </si>
  <si>
    <t>CONCTHK_TK26_Q</t>
  </si>
  <si>
    <t>CONCTHK_TK26_CF</t>
  </si>
  <si>
    <t>CONCTHK_TKC_Q</t>
  </si>
  <si>
    <t>CONCTHK_TKC_CF</t>
  </si>
  <si>
    <t>CONCTHK_TK23_WF</t>
  </si>
  <si>
    <t>CONCTHK_TK24_WF</t>
  </si>
  <si>
    <t>CONCTHK_TK26_WF</t>
  </si>
  <si>
    <t>CONCTHK_TK25_WF</t>
  </si>
  <si>
    <t>CONCTHK_TKC_WF</t>
  </si>
  <si>
    <t>PP53_DI104_Q</t>
  </si>
  <si>
    <t>PP53_DI104_CF</t>
  </si>
  <si>
    <t>PP51_DI104_Q</t>
  </si>
  <si>
    <t>PP51_DI104_CF</t>
  </si>
  <si>
    <t>PP52_DI104_Q</t>
  </si>
  <si>
    <t>PP52_DI104_CF</t>
  </si>
  <si>
    <t>PP54_DI104_Q</t>
  </si>
  <si>
    <t>PP54_DI104_CF</t>
  </si>
  <si>
    <t>PP51_DI104_WF</t>
  </si>
  <si>
    <t>PP53_DI104_WF</t>
  </si>
  <si>
    <t>PP54_DI104_WF</t>
  </si>
  <si>
    <t>PP52_DI104_WF</t>
  </si>
  <si>
    <t>TKC_PIPE_Q</t>
  </si>
  <si>
    <t>TKC_PIPE_CF</t>
  </si>
  <si>
    <t>TK24_DI105_Q</t>
  </si>
  <si>
    <t>TK24_DI105_CF</t>
  </si>
  <si>
    <t>TK25_DI105_Q</t>
  </si>
  <si>
    <t>TK25_DI105_CF</t>
  </si>
  <si>
    <t>TK23_DI105_Q</t>
  </si>
  <si>
    <t>TK23_DI105_CF</t>
  </si>
  <si>
    <t>TK26_DI105_Q</t>
  </si>
  <si>
    <t>TK26_DI105_CF</t>
  </si>
  <si>
    <t>TKC_PIPE_WF</t>
  </si>
  <si>
    <t>TK23_DI105_WF</t>
  </si>
  <si>
    <t>TK26_DI105_WF</t>
  </si>
  <si>
    <t>TK24_DI105_WF</t>
  </si>
  <si>
    <t>TK25_DI105_WF</t>
  </si>
  <si>
    <t>DI150_TAILTHK6_Q</t>
  </si>
  <si>
    <t>DI150_TAILTHK6_CF</t>
  </si>
  <si>
    <t>DI150_TAILTHK7_Q</t>
  </si>
  <si>
    <t>DI150_TAILTHK7_CF</t>
  </si>
  <si>
    <t>DI150_TAILTHK8_Q</t>
  </si>
  <si>
    <t>DI150_TAILTHK8_CF</t>
  </si>
  <si>
    <t>TAILS_Q</t>
  </si>
  <si>
    <t>TAILS_CF</t>
  </si>
  <si>
    <t>DI150_TAILTHK6_WF</t>
  </si>
  <si>
    <t>DI150_TAILTHK8_WF</t>
  </si>
  <si>
    <t>DI150_TAILTHK7_WF</t>
  </si>
  <si>
    <t>TAILS_WF</t>
  </si>
  <si>
    <t>ROUFEED_Q</t>
  </si>
  <si>
    <t>ROUFEED_CF</t>
  </si>
  <si>
    <t>H2OSEAL_REM_1_Q</t>
  </si>
  <si>
    <t>H2OSEAL_REM_2_Q</t>
  </si>
  <si>
    <t>POOL_REM_1_Q</t>
  </si>
  <si>
    <t>Determined</t>
  </si>
  <si>
    <t>ROUFEED_WF</t>
  </si>
  <si>
    <t>H2OSEAL_DI30_Q</t>
  </si>
  <si>
    <t>POOL_2CLN_Q</t>
  </si>
  <si>
    <t>POOL_REM_2_Q</t>
  </si>
  <si>
    <t>POOL_TK91_Q</t>
  </si>
  <si>
    <t>POOL_DI30_Q</t>
  </si>
  <si>
    <t>POOL_2CLNCONC_Q</t>
  </si>
  <si>
    <t>H2OSEAL_1CLN_Q</t>
  </si>
  <si>
    <t>POOL_TK42_Q</t>
  </si>
  <si>
    <t>H2OFRESH_TK83_Q</t>
  </si>
  <si>
    <t>BOREWATER_Q</t>
  </si>
  <si>
    <t>RIVERWATER_Q</t>
  </si>
  <si>
    <t>MILL_MIXER_Q</t>
  </si>
  <si>
    <t>MILL_MIXER_CF</t>
  </si>
  <si>
    <t>FEED_Q</t>
  </si>
  <si>
    <t>FEED_CF</t>
  </si>
  <si>
    <t>MILL_MIXER_WF</t>
  </si>
  <si>
    <t>FEED_WF</t>
  </si>
  <si>
    <t>POOL_BC2SUMP_Q</t>
  </si>
  <si>
    <t>POOL_BC3SUMP_Q</t>
  </si>
  <si>
    <t>POOL_MB1_Q</t>
  </si>
  <si>
    <t>POOL_SAG_Q</t>
  </si>
  <si>
    <t>TK83_MB1_Q</t>
  </si>
  <si>
    <t>POOL_BC1SUMP_Q</t>
  </si>
  <si>
    <t>TK83_D25_Q</t>
  </si>
  <si>
    <t>TK83_MB3_Q</t>
  </si>
  <si>
    <t>POOL_MB2_Q</t>
  </si>
  <si>
    <t>TK83_MB2_Q</t>
  </si>
  <si>
    <t>TK83_D20_Q</t>
  </si>
  <si>
    <t>POOL_MB3_Q</t>
  </si>
  <si>
    <t>POOL_M1_Q</t>
  </si>
  <si>
    <t>POOL_MIXER_Q</t>
  </si>
  <si>
    <t>PIPELINE_CLOSE_Q</t>
  </si>
  <si>
    <t>PIPELINE_CLOSE_CF</t>
  </si>
  <si>
    <t>PIPE_TKCLC_Q</t>
  </si>
  <si>
    <t>PIPE_TKCLC_CF</t>
  </si>
  <si>
    <t>PIPELINE_OPEN_Q</t>
  </si>
  <si>
    <t>PIPELINE_OPEN_CF</t>
  </si>
  <si>
    <t>PIPELINE_CLOSE_WF</t>
  </si>
  <si>
    <t>PIPE_TKCLC_WF</t>
  </si>
  <si>
    <t>PIPELINE_OPEN_WF</t>
  </si>
  <si>
    <t>RO_POND_Q</t>
  </si>
  <si>
    <t>RO_TANK_Q</t>
  </si>
  <si>
    <t>PLANTA_RO_FEED_Q</t>
  </si>
  <si>
    <t>H2OPROCESSTOTAL_Q</t>
  </si>
  <si>
    <t>TAILTHK6_CLOSE_Q</t>
  </si>
  <si>
    <t>TAILTHK6_CLOSE_CF</t>
  </si>
  <si>
    <t>TAILTHK6_UNDERFLOW_Q</t>
  </si>
  <si>
    <t>TAILTHK6_UNDERFLOW_CF</t>
  </si>
  <si>
    <t>TAILTHK6_OPEN_Q</t>
  </si>
  <si>
    <t>TAILTHK6_OPEN_CF</t>
  </si>
  <si>
    <t>TAILTHK6_TOTVOL_CLOSE_Q</t>
  </si>
  <si>
    <t>TAILTHK6_TOTVOL_OPEN_Q</t>
  </si>
  <si>
    <t>TAILTHK6_CLOSE_WF</t>
  </si>
  <si>
    <t>TAILTHK6_OVERFLOW_Q</t>
  </si>
  <si>
    <t>TAILTHK6_UNDERFLOW_WF</t>
  </si>
  <si>
    <t>TAILTHK6_OPEN_WF</t>
  </si>
  <si>
    <t>TAILTHK7_CLOSE_Q</t>
  </si>
  <si>
    <t>TAILTHK7_CLOSE_CF</t>
  </si>
  <si>
    <t>TAILTHK7_UNDERFLOW_Q</t>
  </si>
  <si>
    <t>TAILTHK7_UNDERFLOW_CF</t>
  </si>
  <si>
    <t>TAILTHK7_OPEN_Q</t>
  </si>
  <si>
    <t>TAILTHK7_OPEN_CF</t>
  </si>
  <si>
    <t>TAILTHK7_TOTVOL_CLOSE_Q</t>
  </si>
  <si>
    <t>TAILTHK7_TOTVOL_OPEN_Q</t>
  </si>
  <si>
    <t>TAILTHK7_CLOSE_WF</t>
  </si>
  <si>
    <t>TAILTHK7_OVERFLOW_Q</t>
  </si>
  <si>
    <t>TAILTHK7_UNDERFLOW_WF</t>
  </si>
  <si>
    <t>TAILTHK7_OPEN_WF</t>
  </si>
  <si>
    <t>TAILTHK8_CLOSE_Q</t>
  </si>
  <si>
    <t>TAILTHK8_CLOSE_CF</t>
  </si>
  <si>
    <t>TAILTHK8_UNDERFLOW_Q</t>
  </si>
  <si>
    <t>TAILTHK8_UNDERFLOW_CF</t>
  </si>
  <si>
    <t>TAILTHK8_OPEN_Q</t>
  </si>
  <si>
    <t>TAILTHK8_OPEN_CF</t>
  </si>
  <si>
    <t>TAILTHK8_TOTVOL_CLOSE_Q</t>
  </si>
  <si>
    <t>TAILTHK8_TOTVOL_OPEN_Q</t>
  </si>
  <si>
    <t>TAILTHK8_CLOSE_WF</t>
  </si>
  <si>
    <t>TAILTHK8_OVERFLOW_Q</t>
  </si>
  <si>
    <t>TAILTHK8_UNDERFLOW_WF</t>
  </si>
  <si>
    <t>TAILTHK8_OPEN_WF</t>
  </si>
  <si>
    <t>TAILTHK_OVERFLOW_Q</t>
  </si>
  <si>
    <t>TANK_CLOSE_Q</t>
  </si>
  <si>
    <t>H2ODISCHARGE_Q</t>
  </si>
  <si>
    <t>TANK_OPEN_Q</t>
  </si>
  <si>
    <t>H2O_RECOVERED_Q</t>
  </si>
  <si>
    <t>TK83_TANK_Q</t>
  </si>
  <si>
    <t>TK10_TK11_Q</t>
  </si>
  <si>
    <t>POND_RECVR_Q</t>
  </si>
  <si>
    <t>TK140_TK165_Q</t>
  </si>
  <si>
    <t>TK140_TK165_CF</t>
  </si>
  <si>
    <t>TK140_TK165_WF</t>
  </si>
  <si>
    <t>TAILPOND_Q</t>
  </si>
  <si>
    <t>TAILPOND_CF</t>
  </si>
  <si>
    <t>TAILPOND_WF</t>
  </si>
  <si>
    <t>TK23_CLOSE_Q</t>
  </si>
  <si>
    <t>TK23_CLOSE_CF</t>
  </si>
  <si>
    <t>TK23_OPEN_Q</t>
  </si>
  <si>
    <t>TK23_OPEN_CF</t>
  </si>
  <si>
    <t>TK23_CLOSE_WF</t>
  </si>
  <si>
    <t>TK23_OPEN_WF</t>
  </si>
  <si>
    <t>TK24_CLOSE_Q</t>
  </si>
  <si>
    <t>TK24_CLOSE_CF</t>
  </si>
  <si>
    <t>TK24_OPEN_Q</t>
  </si>
  <si>
    <t>TK24_OPEN_CF</t>
  </si>
  <si>
    <t>TK24_CLOSE_WF</t>
  </si>
  <si>
    <t>TK24_OPEN_WF</t>
  </si>
  <si>
    <t>TK25_CLOSE_Q</t>
  </si>
  <si>
    <t>TK25_CLOSE_CF</t>
  </si>
  <si>
    <t>TK25_OPEN_Q</t>
  </si>
  <si>
    <t>TK25_OPEN_CF</t>
  </si>
  <si>
    <t>TK25_CLOSE_WF</t>
  </si>
  <si>
    <t>TK25_OPEN_WF</t>
  </si>
  <si>
    <t>TK26_CLOSE_Q</t>
  </si>
  <si>
    <t>TK26_CLOSE_CF</t>
  </si>
  <si>
    <t>TK26_OPEN_Q</t>
  </si>
  <si>
    <t>TK26_OPEN_CF</t>
  </si>
  <si>
    <t>TK26_CLOSE_WF</t>
  </si>
  <si>
    <t>TK26_OPEN_WF</t>
  </si>
  <si>
    <t>H2OSEAL_Q</t>
  </si>
  <si>
    <t>TK83_CLOSE_Q</t>
  </si>
  <si>
    <t>TK83_CHIL_Q</t>
  </si>
  <si>
    <t>TK83_OPEN_Q</t>
  </si>
  <si>
    <t>Cells</t>
  </si>
  <si>
    <t>Active</t>
  </si>
  <si>
    <t>Measured Residual</t>
  </si>
  <si>
    <t>Reconciled Residual</t>
  </si>
  <si>
    <t>Reconciled Deviation</t>
  </si>
  <si>
    <t>Fomula</t>
  </si>
  <si>
    <t>$C$32=$E$32</t>
  </si>
  <si>
    <t>([((FINALCONC_Q*FINALCONC_WF)+(TAILS_Q*TAILS_WF))]=[(((((((((((H2OSEAL_REM_1_Q+H2OSEAL_REM_2_Q)+POOL_REM_1_Q)+(ROUFEED_Q*ROUFEED_WF))+H2OSEAL_DI30_Q)+POOL_2CLN_Q)+POOL_REM_2_Q)+POOL_TK91_Q)+POOL_DI30_Q)+POOL_2CLNCONC_Q)+H2OSEAL_1CLN_Q)+POOL_TK42_Q)])</t>
  </si>
  <si>
    <t>$C$36=$E$36</t>
  </si>
  <si>
    <t>([(MILL_MIXER_Q*MILL_MIXER_WF)]=[((((((((((((((FEED_Q*FEED_WF)+POOL_BC2SUMP_Q)+POOL_BC3SUMP_Q)+POOL_MB1_Q)+POOL_SAG_Q)+TK83_MB1_Q)+POOL_BC1SUMP_Q)+TK83_D25_Q)+TK83_MB3_Q)+POOL_MB2_Q)+TK83_MB2_Q)+TK83_D20_Q)+POOL_MB3_Q)+POOL_M1_Q)])</t>
  </si>
  <si>
    <t>$C$17=$E$17</t>
  </si>
  <si>
    <t>([(DI101_TOTAL_Q*DI101_TOTAL_WF)]=[(((((FINALCONC_Q*FINALCONC_WF)+(PP52_DI101_Q*PP52_DI101_WF))+(PP54_DI101_Q*PP54_DI101_WF))+(PP53_DI101_Q*PP53_DI101_WF))+(PP51_DI101_Q*PP51_DI101_WF))])</t>
  </si>
  <si>
    <t>$C$15=$E$15</t>
  </si>
  <si>
    <t>([(DI101_TOTAL_Q*DI101_TOTAL_CF)]=[(((((FINALCONC_Q*FINALCONC_CF)+(PP54_DI101_Q*PP54_DI101_CF))+(PP51_DI101_Q*PP51_DI101_CF))+(PP53_DI101_Q*PP53_DI101_CF))+(PP52_DI101_Q*PP52_DI101_CF))])</t>
  </si>
  <si>
    <t>$C$44=$E$44</t>
  </si>
  <si>
    <t>([(((((((((((((((POOL_2CLN_Q+POOL_BC2SUMP_Q)+POOL_BC3SUMP_Q)+POOL_REM_1_Q)+POOL_SAG_Q)+POOL_2CLNCONC_Q)+POOL_DI30_Q)+POOL_MB2_Q)+POOL_MIXER_Q)+POOL_TK42_Q)+POOL_MB3_Q)+POOL_MB1_Q)+POOL_BC1SUMP_Q)+POOL_TK91_Q)+POOL_REM_2_Q)+POOL_M1_Q)]=[H2OPROCESSTOTAL_Q])</t>
  </si>
  <si>
    <t>$C$10=$E$10</t>
  </si>
  <si>
    <t>([((((CONCTHK22_CLOSE_Q*CONCTHK22_CLOSE_WF)+(CONCTHK22_PP53_Q*CONCTHK22_PP53_WF))+(CONCTHK22_PP54_Q*CONCTHK22_PP54_WF))+CONCTHK2_OVERFLOW_Q)]=[((CONCTHK22_OPEN_Q*CONCTHK22_OPEN_WF)+(DI101_CONCTHK22_Q*DI101_CONCTHK22_WF))])</t>
  </si>
  <si>
    <t>$C$6=$E$6</t>
  </si>
  <si>
    <t>([((((CONCTHK21_CLOSE_Q*CONCTHK21_CLOSE_WF)+(CONCTHK21_PP52_Q*CONCTHK21_PP52_WF))+CONCTHK1_OVERFLOW_Q)+(CONCTHK21_PP51_Q*CONCTHK21_PP51_WF))]=[((CONCTHK21_OPEN_Q*CONCTHK21_OPEN_WF)+(DI101_CONCTHK21_Q*DI101_CONCTHK21_WF))])</t>
  </si>
  <si>
    <t>$C$18=$E$18</t>
  </si>
  <si>
    <t>([((((CONCTHK_TK23_Q*CONCTHK_TK23_CF)+(CONCTHK_TK24_Q*CONCTHK_TK24_CF))+(CONCTHK_TK25_Q*CONCTHK_TK25_CF))+(CONCTHK_TK26_Q*CONCTHK_TK26_CF))]=[(CONCTHK_TKC_Q*CONCTHK_TKC_CF)])</t>
  </si>
  <si>
    <t>$C$23=$E$23</t>
  </si>
  <si>
    <t>([(CONCTHK_TKC_Q*CONCTHK_TKC_WF)]=[((((PP51_DI104_Q*PP51_DI104_WF)+(PP53_DI104_Q*PP53_DI104_WF))+(PP54_DI104_Q*PP54_DI104_WF))+(PP52_DI104_Q*PP52_DI104_WF))])</t>
  </si>
  <si>
    <t>$C$20=$E$20</t>
  </si>
  <si>
    <t>([((((CONCTHK_TK23_Q*CONCTHK_TK23_WF)+(CONCTHK_TK24_Q*CONCTHK_TK24_WF))+(CONCTHK_TK26_Q*CONCTHK_TK26_WF))+(CONCTHK_TK25_Q*CONCTHK_TK25_WF))]=[(CONCTHK_TKC_Q*CONCTHK_TKC_WF)])</t>
  </si>
  <si>
    <t>$C$24=$E$24</t>
  </si>
  <si>
    <t>([(TKC_PIPE_Q*TKC_PIPE_CF)]=[((((TK24_DI105_Q*TK24_DI105_CF)+(TK25_DI105_Q*TK25_DI105_CF))+(TK23_DI105_Q*TK23_DI105_CF))+(TK26_DI105_Q*TK26_DI105_CF))])</t>
  </si>
  <si>
    <t>$C$26=$E$26</t>
  </si>
  <si>
    <t>([(TKC_PIPE_Q*TKC_PIPE_WF)]=[((((TK23_DI105_Q*TK23_DI105_WF)+(TK26_DI105_Q*TK26_DI105_WF))+(TK24_DI105_Q*TK24_DI105_WF))+(TK25_DI105_Q*TK25_DI105_WF))])</t>
  </si>
  <si>
    <t>$C$21=$E$21</t>
  </si>
  <si>
    <t>([(CONCTHK_TKC_Q*CONCTHK_TKC_CF)]=[((((PP53_DI104_Q*PP53_DI104_CF)+(PP51_DI104_Q*PP51_DI104_CF))+(PP52_DI104_Q*PP52_DI104_CF))+(PP54_DI104_Q*PP54_DI104_CF))])</t>
  </si>
  <si>
    <t>$C$7=$E$7</t>
  </si>
  <si>
    <t>([(((CONCTHK22_CLOSE_Q*CONCTHK22_CLOSE_CF)+(CONCTHK22_PP53_Q*CONCTHK22_PP53_CF))+(CONCTHK22_PP54_Q*CONCTHK22_PP54_CF))]=[((CONCTHK22_OPEN_Q*CONCTHK22_OPEN_CF)+(DI101_CONCTHK22_Q*DI101_CONCTHK22_CF))])</t>
  </si>
  <si>
    <t>$C$3=$E$3</t>
  </si>
  <si>
    <t>([(((CONCTHK21_CLOSE_Q*CONCTHK21_CLOSE_CF)+(CONCTHK21_PP52_Q*CONCTHK21_PP52_CF))+(CONCTHK21_PP51_Q*CONCTHK21_PP51_CF))]=[((CONCTHK21_OPEN_Q*CONCTHK21_OPEN_CF)+(DI101_CONCTHK21_Q*DI101_CONCTHK21_CF))])</t>
  </si>
  <si>
    <t>$C$60=$E$60</t>
  </si>
  <si>
    <t>([(((TAILTHK6_CLOSE_Q*TAILTHK6_CLOSE_WF)+TAILTHK6_OVERFLOW_Q)+(TAILTHK6_UNDERFLOW_Q*TAILTHK6_UNDERFLOW_WF))]=[((TAILTHK6_OPEN_Q*TAILTHK6_OPEN_WF)+(DI150_TAILTHK6_Q*DI150_TAILTHK6_WF))])</t>
  </si>
  <si>
    <t>$C$64=$E$64</t>
  </si>
  <si>
    <t>([(((TAILTHK7_CLOSE_Q*TAILTHK7_CLOSE_WF)+TAILTHK7_OVERFLOW_Q)+(TAILTHK7_UNDERFLOW_Q*TAILTHK7_UNDERFLOW_WF))]=[((TAILTHK7_OPEN_Q*TAILTHK7_OPEN_WF)+(DI150_TAILTHK7_Q*DI150_TAILTHK7_WF))])</t>
  </si>
  <si>
    <t>$C$68=$E$68</t>
  </si>
  <si>
    <t>([(((TAILTHK8_CLOSE_Q*TAILTHK8_CLOSE_WF)+TAILTHK8_OVERFLOW_Q)+(TAILTHK8_UNDERFLOW_Q*TAILTHK8_UNDERFLOW_WF))]=[((TAILTHK8_OPEN_Q*TAILTHK8_OPEN_WF)+(DI150_TAILTHK8_Q*DI150_TAILTHK8_WF))])</t>
  </si>
  <si>
    <t>$C$29=$E$29</t>
  </si>
  <si>
    <t>([(((DI150_TAILTHK6_Q*DI150_TAILTHK6_WF)+(DI150_TAILTHK8_Q*DI150_TAILTHK8_WF))+(DI150_TAILTHK7_Q*DI150_TAILTHK7_WF))]=[(TAILS_Q*TAILS_WF)])</t>
  </si>
  <si>
    <t>$C$65=$E$65</t>
  </si>
  <si>
    <t>([((TAILTHK8_CLOSE_Q*TAILTHK8_CLOSE_CF)+(TAILTHK8_UNDERFLOW_Q*TAILTHK8_UNDERFLOW_CF))]=[((TAILTHK8_OPEN_Q*TAILTHK8_OPEN_CF)+(DI150_TAILTHK8_Q*DI150_TAILTHK8_CF))])</t>
  </si>
  <si>
    <t>$C$90=$E$90</t>
  </si>
  <si>
    <t>([((TK26_CLOSE_Q*TK26_CLOSE_WF)+(TK26_DI105_Q*TK26_DI105_WF))]=[((TK26_OPEN_Q*TK26_OPEN_WF)+(CONCTHK_TK26_Q*CONCTHK_TK26_WF))])</t>
  </si>
  <si>
    <t>$C$40=$E$40</t>
  </si>
  <si>
    <t>([((PIPELINE_CLOSE_Q*PIPELINE_CLOSE_CF)+(PIPE_TKCLC_Q*PIPE_TKCLC_CF))]=[((PIPELINE_OPEN_Q*PIPELINE_OPEN_CF)+(TKC_PIPE_Q*TKC_PIPE_CF))])</t>
  </si>
  <si>
    <t>$C$42=$E$42</t>
  </si>
  <si>
    <t>([((PIPELINE_CLOSE_Q*PIPELINE_CLOSE_WF)+(PIPE_TKCLC_Q*PIPE_TKCLC_WF))]=[((PIPELINE_OPEN_Q*PIPELINE_OPEN_WF)+(TKC_PIPE_Q*TKC_PIPE_WF))])</t>
  </si>
  <si>
    <t>$C$61=$E$61</t>
  </si>
  <si>
    <t>([((TAILTHK7_CLOSE_Q*TAILTHK7_CLOSE_CF)+(TAILTHK7_UNDERFLOW_Q*TAILTHK7_UNDERFLOW_CF))]=[((TAILTHK7_OPEN_Q*TAILTHK7_OPEN_CF)+(DI150_TAILTHK7_Q*DI150_TAILTHK7_CF))])</t>
  </si>
  <si>
    <t>$C$57=$E$57</t>
  </si>
  <si>
    <t>([((TAILTHK6_CLOSE_Q*TAILTHK6_CLOSE_CF)+(TAILTHK6_UNDERFLOW_Q*TAILTHK6_UNDERFLOW_CF))]=[((TAILTHK6_OPEN_Q*TAILTHK6_OPEN_CF)+(DI150_TAILTHK6_Q*DI150_TAILTHK6_CF))])</t>
  </si>
  <si>
    <t>$C$82=$E$82</t>
  </si>
  <si>
    <t>([((TK24_CLOSE_Q*TK24_CLOSE_CF)+(TK24_DI105_Q*TK24_DI105_CF))]=[((TK24_OPEN_Q*TK24_OPEN_CF)+(CONCTHK_TK24_Q*CONCTHK_TK24_CF))])</t>
  </si>
  <si>
    <t>$C$79=$E$79</t>
  </si>
  <si>
    <t>([((TK23_CLOSE_Q*TK23_CLOSE_CF)+(TK23_DI105_Q*TK23_DI105_CF))]=[((TK23_OPEN_Q*TK23_OPEN_CF)+(CONCTHK_TK23_Q*CONCTHK_TK23_CF))])</t>
  </si>
  <si>
    <t>$C$81=$E$81</t>
  </si>
  <si>
    <t>([((TK23_CLOSE_Q*TK23_CLOSE_WF)+(TK23_DI105_Q*TK23_DI105_WF))]=[((TK23_OPEN_Q*TK23_OPEN_WF)+(CONCTHK_TK23_Q*CONCTHK_TK23_WF))])</t>
  </si>
  <si>
    <t>$C$84=$E$84</t>
  </si>
  <si>
    <t>([((TK24_CLOSE_Q*TK24_CLOSE_WF)+(TK24_DI105_Q*TK24_DI105_WF))]=[((TK24_OPEN_Q*TK24_OPEN_WF)+(CONCTHK_TK24_Q*CONCTHK_TK24_WF))])</t>
  </si>
  <si>
    <t>$C$87=$E$87</t>
  </si>
  <si>
    <t>([((TK25_CLOSE_Q*TK25_CLOSE_WF)+(TK25_DI105_Q*TK25_DI105_WF))]=[((TK25_OPEN_Q*TK25_OPEN_WF)+(CONCTHK_TK25_Q*CONCTHK_TK25_WF))])</t>
  </si>
  <si>
    <t>$C$27=$E$27</t>
  </si>
  <si>
    <t>([(((DI150_TAILTHK6_Q*DI150_TAILTHK6_CF)+(DI150_TAILTHK7_Q*DI150_TAILTHK7_CF))+(DI150_TAILTHK8_Q*DI150_TAILTHK8_CF))]=[(TAILS_Q*TAILS_CF)])</t>
  </si>
  <si>
    <t>$C$85=$E$85</t>
  </si>
  <si>
    <t>([((TK25_CLOSE_Q*TK25_CLOSE_CF)+(TK25_DI105_Q*TK25_DI105_CF))]=[((TK25_OPEN_Q*TK25_OPEN_CF)+(CONCTHK_TK25_Q*CONCTHK_TK25_CF))])</t>
  </si>
  <si>
    <t>$C$88=$E$88</t>
  </si>
  <si>
    <t>([((TK26_CLOSE_Q*TK26_CLOSE_CF)+(TK26_DI105_Q*TK26_DI105_CF))]=[((TK26_OPEN_Q*TK26_OPEN_CF)+(CONCTHK_TK26_Q*CONCTHK_TK26_CF))])</t>
  </si>
  <si>
    <t>$C$91=$E$91</t>
  </si>
  <si>
    <t>([((((((((H2OSEAL_DI30_Q+TK83_D25_Q)+TK83_MB2_Q)+H2OSEAL_REM_1_Q)+TK83_D20_Q)+TK83_MB3_Q)+TK83_MB1_Q)+H2OSEAL_REM_2_Q)+H2OSEAL_1CLN_Q)]=[H2OSEAL_Q])</t>
  </si>
  <si>
    <t>$C$53=$E$53</t>
  </si>
  <si>
    <t>([((PP53_DI104_Q*PP53_DI104_WF)+(PP53_DI101_Q*PP53_DI101_WF))]=[(CONCTHK22_PP53_Q*CONCTHK22_PP53_WF)])</t>
  </si>
  <si>
    <t>$C$48=$E$48</t>
  </si>
  <si>
    <t>([((PP52_DI101_Q*PP52_DI101_CF)+(PP52_DI104_Q*PP52_DI104_CF))]=[(CONCTHK21_PP52_Q*CONCTHK21_PP52_CF)])</t>
  </si>
  <si>
    <t>$C$51=$E$51</t>
  </si>
  <si>
    <t>([((PP53_DI101_Q*PP53_DI101_CF)+(PP53_DI104_Q*PP53_DI104_CF))]=[(CONCTHK22_PP53_Q*CONCTHK22_PP53_CF)])</t>
  </si>
  <si>
    <t>$C$50=$E$50</t>
  </si>
  <si>
    <t>([((PP52_DI101_Q*PP52_DI101_WF)+(PP52_DI104_Q*PP52_DI104_WF))]=[(CONCTHK21_PP52_Q*CONCTHK21_PP52_WF)])</t>
  </si>
  <si>
    <t>$C$76=$E$76</t>
  </si>
  <si>
    <t>([(TAILPOND_Q*TAILPOND_CF)]=[((TAILTHK6_UNDERFLOW_Q*TAILTHK6_UNDERFLOW_CF)+(TK140_TK165_Q*TK140_TK165_CF))])</t>
  </si>
  <si>
    <t>$C$75=$E$75</t>
  </si>
  <si>
    <t>([(TK140_TK165_Q*TK140_TK165_WF)]=[((TAILTHK7_UNDERFLOW_Q*TAILTHK7_UNDERFLOW_WF)+(TAILTHK8_UNDERFLOW_Q*TAILTHK8_UNDERFLOW_WF))])</t>
  </si>
  <si>
    <t>$C$73=$E$73</t>
  </si>
  <si>
    <t>([(TK140_TK165_Q*TK140_TK165_CF)]=[((TAILTHK8_UNDERFLOW_Q*TAILTHK8_UNDERFLOW_CF)+(TAILTHK7_UNDERFLOW_Q*TAILTHK7_UNDERFLOW_CF))])</t>
  </si>
  <si>
    <t>$C$54=$E$54</t>
  </si>
  <si>
    <t>([((PP54_DI101_Q*PP54_DI101_CF)+(PP54_DI104_Q*PP54_DI104_CF))]=[(CONCTHK22_PP54_Q*CONCTHK22_PP54_CF)])</t>
  </si>
  <si>
    <t>$C$56=$E$56</t>
  </si>
  <si>
    <t>([((PP54_DI101_Q*PP54_DI101_WF)+(PP54_DI104_Q*PP54_DI104_WF))]=[(CONCTHK22_PP54_Q*CONCTHK22_PP54_WF)])</t>
  </si>
  <si>
    <t>$C$78=$E$78</t>
  </si>
  <si>
    <t>([(TAILPOND_Q*TAILPOND_WF)]=[((TAILTHK6_UNDERFLOW_Q*TAILTHK6_UNDERFLOW_WF)+(TK140_TK165_Q*TK140_TK165_WF))])</t>
  </si>
  <si>
    <t>$C$47=$E$47</t>
  </si>
  <si>
    <t>([((PP51_DI104_Q*PP51_DI104_WF)+(PP51_DI101_Q*PP51_DI101_WF))]=[(CONCTHK21_PP51_Q*CONCTHK21_PP51_WF)])</t>
  </si>
  <si>
    <t>$C$45=$E$45</t>
  </si>
  <si>
    <t>([((PP51_DI101_Q*PP51_DI101_CF)+(PP51_DI104_Q*PP51_DI104_CF))]=[(CONCTHK21_PP51_Q*CONCTHK21_PP51_CF)])</t>
  </si>
  <si>
    <t>$C$30=$E$30</t>
  </si>
  <si>
    <t>([((FINALCONC_Q*FINALCONC_CF)+(TAILS_Q*TAILS_CF))]=[(ROUFEED_Q*ROUFEED_CF)])</t>
  </si>
  <si>
    <t>$C$12=$E$12</t>
  </si>
  <si>
    <t>([((DI101_CONCTHK21_Q*DI101_CONCTHK21_CF)+(DI101_CONCTHK22_Q*DI101_CONCTHK22_CF))]=[(DI101_TOTAL_Q*DI101_TOTAL_CF)])</t>
  </si>
  <si>
    <t>$C$14=$E$14</t>
  </si>
  <si>
    <t>([((DI101_CONCTHK21_Q*DI101_CONCTHK21_WF)+(DI101_CONCTHK22_Q*DI101_CONCTHK22_WF))]=[(DI101_TOTAL_Q*DI101_TOTAL_WF)])</t>
  </si>
  <si>
    <t>$C$92=$E$92</t>
  </si>
  <si>
    <t>([((((TK83_CLOSE_Q+TK83_CHIL_Q)+H2OSEAL_Q)+PLANTA_RO_FEED_Q)+TK83_TANK_Q)]=[(TK83_OPEN_Q+H2OFRESH_TK83_Q)])</t>
  </si>
  <si>
    <t>$C$70=$E$70</t>
  </si>
  <si>
    <t>([((TANK_CLOSE_Q+H2ODISCHARGE_Q)+H2OPROCESSTOTAL_Q)]=[(((TANK_OPEN_Q+H2O_RECOVERED_Q)+RO_TANK_Q)+TK83_TANK_Q)])</t>
  </si>
  <si>
    <t>$C$39=$E$39</t>
  </si>
  <si>
    <t>([(ROUFEED_Q*ROUFEED_WF)]=[(POOL_MIXER_Q+(MILL_MIXER_Q*MILL_MIXER_WF))])</t>
  </si>
  <si>
    <t>$C$16=$E$16</t>
  </si>
  <si>
    <t>([DI101_TOTAL_Q]=[((((FINALCONC_Q+PP51_DI101_Q)+PP52_DI101_Q)+PP53_DI101_Q)+PP54_DI101_Q)])</t>
  </si>
  <si>
    <t>$C$34=$E$34</t>
  </si>
  <si>
    <t>([(MILL_MIXER_Q*MILL_MIXER_CF)]=[(FEED_Q*FEED_CF)])</t>
  </si>
  <si>
    <t>$C$37=$E$37</t>
  </si>
  <si>
    <t>([(ROUFEED_Q*ROUFEED_CF)]=[(MILL_MIXER_Q*MILL_MIXER_CF)])</t>
  </si>
  <si>
    <t>$C$25=$E$25</t>
  </si>
  <si>
    <t>([TKC_PIPE_Q]=[(((TK24_DI105_Q+TK25_DI105_Q)+TK26_DI105_Q)+TK23_DI105_Q)])</t>
  </si>
  <si>
    <t>$C$4=$E$4</t>
  </si>
  <si>
    <t>([((CONCTHK21_CLOSE_Q+CONCTHK21_PP51_Q)+CONCTHK21_PP52_Q)]=[(CONCTHK21_OPEN_Q+DI101_CONCTHK21_Q)])</t>
  </si>
  <si>
    <t>$C$22=$E$22</t>
  </si>
  <si>
    <t>([CONCTHK_TKC_Q]=[(((PP52_DI104_Q+PP53_DI104_Q)+PP51_DI104_Q)+PP54_DI104_Q)])</t>
  </si>
  <si>
    <t>$C$8=$E$8</t>
  </si>
  <si>
    <t>([((CONCTHK22_CLOSE_Q+CONCTHK22_PP53_Q)+CONCTHK22_PP54_Q)]=[(CONCTHK22_OPEN_Q+DI101_CONCTHK22_Q)])</t>
  </si>
  <si>
    <t>$C$19=$E$19</t>
  </si>
  <si>
    <t>([(((CONCTHK_TK24_Q+CONCTHK_TK25_Q)+CONCTHK_TK26_Q)+CONCTHK_TK23_Q)]=[CONCTHK_TKC_Q])</t>
  </si>
  <si>
    <t>$C$93=$E$93</t>
  </si>
  <si>
    <t>([CONCTHK21_TOTVOL_CLOSE_Q]=[((0.239*CONCTHK21_CLOSE_Q)+(CONCTHK21_CLOSE_Q*CONCTHK21_CLOSE_WF))])</t>
  </si>
  <si>
    <t>$C$138=$E$138</t>
  </si>
  <si>
    <t>([TAILTHK7_TOTVOL_CLOSE_Q]=[((TAILTHK7_CLOSE_Q*TAILTHK7_CLOSE_WF)+(0.3645*TAILTHK7_CLOSE_Q))])</t>
  </si>
  <si>
    <t>$C$96=$E$96</t>
  </si>
  <si>
    <t>([CONCTHK22_TOTVOL_CLOSE_Q]=[((CONCTHK22_CLOSE_Q*CONCTHK22_CLOSE_WF)+(0.239*CONCTHK22_CLOSE_Q))])</t>
  </si>
  <si>
    <t>$C$136=$E$136</t>
  </si>
  <si>
    <t>([TAILTHK6_TOTVOL_CLOSE_Q]=[((TAILTHK6_CLOSE_Q*TAILTHK6_CLOSE_WF)+(0.3645*TAILTHK6_CLOSE_Q))])</t>
  </si>
  <si>
    <t>$C$140=$E$140</t>
  </si>
  <si>
    <t>([TAILTHK8_TOTVOL_CLOSE_Q]=[((TAILTHK8_CLOSE_Q*TAILTHK8_CLOSE_WF)+(0.3645*TAILTHK8_CLOSE_Q))])</t>
  </si>
  <si>
    <t>$C$86=$E$86</t>
  </si>
  <si>
    <t>([(TK25_CLOSE_Q+TK25_DI105_Q)]=[(TK25_OPEN_Q+CONCTHK_TK25_Q)])</t>
  </si>
  <si>
    <t>$C$28=$E$28</t>
  </si>
  <si>
    <t>([((DI150_TAILTHK6_Q+DI150_TAILTHK7_Q)+DI150_TAILTHK8_Q)]=[TAILS_Q])</t>
  </si>
  <si>
    <t>$C$80=$E$80</t>
  </si>
  <si>
    <t>([(TK23_CLOSE_Q+TK23_DI105_Q)]=[(TK23_OPEN_Q+CONCTHK_TK23_Q)])</t>
  </si>
  <si>
    <t>$C$83=$E$83</t>
  </si>
  <si>
    <t>([(TK24_CLOSE_Q+TK24_DI105_Q)]=[(TK24_OPEN_Q+CONCTHK_TK24_Q)])</t>
  </si>
  <si>
    <t>$C$41=$E$41</t>
  </si>
  <si>
    <t>([(PIPELINE_CLOSE_Q+PIPE_TKCLC_Q)]=[(PIPELINE_OPEN_Q+TKC_PIPE_Q)])</t>
  </si>
  <si>
    <t>$C$62=$E$62</t>
  </si>
  <si>
    <t>([(TAILTHK7_CLOSE_Q+TAILTHK7_UNDERFLOW_Q)]=[(TAILTHK7_OPEN_Q+DI150_TAILTHK7_Q)])</t>
  </si>
  <si>
    <t>$C$89=$E$89</t>
  </si>
  <si>
    <t>([(TK26_CLOSE_Q+TK26_DI105_Q)]=[(TK26_OPEN_Q+CONCTHK_TK26_Q)])</t>
  </si>
  <si>
    <t>$C$66=$E$66</t>
  </si>
  <si>
    <t>([(TAILTHK8_CLOSE_Q+TAILTHK8_UNDERFLOW_Q)]=[(TAILTHK8_OPEN_Q+DI150_TAILTHK8_Q)])</t>
  </si>
  <si>
    <t>$C$69=$E$69</t>
  </si>
  <si>
    <t>([TAILTHK_OVERFLOW_Q]=[((TAILTHK7_OVERFLOW_Q+TAILTHK6_OVERFLOW_Q)+TAILTHK8_OVERFLOW_Q)])</t>
  </si>
  <si>
    <t>$C$72=$E$72</t>
  </si>
  <si>
    <t>([H2O_RECOVERED_Q]=[((TK10_TK11_Q+CONCTHK_OVERFLOW_Q)+TAILTHK_OVERFLOW_Q)])</t>
  </si>
  <si>
    <t>$C$58=$E$58</t>
  </si>
  <si>
    <t>([(TAILTHK6_CLOSE_Q+TAILTHK6_UNDERFLOW_Q)]=[(TAILTHK6_OPEN_Q+DI150_TAILTHK6_Q)])</t>
  </si>
  <si>
    <t>$C$98=$E$98</t>
  </si>
  <si>
    <t>([((500*CONCTHK22_CLOSE_CF)+(500*CONCTHK22_OPEN_CF))]=[(1000*CONCTHK22_PP54_CF)])</t>
  </si>
  <si>
    <t>$C$94=$E$94</t>
  </si>
  <si>
    <t>([((500*CONCTHK21_OPEN_CF)+(500*CONCTHK21_CLOSE_CF))]=[(1000*CONCTHK21_PP51_CF)])</t>
  </si>
  <si>
    <t>$C$97=$E$97</t>
  </si>
  <si>
    <t>([((500*CONCTHK22_OPEN_CF)+(500*CONCTHK22_CLOSE_CF))]=[(1000*CONCTHK22_PP53_CF)])</t>
  </si>
  <si>
    <t>$C$95=$E$95</t>
  </si>
  <si>
    <t>([((500*CONCTHK21_CLOSE_CF)+(500*CONCTHK21_OPEN_CF))]=[(1000*CONCTHK21_PP52_CF)])</t>
  </si>
  <si>
    <t>$C$11=$E$11</t>
  </si>
  <si>
    <t>([CONCTHK_OVERFLOW_Q]=[(CONCTHK1_OVERFLOW_Q+CONCTHK2_OVERFLOW_Q)])</t>
  </si>
  <si>
    <t>$C$55=$E$55</t>
  </si>
  <si>
    <t>([(PP54_DI101_Q+PP54_DI104_Q)]=[CONCTHK22_PP54_Q])</t>
  </si>
  <si>
    <t>$C$33=$E$33</t>
  </si>
  <si>
    <t>([H2OFRESH_TK83_Q]=[(BOREWATER_Q+RIVERWATER_Q)])</t>
  </si>
  <si>
    <t>$C$31=$E$31</t>
  </si>
  <si>
    <t>([(FINALCONC_Q+TAILS_Q)]=[ROUFEED_Q])</t>
  </si>
  <si>
    <t>$C$52=$E$52</t>
  </si>
  <si>
    <t>([(PP53_DI101_Q+PP53_DI104_Q)]=[CONCTHK22_PP53_Q])</t>
  </si>
  <si>
    <t>$C$43=$E$43</t>
  </si>
  <si>
    <t>([(RO_POND_Q+RO_TANK_Q)]=[PLANTA_RO_FEED_Q])</t>
  </si>
  <si>
    <t>$C$49=$E$49</t>
  </si>
  <si>
    <t>([(PP52_DI101_Q+PP52_DI104_Q)]=[CONCTHK21_PP52_Q])</t>
  </si>
  <si>
    <t>$C$46=$E$46</t>
  </si>
  <si>
    <t>([(PP51_DI101_Q+PP51_DI104_Q)]=[CONCTHK21_PP51_Q])</t>
  </si>
  <si>
    <t>$C$74=$E$74</t>
  </si>
  <si>
    <t>([TK140_TK165_Q]=[(TAILTHK7_UNDERFLOW_Q+TAILTHK8_UNDERFLOW_Q)])</t>
  </si>
  <si>
    <t>$C$77=$E$77</t>
  </si>
  <si>
    <t>([TAILPOND_Q]=[(TAILTHK6_UNDERFLOW_Q+TK140_TK165_Q)])</t>
  </si>
  <si>
    <t>$C$13=$E$13</t>
  </si>
  <si>
    <t>([(DI101_CONCTHK22_Q+DI101_CONCTHK21_Q)]=[DI101_TOTAL_Q])</t>
  </si>
  <si>
    <t>$C$132=$E$132</t>
  </si>
  <si>
    <t>([(1000*CONCTHK22_PP54_CF)]=[(1000*PP54_DI101_CF)])</t>
  </si>
  <si>
    <t>$C$128=$E$128</t>
  </si>
  <si>
    <t>([(1000*CONCTHK22_PP53_CF)]=[(1000*PP53_DI101_CF)])</t>
  </si>
  <si>
    <t>$C$130=$E$130</t>
  </si>
  <si>
    <t>([(1000*CONCTHK22_PP53_WF)]=[(1000*PP53_DI101_WF)])</t>
  </si>
  <si>
    <t>$C$131=$E$131</t>
  </si>
  <si>
    <t>([(1000*CONCTHK22_PP54_CF)]=[(1000*PP54_DI104_CF)])</t>
  </si>
  <si>
    <t>$C$129=$E$129</t>
  </si>
  <si>
    <t>([(1000*CONCTHK22_PP53_WF)]=[(1000*PP53_DI104_WF)])</t>
  </si>
  <si>
    <t>$C$122=$E$122</t>
  </si>
  <si>
    <t>([(1000*CONCTHK21_PP51_WF)]=[(1000*PP51_DI101_WF)])</t>
  </si>
  <si>
    <t>$C$123=$E$123</t>
  </si>
  <si>
    <t>([(1000*CONCTHK21_PP52_CF)]=[(1000*PP52_DI104_CF)])</t>
  </si>
  <si>
    <t>$C$120=$E$120</t>
  </si>
  <si>
    <t>([(1000*CONCTHK21_PP51_CF)]=[(1000*PP51_DI101_CF)])</t>
  </si>
  <si>
    <t>$C$121=$E$121</t>
  </si>
  <si>
    <t>([(1000*CONCTHK21_PP51_WF)]=[(1000*PP51_DI104_WF)])</t>
  </si>
  <si>
    <t>$C$126=$E$126</t>
  </si>
  <si>
    <t>([(1000*CONCTHK21_PP52_WF)]=[(1000*PP52_DI101_WF)])</t>
  </si>
  <si>
    <t>$C$127=$E$127</t>
  </si>
  <si>
    <t>([(1000*CONCTHK22_PP53_CF)]=[(1000*PP53_DI104_CF)])</t>
  </si>
  <si>
    <t>$C$124=$E$124</t>
  </si>
  <si>
    <t>([(1000*CONCTHK21_PP52_CF)]=[(1000*PP52_DI101_CF)])</t>
  </si>
  <si>
    <t>$C$125=$E$125</t>
  </si>
  <si>
    <t>([(1000*CONCTHK21_PP52_WF)]=[(1000*PP52_DI104_WF)])</t>
  </si>
  <si>
    <t>$C$143=$E$143</t>
  </si>
  <si>
    <t>([TK24_DI105_CF]=[TK24_CLOSE_CF])</t>
  </si>
  <si>
    <t>$C$142=$E$142</t>
  </si>
  <si>
    <t>([TK23_DI105_WF]=[TK23_CLOSE_WF])</t>
  </si>
  <si>
    <t>$C$141=$E$141</t>
  </si>
  <si>
    <t>([TK23_DI105_CF]=[TK23_CLOSE_CF])</t>
  </si>
  <si>
    <t>$C$145=$E$145</t>
  </si>
  <si>
    <t>([TK25_DI105_CF]=[TK25_CLOSE_CF])</t>
  </si>
  <si>
    <t>$C$146=$E$146</t>
  </si>
  <si>
    <t>([TK25_DI105_WF]=[TK25_CLOSE_WF])</t>
  </si>
  <si>
    <t>$C$144=$E$144</t>
  </si>
  <si>
    <t>([TK24_DI105_WF]=[TK24_CLOSE_WF])</t>
  </si>
  <si>
    <t>$C$147=$E$147</t>
  </si>
  <si>
    <t>([TK26_DI105_CF]=[TK26_CLOSE_CF])</t>
  </si>
  <si>
    <t>$C$135=$E$135</t>
  </si>
  <si>
    <t>([TAILTHK6_UNDERFLOW_CF]=[TAILTHK6_CLOSE_CF])</t>
  </si>
  <si>
    <t>$C$134=$E$134</t>
  </si>
  <si>
    <t>([(1000*CONCTHK22_PP54_WF)]=[(1000*PP54_DI101_WF)])</t>
  </si>
  <si>
    <t>$C$133=$E$133</t>
  </si>
  <si>
    <t>([(1000*CONCTHK22_PP54_WF)]=[(1000*PP54_DI104_WF)])</t>
  </si>
  <si>
    <t>$C$148=$E$148</t>
  </si>
  <si>
    <t>([TK26_DI105_WF]=[TK26_CLOSE_WF])</t>
  </si>
  <si>
    <t>$C$139=$E$139</t>
  </si>
  <si>
    <t>([TAILTHK8_UNDERFLOW_CF]=[TAILTHK8_CLOSE_CF])</t>
  </si>
  <si>
    <t>$C$137=$E$137</t>
  </si>
  <si>
    <t>([TAILTHK7_UNDERFLOW_CF]=[TAILTHK7_CLOSE_CF])</t>
  </si>
  <si>
    <t>$C$100=$E$100</t>
  </si>
  <si>
    <t>([(10000*DI101_CONCTHK22_CF)]=[(10000*DI101_TOTAL_CF)])</t>
  </si>
  <si>
    <t>$C$99=$E$99</t>
  </si>
  <si>
    <t>([(10000*DI101_CONCTHK21_CF)]=[(10000*DI101_TOTAL_CF)])</t>
  </si>
  <si>
    <t>$C$38=$E$38</t>
  </si>
  <si>
    <t>([ROUFEED_Q]=[MILL_MIXER_Q])</t>
  </si>
  <si>
    <t>$C$101=$E$101</t>
  </si>
  <si>
    <t>([(10000*DI101_CONCTHK21_WF)]=[(10000*DI101_TOTAL_WF)])</t>
  </si>
  <si>
    <t>$C$104=$E$104</t>
  </si>
  <si>
    <t>([(1000*CONCTHK_TKC_WF)]=[(1000*CONCTHK_TK23_WF)])</t>
  </si>
  <si>
    <t>$C$103=$E$103</t>
  </si>
  <si>
    <t>([(1000*CONCTHK_TKC_CF)]=[(1000*CONCTHK_TK23_CF)])</t>
  </si>
  <si>
    <t>$C$102=$E$102</t>
  </si>
  <si>
    <t>([(10000*DI101_CONCTHK22_WF)]=[(10000*DI101_TOTAL_WF)])</t>
  </si>
  <si>
    <t>$C$67=$E$67</t>
  </si>
  <si>
    <t>([TAILTHK8_TOTVOL_CLOSE_Q]=[TAILTHK8_TOTVOL_OPEN_Q])</t>
  </si>
  <si>
    <t>$C$71=$E$71</t>
  </si>
  <si>
    <t>([TK10_TK11_Q]=[POND_RECVR_Q])</t>
  </si>
  <si>
    <t>$C$9=$E$9</t>
  </si>
  <si>
    <t>([CONCTHK22_TOTVOL_CLOSE_Q]=[CONCTHK22_TOTVOL_OPEN_Q])</t>
  </si>
  <si>
    <t>$C$5=$E$5</t>
  </si>
  <si>
    <t>([CONCTHK21_TOTVOL_CLOSE_Q]=[CONCTHK21_TOTVOL_OPEN_Q])</t>
  </si>
  <si>
    <t>$C$59=$E$59</t>
  </si>
  <si>
    <t>([TAILTHK6_TOTVOL_CLOSE_Q]=[TAILTHK6_TOTVOL_OPEN_Q])</t>
  </si>
  <si>
    <t>$C$35=$E$35</t>
  </si>
  <si>
    <t>([MILL_MIXER_Q]=[FEED_Q])</t>
  </si>
  <si>
    <t>$C$63=$E$63</t>
  </si>
  <si>
    <t>([TAILTHK7_TOTVOL_CLOSE_Q]=[TAILTHK7_TOTVOL_OPEN_Q])</t>
  </si>
  <si>
    <t>$C$105=$E$105</t>
  </si>
  <si>
    <t>([(1000*CONCTHK_TKC_CF)]=[(1000*CONCTHK_TK24_CF)])</t>
  </si>
  <si>
    <t>$C$115=$E$115</t>
  </si>
  <si>
    <t>([(10000*DI150_TAILTHK7_WF)]=[(10000*TAILS_WF)])</t>
  </si>
  <si>
    <t>$C$114=$E$114</t>
  </si>
  <si>
    <t>([(10000*DI150_TAILTHK6_WF)]=[(10000*TAILS_WF)])</t>
  </si>
  <si>
    <t>$C$113=$E$113</t>
  </si>
  <si>
    <t>([(10000*DI150_TAILTHK8_CF)]=[(10000*TAILS_CF)])</t>
  </si>
  <si>
    <t>$C$116=$E$116</t>
  </si>
  <si>
    <t>([(10000*DI150_TAILTHK8_WF)]=[(10000*TAILS_WF)])</t>
  </si>
  <si>
    <t>$C$119=$E$119</t>
  </si>
  <si>
    <t>([(1000*CONCTHK21_PP51_CF)]=[(1000*PP51_DI104_CF)])</t>
  </si>
  <si>
    <t>$C$118=$E$118</t>
  </si>
  <si>
    <t>([PIPE_TKCLC_WF]=[PIPELINE_CLOSE_WF])</t>
  </si>
  <si>
    <t>$C$117=$E$117</t>
  </si>
  <si>
    <t>([PIPE_TKCLC_CF]=[PIPELINE_CLOSE_CF])</t>
  </si>
  <si>
    <t>$C$108=$E$108</t>
  </si>
  <si>
    <t>([(1000*CONCTHK_TKC_WF)]=[(1000*CONCTHK_TK25_WF)])</t>
  </si>
  <si>
    <t>$C$107=$E$107</t>
  </si>
  <si>
    <t>([(1000*CONCTHK_TKC_CF)]=[(1000*CONCTHK_TK25_CF)])</t>
  </si>
  <si>
    <t>$C$106=$E$106</t>
  </si>
  <si>
    <t>([(1000*CONCTHK_TKC_WF)]=[(1000*CONCTHK_TK24_WF)])</t>
  </si>
  <si>
    <t>$C$109=$E$109</t>
  </si>
  <si>
    <t>([(1000*CONCTHK_TKC_CF)]=[(1000*CONCTHK_TK26_CF)])</t>
  </si>
  <si>
    <t>$C$112=$E$112</t>
  </si>
  <si>
    <t>([(10000*DI150_TAILTHK7_CF)]=[(10000*TAILS_CF)])</t>
  </si>
  <si>
    <t>$C$111=$E$111</t>
  </si>
  <si>
    <t>([(10000*DI150_TAILTHK6_CF)]=[(10000*TAILS_CF)])</t>
  </si>
  <si>
    <t>$C$110=$E$110</t>
  </si>
  <si>
    <t>([(1000*CONCTHK_TKC_WF)]=[(1000*CONCTHK_TK26_WF)])</t>
  </si>
  <si>
    <t>Report Created:2/18/2012 9:40:17 PM</t>
  </si>
  <si>
    <t>Maximum iterations</t>
  </si>
  <si>
    <t>Observable</t>
  </si>
  <si>
    <t>Unobservable</t>
  </si>
  <si>
    <t>PROBLEM</t>
  </si>
  <si>
    <t>Test</t>
  </si>
  <si>
    <t>CONCTHK21_C</t>
  </si>
  <si>
    <t>CONCTHK21_M</t>
  </si>
  <si>
    <t>CONCTHK21_TOTVOL_W</t>
  </si>
  <si>
    <t>CONCTHK21_W</t>
  </si>
  <si>
    <t>CONCTHK22_C</t>
  </si>
  <si>
    <t>CONCTHK22_M</t>
  </si>
  <si>
    <t>CONCTHK22_TOTVOL_W</t>
  </si>
  <si>
    <t>CONCTHK22_W</t>
  </si>
  <si>
    <t>CONCTHK_H2OREC_W</t>
  </si>
  <si>
    <t>DI101E_C</t>
  </si>
  <si>
    <t>DI101E_M</t>
  </si>
  <si>
    <t>DI101E_W</t>
  </si>
  <si>
    <t>DI101_C</t>
  </si>
  <si>
    <t>DI101_M</t>
  </si>
  <si>
    <t>DI101_W</t>
  </si>
  <si>
    <t>DI104T_C</t>
  </si>
  <si>
    <t>DI104T_M</t>
  </si>
  <si>
    <t>DI104T_W</t>
  </si>
  <si>
    <t>DI104_C</t>
  </si>
  <si>
    <t>DI104_M</t>
  </si>
  <si>
    <t>DI104_W</t>
  </si>
  <si>
    <t>DI105_C</t>
  </si>
  <si>
    <t>DI105_M</t>
  </si>
  <si>
    <t>DI105_W</t>
  </si>
  <si>
    <t>DI150_C</t>
  </si>
  <si>
    <t>DI150_M</t>
  </si>
  <si>
    <t>DI150_W</t>
  </si>
  <si>
    <t>FLOT_C</t>
  </si>
  <si>
    <t>FLOT_M</t>
  </si>
  <si>
    <t>FLOT_W</t>
  </si>
  <si>
    <t>H2OFRESH_W</t>
  </si>
  <si>
    <t>MILL_C</t>
  </si>
  <si>
    <t>MILL_M</t>
  </si>
  <si>
    <t>MILL_W</t>
  </si>
  <si>
    <t>MIXER_C</t>
  </si>
  <si>
    <t>MIXER_M</t>
  </si>
  <si>
    <t>MIXER_W</t>
  </si>
  <si>
    <t>PIPELINE_C</t>
  </si>
  <si>
    <t>PIPELINE_M</t>
  </si>
  <si>
    <t>PIPELINE_W</t>
  </si>
  <si>
    <t>PLANT_RO_W</t>
  </si>
  <si>
    <t>POOL_H2OPROC_W</t>
  </si>
  <si>
    <t>PP51_C</t>
  </si>
  <si>
    <t>PP51_M</t>
  </si>
  <si>
    <t>PP51_W</t>
  </si>
  <si>
    <t>PP52_C</t>
  </si>
  <si>
    <t>PP52_M</t>
  </si>
  <si>
    <t>PP52_W</t>
  </si>
  <si>
    <t>PP53_C</t>
  </si>
  <si>
    <t>PP53_M</t>
  </si>
  <si>
    <t>PP53_W</t>
  </si>
  <si>
    <t>PP54_C</t>
  </si>
  <si>
    <t>PP54_M</t>
  </si>
  <si>
    <t>PP54_W</t>
  </si>
  <si>
    <t>TAILTHK6_C</t>
  </si>
  <si>
    <t>TAILTHK6_M</t>
  </si>
  <si>
    <t>TAILTHK6_TOTVOL_W</t>
  </si>
  <si>
    <t>TAILTHK6_W</t>
  </si>
  <si>
    <t>TAILTHK7_C</t>
  </si>
  <si>
    <t>TAILTHK7_M</t>
  </si>
  <si>
    <t>TAILTHK7_TOTVOL_W</t>
  </si>
  <si>
    <t>TAILTHK7_W</t>
  </si>
  <si>
    <t>TAILTHK8_C</t>
  </si>
  <si>
    <t>TAILTHK8_M</t>
  </si>
  <si>
    <t>TAILTHK8_TOTVOL_W</t>
  </si>
  <si>
    <t>TAILTHK8_W</t>
  </si>
  <si>
    <t>TAILTHK_H2OREC_W</t>
  </si>
  <si>
    <t>TANK_W</t>
  </si>
  <si>
    <t>TK10_W</t>
  </si>
  <si>
    <t>TK11_W</t>
  </si>
  <si>
    <t>TK140_C</t>
  </si>
  <si>
    <t>TK140_M</t>
  </si>
  <si>
    <t>TK140_W</t>
  </si>
  <si>
    <t>TK165_C</t>
  </si>
  <si>
    <t>TK165_M</t>
  </si>
  <si>
    <t>TK165_W</t>
  </si>
  <si>
    <t>TK23_C</t>
  </si>
  <si>
    <t>TK23_M</t>
  </si>
  <si>
    <t>TK23_W</t>
  </si>
  <si>
    <t>TK24_C</t>
  </si>
  <si>
    <t>TK24_M</t>
  </si>
  <si>
    <t>TK24_W</t>
  </si>
  <si>
    <t>TK25_C</t>
  </si>
  <si>
    <t>TK25_M</t>
  </si>
  <si>
    <t>TK25_W</t>
  </si>
  <si>
    <t>TK26_C</t>
  </si>
  <si>
    <t>TK26_M</t>
  </si>
  <si>
    <t>TK26_W</t>
  </si>
  <si>
    <t>TK83_H2OSEAL_W</t>
  </si>
  <si>
    <t>TK83_W</t>
  </si>
  <si>
    <t>CONCTHK21_Constant_Volume_866</t>
  </si>
  <si>
    <t>CONCTHK21_splitter_to_PP51_868</t>
  </si>
  <si>
    <t>CONCTHK21_splitter_to_PP52_869</t>
  </si>
  <si>
    <t>CONCTHK22_Constant_Volume_867</t>
  </si>
  <si>
    <t>CONCTHK22_splitter_to_PP53_870</t>
  </si>
  <si>
    <t>CONCTHK22_splitter_to_PP54_871</t>
  </si>
  <si>
    <t>DI101_CU_Splitter_to_CONCTHK21_859</t>
  </si>
  <si>
    <t>DI101_CU_Splitter_to_CONCTHK22_860</t>
  </si>
  <si>
    <t>DI101_H2O_Splitter_to_CONCTHK21_861</t>
  </si>
  <si>
    <t>DI101_H2O_Splitter_to_CONCTHK22_862</t>
  </si>
  <si>
    <t>DI104T_Splitter_to_TK23_888</t>
  </si>
  <si>
    <t>DI104T_Splitter_to_TK23_892</t>
  </si>
  <si>
    <t>DI104T_Splitter_to_TK24_889</t>
  </si>
  <si>
    <t>DI104T_Splitter_to_TK24_893</t>
  </si>
  <si>
    <t>DI104T_Splitter_to_TK25_890</t>
  </si>
  <si>
    <t>DI104T_Splitter_to_TK25_894</t>
  </si>
  <si>
    <t>DI104T_Splitter_to_TK26_891</t>
  </si>
  <si>
    <t>DI104T_Splitter_to_TK26_895</t>
  </si>
  <si>
    <t>DI150_CU_Splitter_to_TAILTHK6_853</t>
  </si>
  <si>
    <t>DI150_CU_Splitter_to_TAILTHK7_854</t>
  </si>
  <si>
    <t>DI150_CU_Splitter_to_TAILTHK8_855</t>
  </si>
  <si>
    <t>DI150_H2O_Splitter_to_TAILTHK6_856</t>
  </si>
  <si>
    <t>DI150_H2O_Splitter_to_TAILTHK7_857</t>
  </si>
  <si>
    <t>DI150_H2O_Splitter_to_TAILTHK8_858</t>
  </si>
  <si>
    <t>PIPELINE_C_PM</t>
  </si>
  <si>
    <t>PIPELINE_W_PM</t>
  </si>
  <si>
    <t>PP51_Grade_in__Grade_out__avoid_unobservable_result__help_convergence__872</t>
  </si>
  <si>
    <t>PP51_Grade_in__Grade_out__recirculation_pump_no_grade_change__880</t>
  </si>
  <si>
    <t>PP51___Sol_in____Sol_out__avoid_unobservable_result__help_convergence__876</t>
  </si>
  <si>
    <t>PP51___Sol_in____Sol_out__recirculation_pump_no_grade_change__884</t>
  </si>
  <si>
    <t>PP52_Grade_in__Grade_out__avoid_unobservable_result__help_convergence__873</t>
  </si>
  <si>
    <t>PP52_Grade_in__Grade_out__recirculation_pump_no_grade_change__881</t>
  </si>
  <si>
    <t>PP52___Sol_in____Sol_out__avoid_unobservable_result__help_convergence__877</t>
  </si>
  <si>
    <t>PP52___Sol_in____Sol_out__recirculation_pump_no_grade_change__885</t>
  </si>
  <si>
    <t>PP53_Grade_in__Grade_out__avoid_unobservable_result__help_convergence__874</t>
  </si>
  <si>
    <t>PP53_Grade_in__Grade_out__recirculation_pump_no_grade_change__882</t>
  </si>
  <si>
    <t>PP53___Sol_in____Sol_out__avoid_unobservable_result__help_convergence__878</t>
  </si>
  <si>
    <t>PP53___Sol_in____Sol_out__recirculation_pump_no_grade_change__886</t>
  </si>
  <si>
    <t>PP54_Grade_in__Grade_out__avoid_unobservable_result__help_convergence__875</t>
  </si>
  <si>
    <t>PP54_Grade_in__Grade_out__recirculation_pump_no_grade_change__883</t>
  </si>
  <si>
    <t>PP54___Sol_in____Sol_out__avoid_unobservable_result__help_convergence__879</t>
  </si>
  <si>
    <t>PP54___Sol_in____Sol_out__recirculation_pump_no_grade_change__887</t>
  </si>
  <si>
    <t>TAILTHK6_C_PM</t>
  </si>
  <si>
    <t>TAILTHK6_Constant_Volume_863</t>
  </si>
  <si>
    <t>TAILTHK7_C_PM</t>
  </si>
  <si>
    <t>TAILTHK7_Constant_Volume_864</t>
  </si>
  <si>
    <t>TAILTHK8_C_PM</t>
  </si>
  <si>
    <t>TAILTHK8_Constant_Volume_865</t>
  </si>
  <si>
    <t>TK23_C_PM</t>
  </si>
  <si>
    <t>TK23_W_PM</t>
  </si>
  <si>
    <t>TK24_C_PM</t>
  </si>
  <si>
    <t>TK24_W_PM</t>
  </si>
  <si>
    <t>TK25_C_PM</t>
  </si>
  <si>
    <t>TK25_W_PM</t>
  </si>
  <si>
    <t>TK26_C_PM</t>
  </si>
  <si>
    <t>TK26_W_PM</t>
  </si>
  <si>
    <t>Exact</t>
  </si>
  <si>
    <t>Realistic</t>
  </si>
  <si>
    <t>CONCTHK21_C: (( CONCTHK21_CLOSE_Q * CONCTHK21_CLOSE_CF + CONCTHK21_PP52_Q * CONCTHK21_PP52_CF + CONCTHK21_PP51_Q * CONCTHK21_PP51_CF) = (CONCTHK21_OPEN_Q * CONCTHK21_OPEN_CF + DI101_CONCTHK21_Q * DI101_CONCTHK21_CF ));</t>
  </si>
  <si>
    <t xml:space="preserve">=(( CONCTHK21_CLOSE_Q * CONCTHK21_CLOSE_CF + CONCTHK21_PP52_Q * CONCTHK21_PP52_CF + CONCTHK21_PP51_Q * CONCTHK21_PP51_CF) </t>
  </si>
  <si>
    <t>= (CONCTHK21_OPEN_Q * CONCTHK21_OPEN_CF + DI101_CONCTHK21_Q * DI101_CONCTHK21_CF )</t>
  </si>
  <si>
    <t>CONCTHK21_M: (( CONCTHK21_CLOSE_Q + CONCTHK21_PP51_Q + CONCTHK21_PP52_Q) = (CONCTHK21_OPEN_Q + DI101_CONCTHK21_Q ));</t>
  </si>
  <si>
    <t xml:space="preserve">=(( CONCTHK21_CLOSE_Q + CONCTHK21_PP51_Q + CONCTHK21_PP52_Q) </t>
  </si>
  <si>
    <t>= (CONCTHK21_OPEN_Q + DI101_CONCTHK21_Q )</t>
  </si>
  <si>
    <t>CONCTHK21_TOTVOL_W: (( CONCTHK21_TOTVOL_CLOSE_Q) = (CONCTHK21_TOTVOL_OPEN_Q ));</t>
  </si>
  <si>
    <t xml:space="preserve">=(( CONCTHK21_TOTVOL_CLOSE_Q) </t>
  </si>
  <si>
    <t>= (CONCTHK21_TOTVOL_OPEN_Q )</t>
  </si>
  <si>
    <t>CONCTHK21_W: (( CONCTHK21_CLOSE_Q * CONCTHK21_CLOSE_WF + CONCTHK21_PP52_Q * CONCTHK21_PP52_WF + CONCTHK1_OVERFLOW_Q + CONCTHK21_PP51_Q * CONCTHK21_PP51_WF) = (CONCTHK21_OPEN_Q * CONCTHK21_OPEN_WF + DI101_CONCTHK21_Q * DI101_CONCTHK21_WF ));</t>
  </si>
  <si>
    <t xml:space="preserve">=(( CONCTHK21_CLOSE_Q * CONCTHK21_CLOSE_WF + CONCTHK21_PP52_Q * CONCTHK21_PP52_WF + CONCTHK1_OVERFLOW_Q + CONCTHK21_PP51_Q * CONCTHK21_PP51_WF) </t>
  </si>
  <si>
    <t>= (CONCTHK21_OPEN_Q * CONCTHK21_OPEN_WF + DI101_CONCTHK21_Q * DI101_CONCTHK21_WF )</t>
  </si>
  <si>
    <t>CONCTHK22_C: (( CONCTHK22_CLOSE_Q * CONCTHK22_CLOSE_CF + CONCTHK22_PP53_Q * CONCTHK22_PP53_CF + CONCTHK22_PP54_Q * CONCTHK22_PP54_CF) = (CONCTHK22_OPEN_Q * CONCTHK22_OPEN_CF + DI101_CONCTHK22_Q * DI101_CONCTHK22_CF ));</t>
  </si>
  <si>
    <t xml:space="preserve">=(( CONCTHK22_CLOSE_Q * CONCTHK22_CLOSE_CF + CONCTHK22_PP53_Q * CONCTHK22_PP53_CF + CONCTHK22_PP54_Q * CONCTHK22_PP54_CF) </t>
  </si>
  <si>
    <t>= (CONCTHK22_OPEN_Q * CONCTHK22_OPEN_CF + DI101_CONCTHK22_Q * DI101_CONCTHK22_CF )</t>
  </si>
  <si>
    <t>CONCTHK22_M: (( CONCTHK22_CLOSE_Q + CONCTHK22_PP53_Q + CONCTHK22_PP54_Q) = (CONCTHK22_OPEN_Q + DI101_CONCTHK22_Q ));</t>
  </si>
  <si>
    <t xml:space="preserve">=(( CONCTHK22_CLOSE_Q + CONCTHK22_PP53_Q + CONCTHK22_PP54_Q) </t>
  </si>
  <si>
    <t>= (CONCTHK22_OPEN_Q + DI101_CONCTHK22_Q )</t>
  </si>
  <si>
    <t>CONCTHK22_TOTVOL_W: (( CONCTHK22_TOTVOL_CLOSE_Q) = (CONCTHK22_TOTVOL_OPEN_Q ));</t>
  </si>
  <si>
    <t xml:space="preserve">=(( CONCTHK22_TOTVOL_CLOSE_Q) </t>
  </si>
  <si>
    <t>= (CONCTHK22_TOTVOL_OPEN_Q )</t>
  </si>
  <si>
    <t>CONCTHK22_W: (( CONCTHK22_CLOSE_Q * CONCTHK22_CLOSE_WF + CONCTHK22_PP53_Q * CONCTHK22_PP53_WF + CONCTHK22_PP54_Q * CONCTHK22_PP54_WF + CONCTHK2_OVERFLOW_Q) = (CONCTHK22_OPEN_Q * CONCTHK22_OPEN_WF + DI101_CONCTHK22_Q * DI101_CONCTHK22_WF ));</t>
  </si>
  <si>
    <t xml:space="preserve">=(( CONCTHK22_CLOSE_Q * CONCTHK22_CLOSE_WF + CONCTHK22_PP53_Q * CONCTHK22_PP53_WF + CONCTHK22_PP54_Q * CONCTHK22_PP54_WF + CONCTHK2_OVERFLOW_Q) </t>
  </si>
  <si>
    <t>= (CONCTHK22_OPEN_Q * CONCTHK22_OPEN_WF + DI101_CONCTHK22_Q * DI101_CONCTHK22_WF )</t>
  </si>
  <si>
    <t>CONCTHK_H2OREC_W: (( CONCTHK_OVERFLOW_Q) = (CONCTHK1_OVERFLOW_Q + CONCTHK2_OVERFLOW_Q ));</t>
  </si>
  <si>
    <t xml:space="preserve">=(( CONCTHK_OVERFLOW_Q) </t>
  </si>
  <si>
    <t>= (CONCTHK1_OVERFLOW_Q + CONCTHK2_OVERFLOW_Q )</t>
  </si>
  <si>
    <t>DI101E_C: (( DI101_CONCTHK21_Q * DI101_CONCTHK21_CF + DI101_CONCTHK22_Q * DI101_CONCTHK22_CF) = (DI101_TOTAL_Q * DI101_TOTAL_CF ));</t>
  </si>
  <si>
    <t xml:space="preserve">=(( DI101_CONCTHK21_Q * DI101_CONCTHK21_CF + DI101_CONCTHK22_Q * DI101_CONCTHK22_CF) </t>
  </si>
  <si>
    <t>= (DI101_TOTAL_Q * DI101_TOTAL_CF )</t>
  </si>
  <si>
    <t>DI101E_M: (( DI101_CONCTHK22_Q + DI101_CONCTHK21_Q) = (DI101_TOTAL_Q ));</t>
  </si>
  <si>
    <t xml:space="preserve">=(( DI101_CONCTHK22_Q + DI101_CONCTHK21_Q) </t>
  </si>
  <si>
    <t>= (DI101_TOTAL_Q )</t>
  </si>
  <si>
    <t>DI101E_W: (( DI101_CONCTHK21_Q * DI101_CONCTHK21_WF + DI101_CONCTHK22_Q * DI101_CONCTHK22_WF) = (DI101_TOTAL_Q * DI101_TOTAL_WF ));</t>
  </si>
  <si>
    <t xml:space="preserve">=(( DI101_CONCTHK21_Q * DI101_CONCTHK21_WF + DI101_CONCTHK22_Q * DI101_CONCTHK22_WF) </t>
  </si>
  <si>
    <t>= (DI101_TOTAL_Q * DI101_TOTAL_WF )</t>
  </si>
  <si>
    <t>DI101_C: (( DI101_TOTAL_Q * DI101_TOTAL_CF) = (FINALCONC_Q * FINALCONC_CF + PP54_DI101_Q * PP54_DI101_CF + PP51_DI101_Q * PP51_DI101_CF + PP53_DI101_Q * PP53_DI101_CF + PP52_DI101_Q * PP52_DI101_CF ));</t>
  </si>
  <si>
    <t xml:space="preserve">=(( DI101_TOTAL_Q * DI101_TOTAL_CF) </t>
  </si>
  <si>
    <t>= (FINALCONC_Q * FINALCONC_CF + PP54_DI101_Q * PP54_DI101_CF + PP51_DI101_Q * PP51_DI101_CF + PP53_DI101_Q * PP53_DI101_CF + PP52_DI101_Q * PP52_DI101_CF )</t>
  </si>
  <si>
    <t>DI101_M: (( DI101_TOTAL_Q) = (FINALCONC_Q + PP51_DI101_Q + PP52_DI101_Q + PP53_DI101_Q + PP54_DI101_Q ));</t>
  </si>
  <si>
    <t xml:space="preserve">=(( DI101_TOTAL_Q) </t>
  </si>
  <si>
    <t>= (FINALCONC_Q + PP51_DI101_Q + PP52_DI101_Q + PP53_DI101_Q + PP54_DI101_Q )</t>
  </si>
  <si>
    <t>DI101_W: (( DI101_TOTAL_Q * DI101_TOTAL_WF) = (FINALCONC_Q * FINALCONC_WF + PP52_DI101_Q * PP52_DI101_WF + PP54_DI101_Q * PP54_DI101_WF + PP53_DI101_Q * PP53_DI101_WF + PP51_DI101_Q * PP51_DI101_WF ));</t>
  </si>
  <si>
    <t xml:space="preserve">=(( DI101_TOTAL_Q * DI101_TOTAL_WF) </t>
  </si>
  <si>
    <t>= (FINALCONC_Q * FINALCONC_WF + PP52_DI101_Q * PP52_DI101_WF + PP54_DI101_Q * PP54_DI101_WF + PP53_DI101_Q * PP53_DI101_WF + PP51_DI101_Q * PP51_DI101_WF )</t>
  </si>
  <si>
    <t>DI104T_C: (( CONCTHK_TK23_Q * CONCTHK_TK23_CF + CONCTHK_TK24_Q * CONCTHK_TK24_CF + CONCTHK_TK25_Q * CONCTHK_TK25_CF + CONCTHK_TK26_Q * CONCTHK_TK26_CF) = (CONCTHK_TKC_Q * CONCTHK_TKC_CF ));</t>
  </si>
  <si>
    <t xml:space="preserve">=(( CONCTHK_TK23_Q * CONCTHK_TK23_CF + CONCTHK_TK24_Q * CONCTHK_TK24_CF + CONCTHK_TK25_Q * CONCTHK_TK25_CF + CONCTHK_TK26_Q * CONCTHK_TK26_CF) </t>
  </si>
  <si>
    <t>= (CONCTHK_TKC_Q * CONCTHK_TKC_CF )</t>
  </si>
  <si>
    <t>DI104T_M: (( CONCTHK_TK24_Q + CONCTHK_TK25_Q + CONCTHK_TK26_Q + CONCTHK_TK23_Q) = (CONCTHK_TKC_Q ));</t>
  </si>
  <si>
    <t xml:space="preserve">=(( CONCTHK_TK24_Q + CONCTHK_TK25_Q + CONCTHK_TK26_Q + CONCTHK_TK23_Q) </t>
  </si>
  <si>
    <t>= (CONCTHK_TKC_Q )</t>
  </si>
  <si>
    <t>DI104T_W: (( CONCTHK_TK23_Q * CONCTHK_TK23_WF + CONCTHK_TK24_Q * CONCTHK_TK24_WF + CONCTHK_TK26_Q * CONCTHK_TK26_WF + CONCTHK_TK25_Q * CONCTHK_TK25_WF) = (CONCTHK_TKC_Q * CONCTHK_TKC_WF ));</t>
  </si>
  <si>
    <t xml:space="preserve">=(( CONCTHK_TK23_Q * CONCTHK_TK23_WF + CONCTHK_TK24_Q * CONCTHK_TK24_WF + CONCTHK_TK26_Q * CONCTHK_TK26_WF + CONCTHK_TK25_Q * CONCTHK_TK25_WF) </t>
  </si>
  <si>
    <t>= (CONCTHK_TKC_Q * CONCTHK_TKC_WF )</t>
  </si>
  <si>
    <t>DI104_C: (( CONCTHK_TKC_Q * CONCTHK_TKC_CF) = (PP53_DI104_Q * PP53_DI104_CF + PP51_DI104_Q * PP51_DI104_CF + PP52_DI104_Q * PP52_DI104_CF + PP54_DI104_Q * PP54_DI104_CF ));</t>
  </si>
  <si>
    <t xml:space="preserve">=(( CONCTHK_TKC_Q * CONCTHK_TKC_CF) </t>
  </si>
  <si>
    <t>= (PP53_DI104_Q * PP53_DI104_CF + PP51_DI104_Q * PP51_DI104_CF + PP52_DI104_Q * PP52_DI104_CF + PP54_DI104_Q * PP54_DI104_CF )</t>
  </si>
  <si>
    <t>DI104_M: (( CONCTHK_TKC_Q) = (PP52_DI104_Q + PP53_DI104_Q + PP51_DI104_Q + PP54_DI104_Q ));</t>
  </si>
  <si>
    <t xml:space="preserve">=(( CONCTHK_TKC_Q) </t>
  </si>
  <si>
    <t>= (PP52_DI104_Q + PP53_DI104_Q + PP51_DI104_Q + PP54_DI104_Q )</t>
  </si>
  <si>
    <t>DI104_W: (( CONCTHK_TKC_Q * CONCTHK_TKC_WF) = (PP51_DI104_Q * PP51_DI104_WF + PP53_DI104_Q * PP53_DI104_WF + PP54_DI104_Q * PP54_DI104_WF + PP52_DI104_Q * PP52_DI104_WF ));</t>
  </si>
  <si>
    <t xml:space="preserve">=(( CONCTHK_TKC_Q * CONCTHK_TKC_WF) </t>
  </si>
  <si>
    <t>= (PP51_DI104_Q * PP51_DI104_WF + PP53_DI104_Q * PP53_DI104_WF + PP54_DI104_Q * PP54_DI104_WF + PP52_DI104_Q * PP52_DI104_WF )</t>
  </si>
  <si>
    <t>DI105_C: (( TKC_PIPE_Q * TKC_PIPE_CF) = (TK24_DI105_Q * TK24_DI105_CF + TK25_DI105_Q * TK25_DI105_CF + TK23_DI105_Q * TK23_DI105_CF + TK26_DI105_Q * TK26_DI105_CF ));</t>
  </si>
  <si>
    <t xml:space="preserve">=(( TKC_PIPE_Q * TKC_PIPE_CF) </t>
  </si>
  <si>
    <t>= (TK24_DI105_Q * TK24_DI105_CF + TK25_DI105_Q * TK25_DI105_CF + TK23_DI105_Q * TK23_DI105_CF + TK26_DI105_Q * TK26_DI105_CF )</t>
  </si>
  <si>
    <t>DI105_M: (( TKC_PIPE_Q) = (TK24_DI105_Q + TK25_DI105_Q + TK26_DI105_Q + TK23_DI105_Q ));</t>
  </si>
  <si>
    <t xml:space="preserve">=(( TKC_PIPE_Q) </t>
  </si>
  <si>
    <t>= (TK24_DI105_Q + TK25_DI105_Q + TK26_DI105_Q + TK23_DI105_Q )</t>
  </si>
  <si>
    <t>DI105_W: (( TKC_PIPE_Q * TKC_PIPE_WF) = (TK23_DI105_Q * TK23_DI105_WF + TK26_DI105_Q * TK26_DI105_WF + TK24_DI105_Q * TK24_DI105_WF + TK25_DI105_Q * TK25_DI105_WF ));</t>
  </si>
  <si>
    <t xml:space="preserve">=(( TKC_PIPE_Q * TKC_PIPE_WF) </t>
  </si>
  <si>
    <t>= (TK23_DI105_Q * TK23_DI105_WF + TK26_DI105_Q * TK26_DI105_WF + TK24_DI105_Q * TK24_DI105_WF + TK25_DI105_Q * TK25_DI105_WF )</t>
  </si>
  <si>
    <t>DI150_C: (( DI150_TAILTHK6_Q * DI150_TAILTHK6_CF + DI150_TAILTHK7_Q * DI150_TAILTHK7_CF + DI150_TAILTHK8_Q * DI150_TAILTHK8_CF) = (TAILS_Q * TAILS_CF ));</t>
  </si>
  <si>
    <t xml:space="preserve">=(( DI150_TAILTHK6_Q * DI150_TAILTHK6_CF + DI150_TAILTHK7_Q * DI150_TAILTHK7_CF + DI150_TAILTHK8_Q * DI150_TAILTHK8_CF) </t>
  </si>
  <si>
    <t>= (TAILS_Q * TAILS_CF )</t>
  </si>
  <si>
    <t>DI150_M: (( DI150_TAILTHK6_Q + DI150_TAILTHK7_Q + DI150_TAILTHK8_Q) = (TAILS_Q ));</t>
  </si>
  <si>
    <t xml:space="preserve">=(( DI150_TAILTHK6_Q + DI150_TAILTHK7_Q + DI150_TAILTHK8_Q) </t>
  </si>
  <si>
    <t>= (TAILS_Q )</t>
  </si>
  <si>
    <t>DI150_W: (( DI150_TAILTHK6_Q * DI150_TAILTHK6_WF + DI150_TAILTHK8_Q * DI150_TAILTHK8_WF + DI150_TAILTHK7_Q * DI150_TAILTHK7_WF) = (TAILS_Q * TAILS_WF ));</t>
  </si>
  <si>
    <t xml:space="preserve">=(( DI150_TAILTHK6_Q * DI150_TAILTHK6_WF + DI150_TAILTHK8_Q * DI150_TAILTHK8_WF + DI150_TAILTHK7_Q * DI150_TAILTHK7_WF) </t>
  </si>
  <si>
    <t>= (TAILS_Q * TAILS_WF )</t>
  </si>
  <si>
    <t>FLOT_C: (( FINALCONC_Q * FINALCONC_CF + TAILS_Q * TAILS_CF) = (ROUFEED_Q * ROUFEED_CF ));</t>
  </si>
  <si>
    <t xml:space="preserve">=(( FINALCONC_Q * FINALCONC_CF + TAILS_Q * TAILS_CF) </t>
  </si>
  <si>
    <t>= (ROUFEED_Q * ROUFEED_CF )</t>
  </si>
  <si>
    <t>FLOT_M: (( FINALCONC_Q + TAILS_Q) = (ROUFEED_Q ));</t>
  </si>
  <si>
    <t xml:space="preserve">=(( FINALCONC_Q + TAILS_Q) </t>
  </si>
  <si>
    <t>= (ROUFEED_Q )</t>
  </si>
  <si>
    <t>FLOT_W: (( FINALCONC_Q * FINALCONC_WF + TAILS_Q * TAILS_WF) = (H2OSEAL_REM_1_Q + H2OSEAL_REM_2_Q + POOL_REM_1_Q + ROUFEED_Q * ROUFEED_WF + H2OSEAL_DI30_Q + POOL_2CLN_Q + POOL_REM_2_Q + POOL_TK91_Q + POOL_DI30_Q + POOL_2CLNCONC_Q + H2OSEAL_1CLN_Q + POOL_TK42_Q ));</t>
  </si>
  <si>
    <t xml:space="preserve">=(( FINALCONC_Q * FINALCONC_WF + TAILS_Q * TAILS_WF) </t>
  </si>
  <si>
    <t>= (H2OSEAL_REM_1_Q + H2OSEAL_REM_2_Q + POOL_REM_1_Q + ROUFEED_Q * ROUFEED_WF + H2OSEAL_DI30_Q + POOL_2CLN_Q + POOL_REM_2_Q + POOL_TK91_Q + POOL_DI30_Q + POOL_2CLNCONC_Q + H2OSEAL_1CLN_Q + POOL_TK42_Q )</t>
  </si>
  <si>
    <t>H2OFRESH_W: (( H2OFRESH_TK83_Q) = (BOREWATER_Q + RIVERWATER_Q ));</t>
  </si>
  <si>
    <t xml:space="preserve">=(( H2OFRESH_TK83_Q) </t>
  </si>
  <si>
    <t>= (BOREWATER_Q + RIVERWATER_Q )</t>
  </si>
  <si>
    <t>MILL_C: (( MILL_MIXER_Q * MILL_MIXER_CF) = (FEED_Q * FEED_CF ));</t>
  </si>
  <si>
    <t xml:space="preserve">=(( MILL_MIXER_Q * MILL_MIXER_CF) </t>
  </si>
  <si>
    <t>= (FEED_Q * FEED_CF )</t>
  </si>
  <si>
    <t>MILL_M: (( MILL_MIXER_Q) = (FEED_Q ));</t>
  </si>
  <si>
    <t xml:space="preserve">=(( MILL_MIXER_Q) </t>
  </si>
  <si>
    <t>= (FEED_Q )</t>
  </si>
  <si>
    <t>MILL_W: (( MILL_MIXER_Q * MILL_MIXER_WF) = (FEED_Q * FEED_WF + POOL_BC2SUMP_Q + POOL_BC3SUMP_Q + POOL_MB1_Q + POOL_SAG_Q + TK83_MB1_Q + POOL_BC1SUMP_Q + TK83_D25_Q + TK83_MB3_Q + POOL_MB2_Q + TK83_MB2_Q + TK83_D20_Q + POOL_MB3_Q + POOL_M1_Q ));</t>
  </si>
  <si>
    <t xml:space="preserve">=(( MILL_MIXER_Q * MILL_MIXER_WF) </t>
  </si>
  <si>
    <t>= (FEED_Q * FEED_WF + POOL_BC2SUMP_Q + POOL_BC3SUMP_Q + POOL_MB1_Q + POOL_SAG_Q + TK83_MB1_Q + POOL_BC1SUMP_Q + TK83_D25_Q + TK83_MB3_Q + POOL_MB2_Q + TK83_MB2_Q + TK83_D20_Q + POOL_MB3_Q + POOL_M1_Q )</t>
  </si>
  <si>
    <t>MIXER_C: (( ROUFEED_Q * ROUFEED_CF) = (MILL_MIXER_Q * MILL_MIXER_CF ));</t>
  </si>
  <si>
    <t xml:space="preserve">=(( ROUFEED_Q * ROUFEED_CF) </t>
  </si>
  <si>
    <t>= (MILL_MIXER_Q * MILL_MIXER_CF )</t>
  </si>
  <si>
    <t>MIXER_M: (( ROUFEED_Q) = (MILL_MIXER_Q ));</t>
  </si>
  <si>
    <t xml:space="preserve">=(( ROUFEED_Q) </t>
  </si>
  <si>
    <t>= (MILL_MIXER_Q )</t>
  </si>
  <si>
    <t>MIXER_W: (( ROUFEED_Q * ROUFEED_WF) = (POOL_MIXER_Q + MILL_MIXER_Q * MILL_MIXER_WF ));</t>
  </si>
  <si>
    <t xml:space="preserve">=(( ROUFEED_Q * ROUFEED_WF) </t>
  </si>
  <si>
    <t>= (POOL_MIXER_Q + MILL_MIXER_Q * MILL_MIXER_WF )</t>
  </si>
  <si>
    <t>PIPELINE_C: (( PIPELINE_CLOSE_Q * PIPELINE_CLOSE_CF + PIPE_TKCLC_Q * PIPE_TKCLC_CF) = (PIPELINE_OPEN_Q * PIPELINE_OPEN_CF + TKC_PIPE_Q * TKC_PIPE_CF ));</t>
  </si>
  <si>
    <t xml:space="preserve">=(( PIPELINE_CLOSE_Q * PIPELINE_CLOSE_CF + PIPE_TKCLC_Q * PIPE_TKCLC_CF) </t>
  </si>
  <si>
    <t>= (PIPELINE_OPEN_Q * PIPELINE_OPEN_CF + TKC_PIPE_Q * TKC_PIPE_CF )</t>
  </si>
  <si>
    <t>PIPELINE_M: (( PIPELINE_CLOSE_Q + PIPE_TKCLC_Q) = (PIPELINE_OPEN_Q + TKC_PIPE_Q ));</t>
  </si>
  <si>
    <t xml:space="preserve">=(( PIPELINE_CLOSE_Q + PIPE_TKCLC_Q) </t>
  </si>
  <si>
    <t>= (PIPELINE_OPEN_Q + TKC_PIPE_Q )</t>
  </si>
  <si>
    <t>PIPELINE_W: (( PIPELINE_CLOSE_Q * PIPELINE_CLOSE_WF + PIPE_TKCLC_Q * PIPE_TKCLC_WF) = (PIPELINE_OPEN_Q * PIPELINE_OPEN_WF + TKC_PIPE_Q * TKC_PIPE_WF ));</t>
  </si>
  <si>
    <t xml:space="preserve">=(( PIPELINE_CLOSE_Q * PIPELINE_CLOSE_WF + PIPE_TKCLC_Q * PIPE_TKCLC_WF) </t>
  </si>
  <si>
    <t>= (PIPELINE_OPEN_Q * PIPELINE_OPEN_WF + TKC_PIPE_Q * TKC_PIPE_WF )</t>
  </si>
  <si>
    <t>PLANT_RO_W: (( RO_POND_Q + RO_TANK_Q) = (PLANTA_RO_FEED_Q ));</t>
  </si>
  <si>
    <t xml:space="preserve">=(( RO_POND_Q + RO_TANK_Q) </t>
  </si>
  <si>
    <t>= (PLANTA_RO_FEED_Q )</t>
  </si>
  <si>
    <t>POOL_H2OPROC_W: (( POOL_2CLN_Q + POOL_BC2SUMP_Q + POOL_BC3SUMP_Q + POOL_REM_1_Q + POOL_SAG_Q + POOL_2CLNCONC_Q + POOL_DI30_Q + POOL_MB2_Q + POOL_MIXER_Q + POOL_TK42_Q + POOL_MB3_Q + POOL_MB1_Q + POOL_BC1SUMP_Q + POOL_TK91_Q + POOL_REM_2_Q + POOL_M1_Q) = (H2OPROCESSTOTAL_Q ));</t>
  </si>
  <si>
    <t xml:space="preserve">=(( POOL_2CLN_Q + POOL_BC2SUMP_Q + POOL_BC3SUMP_Q + POOL_REM_1_Q + POOL_SAG_Q + POOL_2CLNCONC_Q + POOL_DI30_Q + POOL_MB2_Q + POOL_MIXER_Q + POOL_TK42_Q + POOL_MB3_Q + POOL_MB1_Q + POOL_BC1SUMP_Q + POOL_TK91_Q + POOL_REM_2_Q + POOL_M1_Q) </t>
  </si>
  <si>
    <t>= (H2OPROCESSTOTAL_Q )</t>
  </si>
  <si>
    <t>PP51_C: (( PP51_DI101_Q * PP51_DI101_CF + PP51_DI104_Q * PP51_DI104_CF) = (CONCTHK21_PP51_Q * CONCTHK21_PP51_CF ));</t>
  </si>
  <si>
    <t xml:space="preserve">=(( PP51_DI101_Q * PP51_DI101_CF + PP51_DI104_Q * PP51_DI104_CF) </t>
  </si>
  <si>
    <t>= (CONCTHK21_PP51_Q * CONCTHK21_PP51_CF )</t>
  </si>
  <si>
    <t>PP51_M: (( PP51_DI101_Q + PP51_DI104_Q) = (CONCTHK21_PP51_Q ));</t>
  </si>
  <si>
    <t xml:space="preserve">=(( PP51_DI101_Q + PP51_DI104_Q) </t>
  </si>
  <si>
    <t>= (CONCTHK21_PP51_Q )</t>
  </si>
  <si>
    <t>PP51_W: (( PP51_DI104_Q * PP51_DI104_WF + PP51_DI101_Q * PP51_DI101_WF) = (CONCTHK21_PP51_Q * CONCTHK21_PP51_WF ));</t>
  </si>
  <si>
    <t xml:space="preserve">=(( PP51_DI104_Q * PP51_DI104_WF + PP51_DI101_Q * PP51_DI101_WF) </t>
  </si>
  <si>
    <t>= (CONCTHK21_PP51_Q * CONCTHK21_PP51_WF )</t>
  </si>
  <si>
    <t>PP52_C: (( PP52_DI101_Q * PP52_DI101_CF + PP52_DI104_Q * PP52_DI104_CF) = (CONCTHK21_PP52_Q * CONCTHK21_PP52_CF ));</t>
  </si>
  <si>
    <t xml:space="preserve">=(( PP52_DI101_Q * PP52_DI101_CF + PP52_DI104_Q * PP52_DI104_CF) </t>
  </si>
  <si>
    <t>= (CONCTHK21_PP52_Q * CONCTHK21_PP52_CF )</t>
  </si>
  <si>
    <t>PP52_M: (( PP52_DI101_Q + PP52_DI104_Q) = (CONCTHK21_PP52_Q ));</t>
  </si>
  <si>
    <t xml:space="preserve">=(( PP52_DI101_Q + PP52_DI104_Q) </t>
  </si>
  <si>
    <t>= (CONCTHK21_PP52_Q )</t>
  </si>
  <si>
    <t>PP52_W: (( PP52_DI101_Q * PP52_DI101_WF + PP52_DI104_Q * PP52_DI104_WF) = (CONCTHK21_PP52_Q * CONCTHK21_PP52_WF ));</t>
  </si>
  <si>
    <t xml:space="preserve">=(( PP52_DI101_Q * PP52_DI101_WF + PP52_DI104_Q * PP52_DI104_WF) </t>
  </si>
  <si>
    <t>= (CONCTHK21_PP52_Q * CONCTHK21_PP52_WF )</t>
  </si>
  <si>
    <t>PP53_C: (( PP53_DI101_Q * PP53_DI101_CF + PP53_DI104_Q * PP53_DI104_CF) = (CONCTHK22_PP53_Q * CONCTHK22_PP53_CF ));</t>
  </si>
  <si>
    <t xml:space="preserve">=(( PP53_DI101_Q * PP53_DI101_CF + PP53_DI104_Q * PP53_DI104_CF) </t>
  </si>
  <si>
    <t>= (CONCTHK22_PP53_Q * CONCTHK22_PP53_CF )</t>
  </si>
  <si>
    <t>PP53_M: (( PP53_DI101_Q + PP53_DI104_Q) = (CONCTHK22_PP53_Q ));</t>
  </si>
  <si>
    <t xml:space="preserve">=(( PP53_DI101_Q + PP53_DI104_Q) </t>
  </si>
  <si>
    <t>= (CONCTHK22_PP53_Q )</t>
  </si>
  <si>
    <t>PP53_W: (( PP53_DI104_Q * PP53_DI104_WF + PP53_DI101_Q * PP53_DI101_WF) = (CONCTHK22_PP53_Q * CONCTHK22_PP53_WF ));</t>
  </si>
  <si>
    <t xml:space="preserve">=(( PP53_DI104_Q * PP53_DI104_WF + PP53_DI101_Q * PP53_DI101_WF) </t>
  </si>
  <si>
    <t>= (CONCTHK22_PP53_Q * CONCTHK22_PP53_WF )</t>
  </si>
  <si>
    <t>PP54_C: (( PP54_DI101_Q * PP54_DI101_CF + PP54_DI104_Q * PP54_DI104_CF) = (CONCTHK22_PP54_Q * CONCTHK22_PP54_CF ));</t>
  </si>
  <si>
    <t xml:space="preserve">=(( PP54_DI101_Q * PP54_DI101_CF + PP54_DI104_Q * PP54_DI104_CF) </t>
  </si>
  <si>
    <t>= (CONCTHK22_PP54_Q * CONCTHK22_PP54_CF )</t>
  </si>
  <si>
    <t>PP54_M: (( PP54_DI101_Q + PP54_DI104_Q) = (CONCTHK22_PP54_Q ));</t>
  </si>
  <si>
    <t xml:space="preserve">=(( PP54_DI101_Q + PP54_DI104_Q) </t>
  </si>
  <si>
    <t>= (CONCTHK22_PP54_Q )</t>
  </si>
  <si>
    <t>PP54_W: (( PP54_DI101_Q * PP54_DI101_WF + PP54_DI104_Q * PP54_DI104_WF) = (CONCTHK22_PP54_Q * CONCTHK22_PP54_WF ));</t>
  </si>
  <si>
    <t xml:space="preserve">=(( PP54_DI101_Q * PP54_DI101_WF + PP54_DI104_Q * PP54_DI104_WF) </t>
  </si>
  <si>
    <t>= (CONCTHK22_PP54_Q * CONCTHK22_PP54_WF )</t>
  </si>
  <si>
    <t>TAILTHK6_C: (( TAILTHK6_CLOSE_Q * TAILTHK6_CLOSE_CF + TAILTHK6_UNDERFLOW_Q * TAILTHK6_UNDERFLOW_CF) = (TAILTHK6_OPEN_Q * TAILTHK6_OPEN_CF + DI150_TAILTHK6_Q * DI150_TAILTHK6_CF ));</t>
  </si>
  <si>
    <t xml:space="preserve">=(( TAILTHK6_CLOSE_Q * TAILTHK6_CLOSE_CF + TAILTHK6_UNDERFLOW_Q * TAILTHK6_UNDERFLOW_CF) </t>
  </si>
  <si>
    <t>= (TAILTHK6_OPEN_Q * TAILTHK6_OPEN_CF + DI150_TAILTHK6_Q * DI150_TAILTHK6_CF )</t>
  </si>
  <si>
    <t>TAILTHK6_M: (( TAILTHK6_CLOSE_Q + TAILTHK6_UNDERFLOW_Q) = (TAILTHK6_OPEN_Q + DI150_TAILTHK6_Q ));</t>
  </si>
  <si>
    <t xml:space="preserve">=(( TAILTHK6_CLOSE_Q + TAILTHK6_UNDERFLOW_Q) </t>
  </si>
  <si>
    <t>= (TAILTHK6_OPEN_Q + DI150_TAILTHK6_Q )</t>
  </si>
  <si>
    <t>TAILTHK6_TOTVOL_W: (( TAILTHK6_TOTVOL_CLOSE_Q) = (TAILTHK6_TOTVOL_OPEN_Q ));</t>
  </si>
  <si>
    <t xml:space="preserve">=(( TAILTHK6_TOTVOL_CLOSE_Q) </t>
  </si>
  <si>
    <t>= (TAILTHK6_TOTVOL_OPEN_Q )</t>
  </si>
  <si>
    <t>TAILTHK6_W: (( TAILTHK6_CLOSE_Q * TAILTHK6_CLOSE_WF + TAILTHK6_OVERFLOW_Q + TAILTHK6_UNDERFLOW_Q * TAILTHK6_UNDERFLOW_WF) = (TAILTHK6_OPEN_Q * TAILTHK6_OPEN_WF + DI150_TAILTHK6_Q * DI150_TAILTHK6_WF ));</t>
  </si>
  <si>
    <t xml:space="preserve">=(( TAILTHK6_CLOSE_Q * TAILTHK6_CLOSE_WF + TAILTHK6_OVERFLOW_Q + TAILTHK6_UNDERFLOW_Q * TAILTHK6_UNDERFLOW_WF) </t>
  </si>
  <si>
    <t>= (TAILTHK6_OPEN_Q * TAILTHK6_OPEN_WF + DI150_TAILTHK6_Q * DI150_TAILTHK6_WF )</t>
  </si>
  <si>
    <t>TAILTHK7_C: (( TAILTHK7_CLOSE_Q * TAILTHK7_CLOSE_CF + TAILTHK7_UNDERFLOW_Q * TAILTHK7_UNDERFLOW_CF) = (TAILTHK7_OPEN_Q * TAILTHK7_OPEN_CF + DI150_TAILTHK7_Q * DI150_TAILTHK7_CF ));</t>
  </si>
  <si>
    <t xml:space="preserve">=(( TAILTHK7_CLOSE_Q * TAILTHK7_CLOSE_CF + TAILTHK7_UNDERFLOW_Q * TAILTHK7_UNDERFLOW_CF) </t>
  </si>
  <si>
    <t>= (TAILTHK7_OPEN_Q * TAILTHK7_OPEN_CF + DI150_TAILTHK7_Q * DI150_TAILTHK7_CF )</t>
  </si>
  <si>
    <t>TAILTHK7_M: (( TAILTHK7_CLOSE_Q + TAILTHK7_UNDERFLOW_Q) = (TAILTHK7_OPEN_Q + DI150_TAILTHK7_Q ));</t>
  </si>
  <si>
    <t xml:space="preserve">=(( TAILTHK7_CLOSE_Q + TAILTHK7_UNDERFLOW_Q) </t>
  </si>
  <si>
    <t>= (TAILTHK7_OPEN_Q + DI150_TAILTHK7_Q )</t>
  </si>
  <si>
    <t>TAILTHK7_TOTVOL_W: (( TAILTHK7_TOTVOL_CLOSE_Q) = (TAILTHK7_TOTVOL_OPEN_Q ));</t>
  </si>
  <si>
    <t xml:space="preserve">=(( TAILTHK7_TOTVOL_CLOSE_Q) </t>
  </si>
  <si>
    <t>= (TAILTHK7_TOTVOL_OPEN_Q )</t>
  </si>
  <si>
    <t>TAILTHK7_W: (( TAILTHK7_CLOSE_Q * TAILTHK7_CLOSE_WF + TAILTHK7_OVERFLOW_Q + TAILTHK7_UNDERFLOW_Q * TAILTHK7_UNDERFLOW_WF) = (TAILTHK7_OPEN_Q * TAILTHK7_OPEN_WF + DI150_TAILTHK7_Q * DI150_TAILTHK7_WF ));</t>
  </si>
  <si>
    <t xml:space="preserve">=(( TAILTHK7_CLOSE_Q * TAILTHK7_CLOSE_WF + TAILTHK7_OVERFLOW_Q + TAILTHK7_UNDERFLOW_Q * TAILTHK7_UNDERFLOW_WF) </t>
  </si>
  <si>
    <t>= (TAILTHK7_OPEN_Q * TAILTHK7_OPEN_WF + DI150_TAILTHK7_Q * DI150_TAILTHK7_WF )</t>
  </si>
  <si>
    <t>TAILTHK8_C: (( TAILTHK8_CLOSE_Q * TAILTHK8_CLOSE_CF + TAILTHK8_UNDERFLOW_Q * TAILTHK8_UNDERFLOW_CF) = (TAILTHK8_OPEN_Q * TAILTHK8_OPEN_CF + DI150_TAILTHK8_Q * DI150_TAILTHK8_CF ));</t>
  </si>
  <si>
    <t xml:space="preserve">=(( TAILTHK8_CLOSE_Q * TAILTHK8_CLOSE_CF + TAILTHK8_UNDERFLOW_Q * TAILTHK8_UNDERFLOW_CF) </t>
  </si>
  <si>
    <t>= (TAILTHK8_OPEN_Q * TAILTHK8_OPEN_CF + DI150_TAILTHK8_Q * DI150_TAILTHK8_CF )</t>
  </si>
  <si>
    <t>TAILTHK8_M: (( TAILTHK8_CLOSE_Q + TAILTHK8_UNDERFLOW_Q) = (TAILTHK8_OPEN_Q + DI150_TAILTHK8_Q ));</t>
  </si>
  <si>
    <t xml:space="preserve">=(( TAILTHK8_CLOSE_Q + TAILTHK8_UNDERFLOW_Q) </t>
  </si>
  <si>
    <t>= (TAILTHK8_OPEN_Q + DI150_TAILTHK8_Q )</t>
  </si>
  <si>
    <t>TAILTHK8_TOTVOL_W: (( TAILTHK8_TOTVOL_CLOSE_Q) = (TAILTHK8_TOTVOL_OPEN_Q ));</t>
  </si>
  <si>
    <t xml:space="preserve">=(( TAILTHK8_TOTVOL_CLOSE_Q) </t>
  </si>
  <si>
    <t>= (TAILTHK8_TOTVOL_OPEN_Q )</t>
  </si>
  <si>
    <t>TAILTHK8_W: (( TAILTHK8_CLOSE_Q * TAILTHK8_CLOSE_WF + TAILTHK8_OVERFLOW_Q + TAILTHK8_UNDERFLOW_Q * TAILTHK8_UNDERFLOW_WF) = (TAILTHK8_OPEN_Q * TAILTHK8_OPEN_WF + DI150_TAILTHK8_Q * DI150_TAILTHK8_WF ));</t>
  </si>
  <si>
    <t xml:space="preserve">=(( TAILTHK8_CLOSE_Q * TAILTHK8_CLOSE_WF + TAILTHK8_OVERFLOW_Q + TAILTHK8_UNDERFLOW_Q * TAILTHK8_UNDERFLOW_WF) </t>
  </si>
  <si>
    <t>= (TAILTHK8_OPEN_Q * TAILTHK8_OPEN_WF + DI150_TAILTHK8_Q * DI150_TAILTHK8_WF )</t>
  </si>
  <si>
    <t>TAILTHK_H2OREC_W: (( TAILTHK_OVERFLOW_Q) = (TAILTHK7_OVERFLOW_Q + TAILTHK6_OVERFLOW_Q + TAILTHK8_OVERFLOW_Q ));</t>
  </si>
  <si>
    <t xml:space="preserve">=(( TAILTHK_OVERFLOW_Q) </t>
  </si>
  <si>
    <t>= (TAILTHK7_OVERFLOW_Q + TAILTHK6_OVERFLOW_Q + TAILTHK8_OVERFLOW_Q )</t>
  </si>
  <si>
    <t>TANK_W: (( TANK_CLOSE_Q + H2ODISCHARGE_Q + H2OPROCESSTOTAL_Q) = (TANK_OPEN_Q + H2O_RECOVERED_Q + RO_TANK_Q + TK83_TANK_Q ));</t>
  </si>
  <si>
    <t xml:space="preserve">=(( TANK_CLOSE_Q + H2ODISCHARGE_Q + H2OPROCESSTOTAL_Q) </t>
  </si>
  <si>
    <t>= (TANK_OPEN_Q + H2O_RECOVERED_Q + RO_TANK_Q + TK83_TANK_Q )</t>
  </si>
  <si>
    <t>TK10_W: (( TK10_TK11_Q) = (POND_RECVR_Q ));</t>
  </si>
  <si>
    <t xml:space="preserve">=(( TK10_TK11_Q) </t>
  </si>
  <si>
    <t>= (POND_RECVR_Q )</t>
  </si>
  <si>
    <t>TK11_W: (( H2O_RECOVERED_Q) = (TK10_TK11_Q + CONCTHK_OVERFLOW_Q + TAILTHK_OVERFLOW_Q ));</t>
  </si>
  <si>
    <t xml:space="preserve">=(( H2O_RECOVERED_Q) </t>
  </si>
  <si>
    <t>= (TK10_TK11_Q + CONCTHK_OVERFLOW_Q + TAILTHK_OVERFLOW_Q )</t>
  </si>
  <si>
    <t>TK140_C: (( TK140_TK165_Q * TK140_TK165_CF) = (TAILTHK8_UNDERFLOW_Q * TAILTHK8_UNDERFLOW_CF + TAILTHK7_UNDERFLOW_Q * TAILTHK7_UNDERFLOW_CF ));</t>
  </si>
  <si>
    <t xml:space="preserve">=(( TK140_TK165_Q * TK140_TK165_CF) </t>
  </si>
  <si>
    <t>= (TAILTHK8_UNDERFLOW_Q * TAILTHK8_UNDERFLOW_CF + TAILTHK7_UNDERFLOW_Q * TAILTHK7_UNDERFLOW_CF )</t>
  </si>
  <si>
    <t>TK140_M: (( TK140_TK165_Q) = (TAILTHK7_UNDERFLOW_Q + TAILTHK8_UNDERFLOW_Q ));</t>
  </si>
  <si>
    <t xml:space="preserve">=(( TK140_TK165_Q) </t>
  </si>
  <si>
    <t>= (TAILTHK7_UNDERFLOW_Q + TAILTHK8_UNDERFLOW_Q )</t>
  </si>
  <si>
    <t>TK140_W: (( TK140_TK165_Q * TK140_TK165_WF) = (TAILTHK7_UNDERFLOW_Q * TAILTHK7_UNDERFLOW_WF + TAILTHK8_UNDERFLOW_Q * TAILTHK8_UNDERFLOW_WF ));</t>
  </si>
  <si>
    <t xml:space="preserve">=(( TK140_TK165_Q * TK140_TK165_WF) </t>
  </si>
  <si>
    <t>= (TAILTHK7_UNDERFLOW_Q * TAILTHK7_UNDERFLOW_WF + TAILTHK8_UNDERFLOW_Q * TAILTHK8_UNDERFLOW_WF )</t>
  </si>
  <si>
    <t>TK165_C: (( TAILPOND_Q * TAILPOND_CF) = (TAILTHK6_UNDERFLOW_Q * TAILTHK6_UNDERFLOW_CF + TK140_TK165_Q * TK140_TK165_CF ));</t>
  </si>
  <si>
    <t xml:space="preserve">=(( TAILPOND_Q * TAILPOND_CF) </t>
  </si>
  <si>
    <t>= (TAILTHK6_UNDERFLOW_Q * TAILTHK6_UNDERFLOW_CF + TK140_TK165_Q * TK140_TK165_CF )</t>
  </si>
  <si>
    <t>TK165_M: (( TAILPOND_Q) = (TAILTHK6_UNDERFLOW_Q + TK140_TK165_Q ));</t>
  </si>
  <si>
    <t xml:space="preserve">=(( TAILPOND_Q) </t>
  </si>
  <si>
    <t>= (TAILTHK6_UNDERFLOW_Q + TK140_TK165_Q )</t>
  </si>
  <si>
    <t>TK165_W: (( TAILPOND_Q * TAILPOND_WF) = (TAILTHK6_UNDERFLOW_Q * TAILTHK6_UNDERFLOW_WF + TK140_TK165_Q * TK140_TK165_WF ));</t>
  </si>
  <si>
    <t xml:space="preserve">=(( TAILPOND_Q * TAILPOND_WF) </t>
  </si>
  <si>
    <t>= (TAILTHK6_UNDERFLOW_Q * TAILTHK6_UNDERFLOW_WF + TK140_TK165_Q * TK140_TK165_WF )</t>
  </si>
  <si>
    <t>TK23_C: (( TK23_CLOSE_Q * TK23_CLOSE_CF + TK23_DI105_Q * TK23_DI105_CF) = (TK23_OPEN_Q * TK23_OPEN_CF + CONCTHK_TK23_Q * CONCTHK_TK23_CF ));</t>
  </si>
  <si>
    <t xml:space="preserve">=(( TK23_CLOSE_Q * TK23_CLOSE_CF + TK23_DI105_Q * TK23_DI105_CF) </t>
  </si>
  <si>
    <t>= (TK23_OPEN_Q * TK23_OPEN_CF + CONCTHK_TK23_Q * CONCTHK_TK23_CF )</t>
  </si>
  <si>
    <t>TK23_M: (( TK23_CLOSE_Q + TK23_DI105_Q) = (TK23_OPEN_Q + CONCTHK_TK23_Q ));</t>
  </si>
  <si>
    <t xml:space="preserve">=(( TK23_CLOSE_Q + TK23_DI105_Q) </t>
  </si>
  <si>
    <t>= (TK23_OPEN_Q + CONCTHK_TK23_Q )</t>
  </si>
  <si>
    <t>TK23_W: (( TK23_CLOSE_Q * TK23_CLOSE_WF + TK23_DI105_Q * TK23_DI105_WF) = (TK23_OPEN_Q * TK23_OPEN_WF + CONCTHK_TK23_Q * CONCTHK_TK23_WF ));</t>
  </si>
  <si>
    <t xml:space="preserve">=(( TK23_CLOSE_Q * TK23_CLOSE_WF + TK23_DI105_Q * TK23_DI105_WF) </t>
  </si>
  <si>
    <t>= (TK23_OPEN_Q * TK23_OPEN_WF + CONCTHK_TK23_Q * CONCTHK_TK23_WF )</t>
  </si>
  <si>
    <t>TK24_C: (( TK24_CLOSE_Q * TK24_CLOSE_CF + TK24_DI105_Q * TK24_DI105_CF) = (TK24_OPEN_Q * TK24_OPEN_CF + CONCTHK_TK24_Q * CONCTHK_TK24_CF ));</t>
  </si>
  <si>
    <t xml:space="preserve">=(( TK24_CLOSE_Q * TK24_CLOSE_CF + TK24_DI105_Q * TK24_DI105_CF) </t>
  </si>
  <si>
    <t>= (TK24_OPEN_Q * TK24_OPEN_CF + CONCTHK_TK24_Q * CONCTHK_TK24_CF )</t>
  </si>
  <si>
    <t>TK24_M: (( TK24_CLOSE_Q + TK24_DI105_Q) = (TK24_OPEN_Q + CONCTHK_TK24_Q ));</t>
  </si>
  <si>
    <t xml:space="preserve">=(( TK24_CLOSE_Q + TK24_DI105_Q) </t>
  </si>
  <si>
    <t>= (TK24_OPEN_Q + CONCTHK_TK24_Q )</t>
  </si>
  <si>
    <t>TK24_W: (( TK24_CLOSE_Q * TK24_CLOSE_WF + TK24_DI105_Q * TK24_DI105_WF) = (TK24_OPEN_Q * TK24_OPEN_WF + CONCTHK_TK24_Q * CONCTHK_TK24_WF ));</t>
  </si>
  <si>
    <t xml:space="preserve">=(( TK24_CLOSE_Q * TK24_CLOSE_WF + TK24_DI105_Q * TK24_DI105_WF) </t>
  </si>
  <si>
    <t>= (TK24_OPEN_Q * TK24_OPEN_WF + CONCTHK_TK24_Q * CONCTHK_TK24_WF )</t>
  </si>
  <si>
    <t>TK25_C: (( TK25_CLOSE_Q * TK25_CLOSE_CF + TK25_DI105_Q * TK25_DI105_CF) = (TK25_OPEN_Q * TK25_OPEN_CF + CONCTHK_TK25_Q * CONCTHK_TK25_CF ));</t>
  </si>
  <si>
    <t xml:space="preserve">=(( TK25_CLOSE_Q * TK25_CLOSE_CF + TK25_DI105_Q * TK25_DI105_CF) </t>
  </si>
  <si>
    <t>= (TK25_OPEN_Q * TK25_OPEN_CF + CONCTHK_TK25_Q * CONCTHK_TK25_CF )</t>
  </si>
  <si>
    <t>TK25_M: (( TK25_CLOSE_Q + TK25_DI105_Q) = (TK25_OPEN_Q + CONCTHK_TK25_Q ));</t>
  </si>
  <si>
    <t xml:space="preserve">=(( TK25_CLOSE_Q + TK25_DI105_Q) </t>
  </si>
  <si>
    <t>= (TK25_OPEN_Q + CONCTHK_TK25_Q )</t>
  </si>
  <si>
    <t>TK25_W: (( TK25_CLOSE_Q * TK25_CLOSE_WF + TK25_DI105_Q * TK25_DI105_WF) = (TK25_OPEN_Q * TK25_OPEN_WF + CONCTHK_TK25_Q * CONCTHK_TK25_WF ));</t>
  </si>
  <si>
    <t xml:space="preserve">=(( TK25_CLOSE_Q * TK25_CLOSE_WF + TK25_DI105_Q * TK25_DI105_WF) </t>
  </si>
  <si>
    <t>= (TK25_OPEN_Q * TK25_OPEN_WF + CONCTHK_TK25_Q * CONCTHK_TK25_WF )</t>
  </si>
  <si>
    <t>TK26_C: (( TK26_CLOSE_Q * TK26_CLOSE_CF + TK26_DI105_Q * TK26_DI105_CF) = (TK26_OPEN_Q * TK26_OPEN_CF + CONCTHK_TK26_Q * CONCTHK_TK26_CF ));</t>
  </si>
  <si>
    <t xml:space="preserve">=(( TK26_CLOSE_Q * TK26_CLOSE_CF + TK26_DI105_Q * TK26_DI105_CF) </t>
  </si>
  <si>
    <t>= (TK26_OPEN_Q * TK26_OPEN_CF + CONCTHK_TK26_Q * CONCTHK_TK26_CF )</t>
  </si>
  <si>
    <t>TK26_M: (( TK26_CLOSE_Q + TK26_DI105_Q) = (TK26_OPEN_Q + CONCTHK_TK26_Q ));</t>
  </si>
  <si>
    <t xml:space="preserve">=(( TK26_CLOSE_Q + TK26_DI105_Q) </t>
  </si>
  <si>
    <t>= (TK26_OPEN_Q + CONCTHK_TK26_Q )</t>
  </si>
  <si>
    <t>TK26_W: (( TK26_CLOSE_Q * TK26_CLOSE_WF + TK26_DI105_Q * TK26_DI105_WF) = (TK26_OPEN_Q * TK26_OPEN_WF + CONCTHK_TK26_Q * CONCTHK_TK26_WF ));</t>
  </si>
  <si>
    <t xml:space="preserve">=(( TK26_CLOSE_Q * TK26_CLOSE_WF + TK26_DI105_Q * TK26_DI105_WF) </t>
  </si>
  <si>
    <t>= (TK26_OPEN_Q * TK26_OPEN_WF + CONCTHK_TK26_Q * CONCTHK_TK26_WF )</t>
  </si>
  <si>
    <t>TK83_H2OSEAL_W: (( H2OSEAL_DI30_Q + TK83_D25_Q + TK83_MB2_Q + H2OSEAL_REM_1_Q + TK83_D20_Q + TK83_MB3_Q + TK83_MB1_Q + H2OSEAL_REM_2_Q + H2OSEAL_1CLN_Q) = (H2OSEAL_Q ));</t>
  </si>
  <si>
    <t xml:space="preserve">=(( H2OSEAL_DI30_Q + TK83_D25_Q + TK83_MB2_Q + H2OSEAL_REM_1_Q + TK83_D20_Q + TK83_MB3_Q + TK83_MB1_Q + H2OSEAL_REM_2_Q + H2OSEAL_1CLN_Q) </t>
  </si>
  <si>
    <t>= (H2OSEAL_Q )</t>
  </si>
  <si>
    <t>TK83_W: (( TK83_CLOSE_Q + TK83_CHIL_Q + H2OSEAL_Q + PLANTA_RO_FEED_Q + TK83_TANK_Q) = (TK83_OPEN_Q + H2OFRESH_TK83_Q ));</t>
  </si>
  <si>
    <t xml:space="preserve">=(( TK83_CLOSE_Q + TK83_CHIL_Q + H2OSEAL_Q + PLANTA_RO_FEED_Q + TK83_TANK_Q) </t>
  </si>
  <si>
    <t>= (TK83_OPEN_Q + H2OFRESH_TK83_Q )</t>
  </si>
  <si>
    <t>CONCTHK21_Constant_Volume_866: (( ( CONCTHK21_TOTVOL_CLOSE_Q  )) = (( .239 * CONCTHK21_CLOSE_Q  + CONCTHK21_CLOSE_Q * CONCTHK21_CLOSE_WF ) ));</t>
  </si>
  <si>
    <t xml:space="preserve">=(( ( CONCTHK21_TOTVOL_CLOSE_Q  )) </t>
  </si>
  <si>
    <t>= (( .239 * CONCTHK21_CLOSE_Q  + CONCTHK21_CLOSE_Q * CONCTHK21_CLOSE_WF ) )</t>
  </si>
  <si>
    <t>CONCTHK21_splitter_to_PP51_868: (( ( 500 * CONCTHK21_OPEN_CF + 500 * CONCTHK21_CLOSE_CF )) = (( 1000 * CONCTHK21_PP51_CF ) ));</t>
  </si>
  <si>
    <t xml:space="preserve">=(( ( 500 * CONCTHK21_OPEN_CF + 500 * CONCTHK21_CLOSE_CF )) </t>
  </si>
  <si>
    <t>= (( 1000 * CONCTHK21_PP51_CF ) )</t>
  </si>
  <si>
    <t>CONCTHK21_splitter_to_PP52_869: (( ( 500 * CONCTHK21_CLOSE_CF + 500 * CONCTHK21_OPEN_CF )) = (( 1000 * CONCTHK21_PP52_CF ) ));</t>
  </si>
  <si>
    <t xml:space="preserve">=(( ( 500 * CONCTHK21_CLOSE_CF + 500 * CONCTHK21_OPEN_CF )) </t>
  </si>
  <si>
    <t>= (( 1000 * CONCTHK21_PP52_CF ) )</t>
  </si>
  <si>
    <t>CONCTHK22_Constant_Volume_867: (( ( CONCTHK22_TOTVOL_CLOSE_Q  )) = (( CONCTHK22_CLOSE_Q * CONCTHK22_CLOSE_WF + .239 * CONCTHK22_CLOSE_Q  ) ));</t>
  </si>
  <si>
    <t xml:space="preserve">=(( ( CONCTHK22_TOTVOL_CLOSE_Q  )) </t>
  </si>
  <si>
    <t>= (( CONCTHK22_CLOSE_Q * CONCTHK22_CLOSE_WF + .239 * CONCTHK22_CLOSE_Q  ) )</t>
  </si>
  <si>
    <t>CONCTHK22_splitter_to_PP53_870: (( ( 500 * CONCTHK22_OPEN_CF + 500 * CONCTHK22_CLOSE_CF )) = (( 1000 * CONCTHK22_PP53_CF ) ));</t>
  </si>
  <si>
    <t xml:space="preserve">=(( ( 500 * CONCTHK22_OPEN_CF + 500 * CONCTHK22_CLOSE_CF )) </t>
  </si>
  <si>
    <t>= (( 1000 * CONCTHK22_PP53_CF ) )</t>
  </si>
  <si>
    <t>CONCTHK22_splitter_to_PP54_871: (( ( 500 * CONCTHK22_CLOSE_CF + 500 * CONCTHK22_OPEN_CF )) = (( 1000 * CONCTHK22_PP54_CF ) ));</t>
  </si>
  <si>
    <t xml:space="preserve">=(( ( 500 * CONCTHK22_CLOSE_CF + 500 * CONCTHK22_OPEN_CF )) </t>
  </si>
  <si>
    <t>= (( 1000 * CONCTHK22_PP54_CF ) )</t>
  </si>
  <si>
    <t>DI101_CU_Splitter_to_CONCTHK21_859: (( ( 10000 * DI101_CONCTHK21_CF )) = (( 10000 * DI101_TOTAL_CF ) ));</t>
  </si>
  <si>
    <t xml:space="preserve">=(( ( 10000 * DI101_CONCTHK21_CF )) </t>
  </si>
  <si>
    <t>= (( 10000 * DI101_TOTAL_CF ) )</t>
  </si>
  <si>
    <t>DI101_CU_Splitter_to_CONCTHK22_860: (( ( 10000 * DI101_CONCTHK22_CF )) = (( 10000 * DI101_TOTAL_CF ) ));</t>
  </si>
  <si>
    <t xml:space="preserve">=(( ( 10000 * DI101_CONCTHK22_CF )) </t>
  </si>
  <si>
    <t>DI101_H2O_Splitter_to_CONCTHK21_861: (( ( 10000 * DI101_CONCTHK21_WF )) = (( 10000 * DI101_TOTAL_WF ) ));</t>
  </si>
  <si>
    <t xml:space="preserve">=(( ( 10000 * DI101_CONCTHK21_WF )) </t>
  </si>
  <si>
    <t>= (( 10000 * DI101_TOTAL_WF ) )</t>
  </si>
  <si>
    <t>DI101_H2O_Splitter_to_CONCTHK22_862: (( ( 10000 * DI101_CONCTHK22_WF )) = (( 10000 * DI101_TOTAL_WF ) ));</t>
  </si>
  <si>
    <t xml:space="preserve">=(( ( 10000 * DI101_CONCTHK22_WF )) </t>
  </si>
  <si>
    <t>DI104T_Splitter_to_TK23_888: (( ( 1000 * CONCTHK_TKC_CF )) = (( 1000 * CONCTHK_TK23_CF ) ));</t>
  </si>
  <si>
    <t xml:space="preserve">=(( ( 1000 * CONCTHK_TKC_CF )) </t>
  </si>
  <si>
    <t>= (( 1000 * CONCTHK_TK23_CF ) )</t>
  </si>
  <si>
    <t>DI104T_Splitter_to_TK23_892: (( ( 1000 * CONCTHK_TKC_WF )) = (( 1000 * CONCTHK_TK23_WF ) ));</t>
  </si>
  <si>
    <t xml:space="preserve">=(( ( 1000 * CONCTHK_TKC_WF )) </t>
  </si>
  <si>
    <t>= (( 1000 * CONCTHK_TK23_WF ) )</t>
  </si>
  <si>
    <t>DI104T_Splitter_to_TK24_889: (( ( 1000 * CONCTHK_TKC_CF )) = (( 1000 * CONCTHK_TK24_CF ) ));</t>
  </si>
  <si>
    <t>= (( 1000 * CONCTHK_TK24_CF ) )</t>
  </si>
  <si>
    <t>DI104T_Splitter_to_TK24_893: (( ( 1000 * CONCTHK_TKC_WF )) = (( 1000 * CONCTHK_TK24_WF ) ));</t>
  </si>
  <si>
    <t>= (( 1000 * CONCTHK_TK24_WF ) )</t>
  </si>
  <si>
    <t>DI104T_Splitter_to_TK25_890: (( ( 1000 * CONCTHK_TKC_CF )) = (( 1000 * CONCTHK_TK25_CF ) ));</t>
  </si>
  <si>
    <t>= (( 1000 * CONCTHK_TK25_CF ) )</t>
  </si>
  <si>
    <t>DI104T_Splitter_to_TK25_894: (( ( 1000 * CONCTHK_TKC_WF )) = (( 1000 * CONCTHK_TK25_WF ) ));</t>
  </si>
  <si>
    <t>= (( 1000 * CONCTHK_TK25_WF ) )</t>
  </si>
  <si>
    <t>DI104T_Splitter_to_TK26_891: (( ( 1000 * CONCTHK_TKC_CF )) = (( 1000 * CONCTHK_TK26_CF ) ));</t>
  </si>
  <si>
    <t>= (( 1000 * CONCTHK_TK26_CF ) )</t>
  </si>
  <si>
    <t>DI104T_Splitter_to_TK26_895: (( ( 1000 * CONCTHK_TKC_WF )) = (( 1000 * CONCTHK_TK26_WF ) ));</t>
  </si>
  <si>
    <t>= (( 1000 * CONCTHK_TK26_WF ) )</t>
  </si>
  <si>
    <t>DI150_CU_Splitter_to_TAILTHK6_853: (( ( 10000 * DI150_TAILTHK6_CF )) = (( 10000 * TAILS_CF ) ));</t>
  </si>
  <si>
    <t xml:space="preserve">=(( ( 10000 * DI150_TAILTHK6_CF )) </t>
  </si>
  <si>
    <t>= (( 10000 * TAILS_CF ) )</t>
  </si>
  <si>
    <t>DI150_CU_Splitter_to_TAILTHK7_854: (( ( 10000 * DI150_TAILTHK7_CF )) = (( 10000 * TAILS_CF ) ));</t>
  </si>
  <si>
    <t xml:space="preserve">=(( ( 10000 * DI150_TAILTHK7_CF )) </t>
  </si>
  <si>
    <t>DI150_CU_Splitter_to_TAILTHK8_855: (( ( 10000 * DI150_TAILTHK8_CF )) = (( 10000 * TAILS_CF ) ));</t>
  </si>
  <si>
    <t xml:space="preserve">=(( ( 10000 * DI150_TAILTHK8_CF )) </t>
  </si>
  <si>
    <t>DI150_H2O_Splitter_to_TAILTHK6_856: (( ( 10000 * DI150_TAILTHK6_WF )) = (( 10000 * TAILS_WF ) ));</t>
  </si>
  <si>
    <t xml:space="preserve">=(( ( 10000 * DI150_TAILTHK6_WF )) </t>
  </si>
  <si>
    <t>= (( 10000 * TAILS_WF ) )</t>
  </si>
  <si>
    <t>DI150_H2O_Splitter_to_TAILTHK7_857: (( ( 10000 * DI150_TAILTHK7_WF )) = (( 10000 * TAILS_WF ) ));</t>
  </si>
  <si>
    <t xml:space="preserve">=(( ( 10000 * DI150_TAILTHK7_WF )) </t>
  </si>
  <si>
    <t>DI150_H2O_Splitter_to_TAILTHK8_858: (( ( 10000 * DI150_TAILTHK8_WF )) = (( 10000 * TAILS_WF ) ));</t>
  </si>
  <si>
    <t xml:space="preserve">=(( ( 10000 * DI150_TAILTHK8_WF )) </t>
  </si>
  <si>
    <t>PIPELINE_C_PM: (( ( PIPE_TKCLC_CF )) = (( PIPELINE_CLOSE_CF ) ));</t>
  </si>
  <si>
    <t xml:space="preserve">=(( ( PIPE_TKCLC_CF )) </t>
  </si>
  <si>
    <t>= (( PIPELINE_CLOSE_CF ) )</t>
  </si>
  <si>
    <t>PIPELINE_W_PM: (( ( PIPE_TKCLC_WF )) = (( PIPELINE_CLOSE_WF ) ));</t>
  </si>
  <si>
    <t xml:space="preserve">=(( ( PIPE_TKCLC_WF )) </t>
  </si>
  <si>
    <t>= (( PIPELINE_CLOSE_WF ) )</t>
  </si>
  <si>
    <t>PP51_Grade_in__Grade_out__avoid_unobservable_result__help_convergence__872: (( ( 1000 * CONCTHK21_PP51_CF )) = (( 1000 * PP51_DI104_CF ) ));</t>
  </si>
  <si>
    <t xml:space="preserve">=(( ( 1000 * CONCTHK21_PP51_CF )) </t>
  </si>
  <si>
    <t>= (( 1000 * PP51_DI104_CF ) )</t>
  </si>
  <si>
    <t>PP51_Grade_in__Grade_out__recirculation_pump_no_grade_change__880: (( ( 1000 * CONCTHK21_PP51_CF )) = (( 1000 * PP51_DI101_CF ) ));</t>
  </si>
  <si>
    <t>= (( 1000 * PP51_DI101_CF ) )</t>
  </si>
  <si>
    <t>PP51___Sol_in____Sol_out__avoid_unobservable_result__help_convergence__876: (( ( 1000 * CONCTHK21_PP51_WF )) = (( 1000 * PP51_DI104_WF ) ));</t>
  </si>
  <si>
    <t xml:space="preserve">=(( ( 1000 * CONCTHK21_PP51_WF )) </t>
  </si>
  <si>
    <t>= (( 1000 * PP51_DI104_WF ) )</t>
  </si>
  <si>
    <t>PP51___Sol_in____Sol_out__recirculation_pump_no_grade_change__884: (( ( 1000 * CONCTHK21_PP51_WF )) = (( 1000 * PP51_DI101_WF ) ));</t>
  </si>
  <si>
    <t>= (( 1000 * PP51_DI101_WF ) )</t>
  </si>
  <si>
    <t>PP52_Grade_in__Grade_out__avoid_unobservable_result__help_convergence__873: (( ( 1000 * CONCTHK21_PP52_CF )) = (( 1000 * PP52_DI104_CF ) ));</t>
  </si>
  <si>
    <t xml:space="preserve">=(( ( 1000 * CONCTHK21_PP52_CF )) </t>
  </si>
  <si>
    <t>= (( 1000 * PP52_DI104_CF ) )</t>
  </si>
  <si>
    <t>PP52_Grade_in__Grade_out__recirculation_pump_no_grade_change__881: (( ( 1000 * CONCTHK21_PP52_CF )) = (( 1000 * PP52_DI101_CF ) ));</t>
  </si>
  <si>
    <t>= (( 1000 * PP52_DI101_CF ) )</t>
  </si>
  <si>
    <t>PP52___Sol_in____Sol_out__avoid_unobservable_result__help_convergence__877: (( ( 1000 * CONCTHK21_PP52_WF )) = (( 1000 * PP52_DI104_WF ) ));</t>
  </si>
  <si>
    <t xml:space="preserve">=(( ( 1000 * CONCTHK21_PP52_WF )) </t>
  </si>
  <si>
    <t>= (( 1000 * PP52_DI104_WF ) )</t>
  </si>
  <si>
    <t>PP52___Sol_in____Sol_out__recirculation_pump_no_grade_change__885: (( ( 1000 * CONCTHK21_PP52_WF )) = (( 1000 * PP52_DI101_WF ) ));</t>
  </si>
  <si>
    <t>= (( 1000 * PP52_DI101_WF ) )</t>
  </si>
  <si>
    <t>PP53_Grade_in__Grade_out__avoid_unobservable_result__help_convergence__874: (( ( 1000 * CONCTHK22_PP53_CF )) = (( 1000 * PP53_DI104_CF ) ));</t>
  </si>
  <si>
    <t xml:space="preserve">=(( ( 1000 * CONCTHK22_PP53_CF )) </t>
  </si>
  <si>
    <t>= (( 1000 * PP53_DI104_CF ) )</t>
  </si>
  <si>
    <t>PP53_Grade_in__Grade_out__recirculation_pump_no_grade_change__882: (( ( 1000 * CONCTHK22_PP53_CF )) = (( 1000 * PP53_DI101_CF ) ));</t>
  </si>
  <si>
    <t>= (( 1000 * PP53_DI101_CF ) )</t>
  </si>
  <si>
    <t>PP53___Sol_in____Sol_out__avoid_unobservable_result__help_convergence__878: (( ( 1000 * CONCTHK22_PP53_WF )) = (( 1000 * PP53_DI104_WF ) ));</t>
  </si>
  <si>
    <t xml:space="preserve">=(( ( 1000 * CONCTHK22_PP53_WF )) </t>
  </si>
  <si>
    <t>= (( 1000 * PP53_DI104_WF ) )</t>
  </si>
  <si>
    <t>PP53___Sol_in____Sol_out__recirculation_pump_no_grade_change__886: (( ( 1000 * CONCTHK22_PP53_WF )) = (( 1000 * PP53_DI101_WF ) ));</t>
  </si>
  <si>
    <t>= (( 1000 * PP53_DI101_WF ) )</t>
  </si>
  <si>
    <t>PP54_Grade_in__Grade_out__avoid_unobservable_result__help_convergence__875: (( ( 1000 * CONCTHK22_PP54_CF )) = (( 1000 * PP54_DI104_CF ) ));</t>
  </si>
  <si>
    <t xml:space="preserve">=(( ( 1000 * CONCTHK22_PP54_CF )) </t>
  </si>
  <si>
    <t>= (( 1000 * PP54_DI104_CF ) )</t>
  </si>
  <si>
    <t>PP54_Grade_in__Grade_out__recirculation_pump_no_grade_change__883: (( ( 1000 * CONCTHK22_PP54_CF )) = (( 1000 * PP54_DI101_CF ) ));</t>
  </si>
  <si>
    <t>= (( 1000 * PP54_DI101_CF ) )</t>
  </si>
  <si>
    <t>PP54___Sol_in____Sol_out__avoid_unobservable_result__help_convergence__879: (( ( 1000 * CONCTHK22_PP54_WF )) = (( 1000 * PP54_DI104_WF ) ));</t>
  </si>
  <si>
    <t xml:space="preserve">=(( ( 1000 * CONCTHK22_PP54_WF )) </t>
  </si>
  <si>
    <t>= (( 1000 * PP54_DI104_WF ) )</t>
  </si>
  <si>
    <t>PP54___Sol_in____Sol_out__recirculation_pump_no_grade_change__887: (( ( 1000 * CONCTHK22_PP54_WF )) = (( 1000 * PP54_DI101_WF ) ));</t>
  </si>
  <si>
    <t>= (( 1000 * PP54_DI101_WF ) )</t>
  </si>
  <si>
    <t>TAILTHK6_C_PM: (( ( TAILTHK6_UNDERFLOW_CF )) = (( TAILTHK6_CLOSE_CF ) ));</t>
  </si>
  <si>
    <t xml:space="preserve">=(( ( TAILTHK6_UNDERFLOW_CF )) </t>
  </si>
  <si>
    <t>= (( TAILTHK6_CLOSE_CF ) )</t>
  </si>
  <si>
    <t>TAILTHK6_Constant_Volume_863: (( ( TAILTHK6_TOTVOL_CLOSE_Q  )) = (( TAILTHK6_CLOSE_Q * TAILTHK6_CLOSE_WF + .3645 * TAILTHK6_CLOSE_Q  ) ));</t>
  </si>
  <si>
    <t xml:space="preserve">=(( ( TAILTHK6_TOTVOL_CLOSE_Q  )) </t>
  </si>
  <si>
    <t>= (( TAILTHK6_CLOSE_Q * TAILTHK6_CLOSE_WF + .3645 * TAILTHK6_CLOSE_Q  ) )</t>
  </si>
  <si>
    <t>TAILTHK7_C_PM: (( ( TAILTHK7_UNDERFLOW_CF )) = (( TAILTHK7_CLOSE_CF ) ));</t>
  </si>
  <si>
    <t xml:space="preserve">=(( ( TAILTHK7_UNDERFLOW_CF )) </t>
  </si>
  <si>
    <t>= (( TAILTHK7_CLOSE_CF ) )</t>
  </si>
  <si>
    <t>TAILTHK7_Constant_Volume_864: (( ( TAILTHK7_TOTVOL_CLOSE_Q  )) = (( TAILTHK7_CLOSE_Q * TAILTHK7_CLOSE_WF + .3645 * TAILTHK7_CLOSE_Q  ) ));</t>
  </si>
  <si>
    <t xml:space="preserve">=(( ( TAILTHK7_TOTVOL_CLOSE_Q  )) </t>
  </si>
  <si>
    <t>= (( TAILTHK7_CLOSE_Q * TAILTHK7_CLOSE_WF + .3645 * TAILTHK7_CLOSE_Q  ) )</t>
  </si>
  <si>
    <t>TAILTHK8_C_PM: (( ( TAILTHK8_UNDERFLOW_CF )) = (( TAILTHK8_CLOSE_CF ) ));</t>
  </si>
  <si>
    <t xml:space="preserve">=(( ( TAILTHK8_UNDERFLOW_CF )) </t>
  </si>
  <si>
    <t>= (( TAILTHK8_CLOSE_CF ) )</t>
  </si>
  <si>
    <t>TAILTHK8_Constant_Volume_865: (( ( TAILTHK8_TOTVOL_CLOSE_Q  )) = (( TAILTHK8_CLOSE_Q * TAILTHK8_CLOSE_WF + .3645 * TAILTHK8_CLOSE_Q  ) ));</t>
  </si>
  <si>
    <t xml:space="preserve">=(( ( TAILTHK8_TOTVOL_CLOSE_Q  )) </t>
  </si>
  <si>
    <t>= (( TAILTHK8_CLOSE_Q * TAILTHK8_CLOSE_WF + .3645 * TAILTHK8_CLOSE_Q  ) )</t>
  </si>
  <si>
    <t>TK23_C_PM: (( ( TK23_DI105_CF )) = (( TK23_CLOSE_CF ) ));</t>
  </si>
  <si>
    <t xml:space="preserve">=(( ( TK23_DI105_CF )) </t>
  </si>
  <si>
    <t>= (( TK23_CLOSE_CF ) )</t>
  </si>
  <si>
    <t>TK23_W_PM: (( ( TK23_DI105_WF )) = (( TK23_CLOSE_WF ) ));</t>
  </si>
  <si>
    <t xml:space="preserve">=(( ( TK23_DI105_WF )) </t>
  </si>
  <si>
    <t>= (( TK23_CLOSE_WF ) )</t>
  </si>
  <si>
    <t>TK24_C_PM: (( ( TK24_DI105_CF )) = (( TK24_CLOSE_CF ) ));</t>
  </si>
  <si>
    <t xml:space="preserve">=(( ( TK24_DI105_CF )) </t>
  </si>
  <si>
    <t>= (( TK24_CLOSE_CF ) )</t>
  </si>
  <si>
    <t>TK24_W_PM: (( ( TK24_DI105_WF )) = (( TK24_CLOSE_WF ) ));</t>
  </si>
  <si>
    <t xml:space="preserve">=(( ( TK24_DI105_WF )) </t>
  </si>
  <si>
    <t>= (( TK24_CLOSE_WF ) )</t>
  </si>
  <si>
    <t>TK25_C_PM: (( ( TK25_DI105_CF )) = (( TK25_CLOSE_CF ) ));</t>
  </si>
  <si>
    <t xml:space="preserve">=(( ( TK25_DI105_CF )) </t>
  </si>
  <si>
    <t>= (( TK25_CLOSE_CF ) )</t>
  </si>
  <si>
    <t>TK25_W_PM: (( ( TK25_DI105_WF )) = (( TK25_CLOSE_WF ) ));</t>
  </si>
  <si>
    <t xml:space="preserve">=(( ( TK25_DI105_WF )) </t>
  </si>
  <si>
    <t>= (( TK25_CLOSE_WF ) )</t>
  </si>
  <si>
    <t>TK26_C_PM: (( ( TK26_DI105_CF )) = (( TK26_CLOSE_CF ) ));</t>
  </si>
  <si>
    <t xml:space="preserve">=(( ( TK26_DI105_CF )) </t>
  </si>
  <si>
    <t>= (( TK26_CLOSE_CF ) )</t>
  </si>
  <si>
    <t>TK26_W_PM: (( ( TK26_DI105_WF )) = (( TK26_CLOSE_WF ) ));</t>
  </si>
  <si>
    <t xml:space="preserve">=(( ( TK26_DI105_WF )) </t>
  </si>
  <si>
    <t>= (( TK26_CLOSE_WF ) )</t>
  </si>
  <si>
    <t>/* BOREWATER_Q MEASURED */ BOREWATER_Q: $NORMAL (6745.246, 337.2623);</t>
  </si>
  <si>
    <t>/* CONCTHK21_CLOSE_Q MEASURED */ CONCTHK21_CLOSE_Q: $NORMAL (1176.4, 470.56);</t>
  </si>
  <si>
    <t>/* CONCTHK21_OPEN_CF FIXED */ CONCTHK21_OPEN_CF: $NORMAL (.3918007, 0);</t>
  </si>
  <si>
    <t>/* CONCTHK21_OPEN_Q FIXED */ CONCTHK21_OPEN_Q: $NORMAL (1287.6652647, 0);</t>
  </si>
  <si>
    <t>/* CONCTHK21_OPEN_WF FIXED */ CONCTHK21_OPEN_WF: $NORMAL (3.7107843, 0);</t>
  </si>
  <si>
    <t>/* CONCTHK21_TOTVOL_CLOSE_Q FIXED */ CONCTHK21_TOTVOL_CLOSE_Q: $NORMAL (5086, 0);</t>
  </si>
  <si>
    <t>/* CONCTHK22_CLOSE_Q MEASURED */ CONCTHK22_CLOSE_Q: $NORMAL (3986.593, 1594.6372);</t>
  </si>
  <si>
    <t>/* CONCTHK22_OPEN_CF FIXED */ CONCTHK22_OPEN_CF: $NORMAL (.374522, 0);</t>
  </si>
  <si>
    <t>/* CONCTHK22_OPEN_Q FIXED */ CONCTHK22_OPEN_Q: $NORMAL (4700.4379388, 0);</t>
  </si>
  <si>
    <t>/* CONCTHK22_OPEN_WF FIXED */ CONCTHK22_OPEN_WF: $NORMAL (.8430268, 0);</t>
  </si>
  <si>
    <t>/* CONCTHK22_TOTVOL_CLOSE_Q FIXED */ CONCTHK22_TOTVOL_CLOSE_Q: $NORMAL (5086, 0);</t>
  </si>
  <si>
    <t>/* CONCTHK_TK23_Q MEASURED */ CONCTHK_TK23_Q: $NORMAL (0, 0);</t>
  </si>
  <si>
    <t>/* CONCTHK_TK23_WF MEASURED */ CONCTHK_TK23_WF: $NORMAL (.4938, .04938);</t>
  </si>
  <si>
    <t>/* CONCTHK_TK24_Q MEASURED */ CONCTHK_TK24_Q: $NORMAL (0, 0);</t>
  </si>
  <si>
    <t>/* CONCTHK_TK24_WF MEASURED */ CONCTHK_TK24_WF: $NORMAL (.4938, .04938);</t>
  </si>
  <si>
    <t>/* CONCTHK_TK25_Q MEASURED */ CONCTHK_TK25_Q: $NORMAL (653.3503, 130.67006);</t>
  </si>
  <si>
    <t>/* CONCTHK_TK25_WF MEASURED */ CONCTHK_TK25_WF: $NORMAL (.3889, .03889);</t>
  </si>
  <si>
    <t>/* CONCTHK_TK26_Q MEASURED */ CONCTHK_TK26_Q: $NORMAL (1266.343, 253.2686);</t>
  </si>
  <si>
    <t>/* CONCTHK_TK26_WF MEASURED */ CONCTHK_TK26_WF: $NORMAL (.4588, .04588);</t>
  </si>
  <si>
    <t>/* CONCTHK_TKC_CF MEASURED */ CONCTHK_TKC_CF: $NORMAL (.3828, .03828);</t>
  </si>
  <si>
    <t>/* CONCTHK_TKC_WF MEASURED */ CONCTHK_TKC_WF: $NORMAL (.4295, .04295);</t>
  </si>
  <si>
    <t>/* DI101_CONCTHK21_Q MEASURED */ DI101_CONCTHK21_Q: $NORMAL (115.6259, 69.37554);</t>
  </si>
  <si>
    <t>/* DI101_CONCTHK22_Q MEASURED */ DI101_CONCTHK22_Q: $NORMAL (2360.259, 1416.1554);</t>
  </si>
  <si>
    <t>/* DI150_TAILTHK6_Q MEASURED */ DI150_TAILTHK6_Q: $NORMAL (5571.327, 1114.2654);</t>
  </si>
  <si>
    <t>/* DI150_TAILTHK7_Q MEASURED */ DI150_TAILTHK7_Q: $NORMAL (19640.27, 3928.054);</t>
  </si>
  <si>
    <t>/* DI150_TAILTHK8_Q MEASURED */ DI150_TAILTHK8_Q: $NORMAL (16978.74, 3395.748);</t>
  </si>
  <si>
    <t>/* FEED_CF MEASURED */ FEED_CF: $NORMAL (.0188987, .0037797);</t>
  </si>
  <si>
    <t>/* FEED_Q MEASURED */ FEED_Q: $NORMAL (58642.96, 293.2148);</t>
  </si>
  <si>
    <t>/* FEED_WF MEASURED */ FEED_WF: $NORMAL (.0309, .000309);</t>
  </si>
  <si>
    <t>/* FINALCONC_CF FIXED */ FINALCONC_CF: $NORMAL (.3728893, 0);</t>
  </si>
  <si>
    <t>/* FINALCONC_WF MEASURED */ FINALCONC_WF: $NORMAL (2.5971, .051942);</t>
  </si>
  <si>
    <t>/* H2ODISCHARGE_Q FIXED */ H2ODISCHARGE_Q: $NORMAL (0, 0);</t>
  </si>
  <si>
    <t>/* H2OSEAL_1CLN_Q MEASURED */ H2OSEAL_1CLN_Q: $NORMAL (247.9974, 24.79974);</t>
  </si>
  <si>
    <t>/* H2OSEAL_DI30_Q MEASURED */ H2OSEAL_DI30_Q: $NORMAL (157.6599, 15.76599);</t>
  </si>
  <si>
    <t>/* H2OSEAL_REM_1_Q MEASURED */ H2OSEAL_REM_1_Q: $NORMAL (253.7728, 25.37728);</t>
  </si>
  <si>
    <t>/* H2OSEAL_REM_2_Q MEASURED */ H2OSEAL_REM_2_Q: $NORMAL (463.4107, 46.34107);</t>
  </si>
  <si>
    <t>/* PIPELINE_CLOSE_CF MEASURED */ PIPELINE_CLOSE_CF: $NORMAL (.3964, .01982);</t>
  </si>
  <si>
    <t>/* PIPELINE_CLOSE_Q MEASURED */ PIPELINE_CLOSE_Q: $NORMAL (700, 0);</t>
  </si>
  <si>
    <t>/* PIPELINE_CLOSE_WF MEASURED */ PIPELINE_CLOSE_WF: $NORMAL (.4793, .04793);</t>
  </si>
  <si>
    <t>/* PIPELINE_OPEN_CF FIXED */ PIPELINE_OPEN_CF: $NORMAL (.362976, 0);</t>
  </si>
  <si>
    <t>/* PIPELINE_OPEN_Q FIXED */ PIPELINE_OPEN_Q: $NORMAL (700, 0);</t>
  </si>
  <si>
    <t>/* PIPELINE_OPEN_WF FIXED */ PIPELINE_OPEN_WF: $NORMAL (.4538432, 0);</t>
  </si>
  <si>
    <t>/* PIPE_TKCLC_CF MEASURED */ PIPE_TKCLC_CF: $NORMAL (.3964, .03964);</t>
  </si>
  <si>
    <t>/* PIPE_TKCLC_Q MEASURED */ PIPE_TKCLC_Q: $NORMAL (1761.547, 88.07735);</t>
  </si>
  <si>
    <t>/* PIPE_TKCLC_WF MEASURED */ PIPE_TKCLC_WF: $NORMAL (.5063, .10126);</t>
  </si>
  <si>
    <t>/* PLANTA_RO_FEED_Q MEASURED */ PLANTA_RO_FEED_Q: $NORMAL (0, 0);</t>
  </si>
  <si>
    <t>/* POND_RECVR_Q MEASURED */ POND_RECVR_Q: $NORMAL (26849.41, 2684.941);</t>
  </si>
  <si>
    <t>/* POOL_2CLNCONC_Q MEASURED */ POOL_2CLNCONC_Q: $NORMAL (0, 0);</t>
  </si>
  <si>
    <t>/* POOL_2CLN_Q MEASURED */ POOL_2CLN_Q: $NORMAL (5133.478, 513.3478);</t>
  </si>
  <si>
    <t>/* POOL_BC1SUMP_Q MEASURED */ POOL_BC1SUMP_Q: $NORMAL (0, 0);</t>
  </si>
  <si>
    <t>/* POOL_BC2SUMP_Q MEASURED */ POOL_BC2SUMP_Q: $NORMAL (0, 0);</t>
  </si>
  <si>
    <t>/* POOL_BC3SUMP_Q MEASURED */ POOL_BC3SUMP_Q: $NORMAL (0, 0);</t>
  </si>
  <si>
    <t>/* POOL_DI30_Q MEASURED */ POOL_DI30_Q: $NORMAL (2400, 240);</t>
  </si>
  <si>
    <t>/* POOL_M1_Q MEASURED */ POOL_M1_Q: $NORMAL (18119.22, 1811.922);</t>
  </si>
  <si>
    <t>/* POOL_MB1_Q MEASURED */ POOL_MB1_Q: $NORMAL (14623.82, 1462.382);</t>
  </si>
  <si>
    <t>/* POOL_MB2_Q MEASURED */ POOL_MB2_Q: $NORMAL (28797.78, 2879.778);</t>
  </si>
  <si>
    <t>/* POOL_MB3_Q MEASURED */ POOL_MB3_Q: $NORMAL (29860.14, 2986.014);</t>
  </si>
  <si>
    <t>/* POOL_MIXER_Q MEASURED */ POOL_MIXER_Q: $NORMAL (48000, 4800);</t>
  </si>
  <si>
    <t>/* POOL_REM_1_Q MEASURED */ POOL_REM_1_Q: $NORMAL (600, 60);</t>
  </si>
  <si>
    <t>/* POOL_REM_2_Q MEASURED */ POOL_REM_2_Q: $NORMAL (0, 0);</t>
  </si>
  <si>
    <t>/* POOL_SAG_Q MEASURED */ POOL_SAG_Q: $NORMAL (893.182, 89.3182);</t>
  </si>
  <si>
    <t>/* POOL_TK42_Q MEASURED */ POOL_TK42_Q: $NORMAL (0, 0);</t>
  </si>
  <si>
    <t>/* POOL_TK91_Q MEASURED */ POOL_TK91_Q: $NORMAL (0, 0);</t>
  </si>
  <si>
    <t>/* PP51_DI101_Q MEASURED */ PP51_DI101_Q: $NORMAL (0, 0);</t>
  </si>
  <si>
    <t>/* PP51_DI104_Q MEASURED */ PP51_DI104_Q: $NORMAL (0, 0);</t>
  </si>
  <si>
    <t>/* PP52_DI101_Q MEASURED */ PP52_DI101_Q: $NORMAL (0, 0);</t>
  </si>
  <si>
    <t>/* PP52_DI101_WF FIXED */ PP52_DI101_WF: $NORMAL (.4196, 0);</t>
  </si>
  <si>
    <t>/* PP52_DI104_Q MEASURED */ PP52_DI104_Q: $NORMAL (474.1677, 118.541925);</t>
  </si>
  <si>
    <t>/* PP52_DI104_WF MEASURED */ PP52_DI104_WF: $NORMAL (.4604, .04604);</t>
  </si>
  <si>
    <t>/* PP53_DI101_Q MEASURED */ PP53_DI101_Q: $NORMAL (0, 0);</t>
  </si>
  <si>
    <t>/* PP53_DI101_WF FIXED */ PP53_DI101_WF: $NORMAL (.4396, 0);</t>
  </si>
  <si>
    <t>/* PP53_DI104_Q MEASURED */ PP53_DI104_Q: $NORMAL (1740.969, 435.24225);</t>
  </si>
  <si>
    <t>/* PP53_DI104_WF MEASURED */ PP53_DI104_WF: $NORMAL (.4213, .04213);</t>
  </si>
  <si>
    <t>/* PP54_DI101_Q MEASURED */ PP54_DI101_Q: $NORMAL (0, 0);</t>
  </si>
  <si>
    <t>/* PP54_DI101_WF FIXED */ PP54_DI101_WF: $NORMAL (.5202, 0);</t>
  </si>
  <si>
    <t>/* PP54_DI104_Q MEASURED */ PP54_DI104_Q: $NORMAL (0, 0);</t>
  </si>
  <si>
    <t>/* PP54_DI104_WF FIXED */ PP54_DI104_WF: $NORMAL (.5202, 0);</t>
  </si>
  <si>
    <t>/* RIVERWATER_Q MEASURED */ RIVERWATER_Q: $NORMAL (15705.18, 785.259);</t>
  </si>
  <si>
    <t>/* ROUFEED_CF FIXED */ ROUFEED_CF: $NORMAL (.0188987, 0);</t>
  </si>
  <si>
    <t>/* ROUFEED_WF MEASURED */ ROUFEED_WF: $NORMAL (2.6496, .052992);</t>
  </si>
  <si>
    <t>/* RO_TANK_Q MEASURED */ RO_TANK_Q: $NORMAL (0, 0);</t>
  </si>
  <si>
    <t>/* TAILS_CF FIXED */ TAILS_CF: $NORMAL (.0030995, 0);</t>
  </si>
  <si>
    <t>/* TAILS_WF MEASURED */ TAILS_WF: $NORMAL (2.876, .05752);</t>
  </si>
  <si>
    <t>/* TAILTHK6_CLOSE_Q MEASURED */ TAILTHK6_CLOSE_Q: $NORMAL (22158.27, 4431.654);</t>
  </si>
  <si>
    <t>/* TAILTHK6_OPEN_CF FIXED */ TAILTHK6_OPEN_CF: $NORMAL (.0024787, 0);</t>
  </si>
  <si>
    <t>/* TAILTHK6_OPEN_Q FIXED */ TAILTHK6_OPEN_Q: $NORMAL (15162.2409989, 0);</t>
  </si>
  <si>
    <t>/* TAILTHK6_OPEN_WF FIXED */ TAILTHK6_OPEN_WF: $NORMAL (5.5245561, 0);</t>
  </si>
  <si>
    <t>/* TAILTHK6_TOTVOL_CLOSE_Q FIXED */ TAILTHK6_TOTVOL_CLOSE_Q: $NORMAL (89291.28767, 0);</t>
  </si>
  <si>
    <t>/* TAILTHK6_UNDERFLOW_Q MEASURED */ TAILTHK6_UNDERFLOW_Q: $NORMAL (10893.01, 2178.602);</t>
  </si>
  <si>
    <t>/* TAILTHK6_UNDERFLOW_WF MEASURED */ TAILTHK6_UNDERFLOW_WF: $NORMAL (.8801, .17602);</t>
  </si>
  <si>
    <t>/* TAILTHK7_CLOSE_Q MEASURED */ TAILTHK7_CLOSE_Q: $NORMAL (15785.49, 3157.098);</t>
  </si>
  <si>
    <t>/* TAILTHK7_OPEN_CF FIXED */ TAILTHK7_OPEN_CF: $NORMAL (.0024872, 0);</t>
  </si>
  <si>
    <t>/* TAILTHK7_OPEN_Q FIXED */ TAILTHK7_OPEN_Q: $NORMAL (11711.9118354, 0);</t>
  </si>
  <si>
    <t>/* TAILTHK7_OPEN_WF FIXED */ TAILTHK7_OPEN_WF: $NORMAL (7.259472, 0);</t>
  </si>
  <si>
    <t>/* TAILTHK7_TOTVOL_CLOSE_Q FIXED */ TAILTHK7_TOTVOL_CLOSE_Q: $NORMAL (89291.28767, 0);</t>
  </si>
  <si>
    <t>/* TAILTHK7_UNDERFLOW_Q MEASURED */ TAILTHK7_UNDERFLOW_Q: $NORMAL (52808.45, 10561.69);</t>
  </si>
  <si>
    <t>/* TAILTHK7_UNDERFLOW_WF MEASURED */ TAILTHK7_UNDERFLOW_WF: $NORMAL (.7114, .14228);</t>
  </si>
  <si>
    <t>/* TAILTHK8_CLOSE_Q MEASURED */ TAILTHK8_CLOSE_Q: $NORMAL (16850.28, 3370.056);</t>
  </si>
  <si>
    <t>/* TAILTHK8_OPEN_CF FIXED */ TAILTHK8_OPEN_CF: $NORMAL (.002401, 0);</t>
  </si>
  <si>
    <t>/* TAILTHK8_OPEN_Q FIXED */ TAILTHK8_OPEN_Q: $NORMAL (10768.248811, 0);</t>
  </si>
  <si>
    <t>/* TAILTHK8_OPEN_WF FIXED */ TAILTHK8_OPEN_WF: $NORMAL (7.9275899, 0);</t>
  </si>
  <si>
    <t>/* TAILTHK8_TOTVOL_CLOSE_Q FIXED */ TAILTHK8_TOTVOL_CLOSE_Q: $NORMAL (89291.28767, 0);</t>
  </si>
  <si>
    <t>/* TAILTHK8_UNDERFLOW_Q MEASURED */ TAILTHK8_UNDERFLOW_Q: $NORMAL (21149.41, 4229.882);</t>
  </si>
  <si>
    <t>/* TAILTHK8_UNDERFLOW_WF MEASURED */ TAILTHK8_UNDERFLOW_WF: $NORMAL (.9877, .19754);</t>
  </si>
  <si>
    <t>/* TANK_CLOSE_Q MEASURED */ TANK_CLOSE_Q: $NORMAL (54321.49, 1086.4298);</t>
  </si>
  <si>
    <t>/* TANK_OPEN_Q FIXED */ TANK_OPEN_Q: $NORMAL (56675.0827968, 0);</t>
  </si>
  <si>
    <t>/* TK23_CLOSE_CF MEASURED */ TK23_CLOSE_CF: $NORMAL (.3216, .01608);</t>
  </si>
  <si>
    <t>/* TK23_CLOSE_Q MEASURED */ TK23_CLOSE_Q: $NORMAL (0, 0);</t>
  </si>
  <si>
    <t>/* TK23_CLOSE_WF MEASURED */ TK23_CLOSE_WF: $NORMAL (.5392, .05392);</t>
  </si>
  <si>
    <t>/* TK23_DI105_CF MEASURED */ TK23_DI105_CF: $NORMAL (.3216, .03216);</t>
  </si>
  <si>
    <t>/* TK23_DI105_Q MEASURED */ TK23_DI105_Q: $NORMAL (0, 0);</t>
  </si>
  <si>
    <t>/* TK23_OPEN_CF FIXED */ TK23_OPEN_CF: $NORMAL (.3216, 0);</t>
  </si>
  <si>
    <t>/* TK23_OPEN_Q FIXED */ TK23_OPEN_Q: $NORMAL (0, 0);</t>
  </si>
  <si>
    <t>/* TK23_OPEN_WF FIXED */ TK23_OPEN_WF: $NORMAL (.5392, 0);</t>
  </si>
  <si>
    <t>/* TK24_CLOSE_CF MEASURED */ TK24_CLOSE_CF: $NORMAL (.2981, .014905);</t>
  </si>
  <si>
    <t>/* TK24_CLOSE_Q MEASURED */ TK24_CLOSE_Q: $NORMAL (0, 0);</t>
  </si>
  <si>
    <t>/* TK24_CLOSE_WF MEASURED */ TK24_CLOSE_WF: $NORMAL (.5106, .05106);</t>
  </si>
  <si>
    <t>/* TK24_DI105_CF MEASURED */ TK24_DI105_CF: $NORMAL (.3403, .03403);</t>
  </si>
  <si>
    <t>/* TK24_DI105_Q MEASURED */ TK24_DI105_Q: $NORMAL (0, 0);</t>
  </si>
  <si>
    <t>/* TK24_OPEN_CF FIXED */ TK24_OPEN_CF: $NORMAL (.3048926, 0);</t>
  </si>
  <si>
    <t>/* TK24_OPEN_Q FIXED */ TK24_OPEN_Q: $NORMAL (0, 0);</t>
  </si>
  <si>
    <t>/* TK24_OPEN_WF FIXED */ TK24_OPEN_WF: $NORMAL (.5106, 0);</t>
  </si>
  <si>
    <t>/* TK25_CLOSE_CF MEASURED */ TK25_CLOSE_CF: $NORMAL (.3403, .017015);</t>
  </si>
  <si>
    <t>/* TK25_CLOSE_Q MEASURED */ TK25_CLOSE_Q: $NORMAL (1557.745, 31.1549);</t>
  </si>
  <si>
    <t>/* TK25_CLOSE_WF MEASURED */ TK25_CLOSE_WF: $NORMAL (.4793, .04793);</t>
  </si>
  <si>
    <t>/* TK25_DI105_CF MEASURED */ TK25_DI105_CF: $NORMAL (.2981001, .02981);</t>
  </si>
  <si>
    <t>/* TK25_DI105_Q MEASURED */ TK25_DI105_Q: $NORMAL (1759.017, 351.8034);</t>
  </si>
  <si>
    <t>/* TK25_OPEN_CF FIXED */ TK25_OPEN_CF: $NORMAL (.3726559, 0);</t>
  </si>
  <si>
    <t>/* TK25_OPEN_Q FIXED */ TK25_OPEN_Q: $NORMAL (2662.5930513, 0);</t>
  </si>
  <si>
    <t>/* TK25_OPEN_WF FIXED */ TK25_OPEN_WF: $NORMAL (.4571559, 0);</t>
  </si>
  <si>
    <t>/* TK26_CLOSE_CF MEASURED */ TK26_CLOSE_CF: $NORMAL (.3262, .01631);</t>
  </si>
  <si>
    <t>/* TK26_CLOSE_Q MEASURED */ TK26_CLOSE_Q: $NORMAL (2659.57, 53.1914);</t>
  </si>
  <si>
    <t>/* TK26_CLOSE_WF MEASURED */ TK26_CLOSE_WF: $NORMAL (.5314, .05314);</t>
  </si>
  <si>
    <t>/* TK26_DI105_CF MEASURED */ TK26_DI105_CF: $NORMAL (.3262, .03262);</t>
  </si>
  <si>
    <t>/* TK26_DI105_Q MEASURED */ TK26_DI105_Q: $NORMAL (0, 0);</t>
  </si>
  <si>
    <t>/* TK26_OPEN_CF FIXED */ TK26_OPEN_CF: $NORMAL (.367515, 0);</t>
  </si>
  <si>
    <t>/* TK26_OPEN_Q FIXED */ TK26_OPEN_Q: $NORMAL (1370.4528453, 0);</t>
  </si>
  <si>
    <t>/* TK26_OPEN_WF FIXED */ TK26_OPEN_WF: $NORMAL (.4493876, 0);</t>
  </si>
  <si>
    <t>/* TK83_CHIL_Q MEASURED */ TK83_CHIL_Q: $NORMAL (791.9999, 79.19999);</t>
  </si>
  <si>
    <t>/* TK83_CLOSE_Q MEASURED */ TK83_CLOSE_Q: $NORMAL (3110.834, 62.21668);</t>
  </si>
  <si>
    <t>/* TK83_D25_Q MEASURED */ TK83_D25_Q: $NORMAL (194.4807, 19.44807);</t>
  </si>
  <si>
    <t>/* TK83_MB1_Q MEASURED */ TK83_MB1_Q: $NORMAL (266.7529, 26.67529);</t>
  </si>
  <si>
    <t>/* TK83_MB2_Q MEASURED */ TK83_MB2_Q: $NORMAL (189.0285, 18.90285);</t>
  </si>
  <si>
    <t>/* TK83_MB3_Q MEASURED */ TK83_MB3_Q: $NORMAL (189.0285, 18.90285);</t>
  </si>
  <si>
    <t>/* TK83_OPEN_Q FIXED */ TK83_OPEN_Q: $NORMAL (2453.5346379, 0);</t>
  </si>
  <si>
    <t>/* TKC_PIPE_CF MEASURED */ TKC_PIPE_CF: $NORMAL (.2981001, .02981);</t>
  </si>
  <si>
    <t>/* TKC_PIPE_Q MEASURED */ TKC_PIPE_Q: $NORMAL (1806.908, 307.17436);</t>
  </si>
  <si>
    <t>/* TKC_PIPE_WF MEASURED */ TKC_PIPE_WF: $NORMAL (.4499, .08998);</t>
  </si>
  <si>
    <t>Worksheet:[Resolver.Tests.xlsx]TestNL4 Problem</t>
  </si>
  <si>
    <t>Report Created:6/7/2012 8:54:36 PM</t>
  </si>
  <si>
    <t>Minimum cost change</t>
  </si>
  <si>
    <t>$O$2</t>
  </si>
  <si>
    <t>_xx1</t>
  </si>
  <si>
    <t>_xx2</t>
  </si>
  <si>
    <t>_xx3</t>
  </si>
  <si>
    <t>_yy1</t>
  </si>
  <si>
    <t>_yy2</t>
  </si>
  <si>
    <t>_yy3</t>
  </si>
  <si>
    <t>_xx4</t>
  </si>
  <si>
    <t>_xx5</t>
  </si>
  <si>
    <t>([(_xx5-(((2*_xx3)*_yy2)*_yy3))]=[0])</t>
  </si>
  <si>
    <t>_xx3&gt;=0</t>
  </si>
  <si>
    <t>(_xx3&gt;=0.0)</t>
  </si>
  <si>
    <t>_xx1&gt;=0</t>
  </si>
  <si>
    <t>_yy3&gt;=0</t>
  </si>
  <si>
    <t>(_yy3&gt;=0.0)</t>
  </si>
  <si>
    <t>_yy2&gt;=0</t>
  </si>
  <si>
    <t>(_yy2&gt;=0.0)</t>
  </si>
  <si>
    <t>_xx5&gt;=0</t>
  </si>
  <si>
    <t>(_xx5&gt;=0.0)</t>
  </si>
  <si>
    <t>_yy1&gt;=0</t>
  </si>
  <si>
    <t>(_yy1&gt;=0.0)</t>
  </si>
  <si>
    <t>_xx4&gt;=0</t>
  </si>
  <si>
    <t>_xx2&gt;=0</t>
  </si>
  <si>
    <r>
      <t>(</t>
    </r>
    <r>
      <rPr>
        <b/>
        <sz val="11"/>
        <color indexed="10"/>
        <rFont val="Calibri"/>
        <family val="2"/>
        <scheme val="minor"/>
      </rPr>
      <t>_xx1</t>
    </r>
    <r>
      <rPr>
        <sz val="11"/>
        <color theme="1"/>
        <rFont val="Calibri"/>
        <family val="2"/>
        <scheme val="minor"/>
      </rPr>
      <t>&gt;=0.0)</t>
    </r>
  </si>
  <si>
    <r>
      <t>([(((((</t>
    </r>
    <r>
      <rPr>
        <b/>
        <sz val="11"/>
        <color indexed="10"/>
        <rFont val="Calibri"/>
        <family val="2"/>
        <scheme val="minor"/>
      </rPr>
      <t>_xx1</t>
    </r>
    <r>
      <rPr>
        <sz val="11"/>
        <color theme="1"/>
        <rFont val="Calibri"/>
        <family val="2"/>
        <scheme val="minor"/>
      </rPr>
      <t>-(2*</t>
    </r>
    <r>
      <rPr>
        <b/>
        <sz val="11"/>
        <color indexed="10"/>
        <rFont val="Calibri"/>
        <family val="2"/>
        <scheme val="minor"/>
      </rPr>
      <t>_xx2</t>
    </r>
    <r>
      <rPr>
        <sz val="11"/>
        <color theme="1"/>
        <rFont val="Calibri"/>
        <family val="2"/>
        <scheme val="minor"/>
      </rPr>
      <t>))+((3*</t>
    </r>
    <r>
      <rPr>
        <b/>
        <sz val="11"/>
        <color indexed="10"/>
        <rFont val="Calibri"/>
        <family val="2"/>
        <scheme val="minor"/>
      </rPr>
      <t>_xx1</t>
    </r>
    <r>
      <rPr>
        <sz val="11"/>
        <color theme="1"/>
        <rFont val="Calibri"/>
        <family val="2"/>
        <scheme val="minor"/>
      </rPr>
      <t>)*_xx3))-((2*</t>
    </r>
    <r>
      <rPr>
        <b/>
        <sz val="11"/>
        <color indexed="10"/>
        <rFont val="Calibri"/>
        <family val="2"/>
        <scheme val="minor"/>
      </rPr>
      <t>_xx2</t>
    </r>
    <r>
      <rPr>
        <sz val="11"/>
        <color theme="1"/>
        <rFont val="Calibri"/>
        <family val="2"/>
        <scheme val="minor"/>
      </rPr>
      <t>)*_yy1))-((</t>
    </r>
    <r>
      <rPr>
        <b/>
        <sz val="11"/>
        <color indexed="10"/>
        <rFont val="Calibri"/>
        <family val="2"/>
        <scheme val="minor"/>
      </rPr>
      <t>_xx2</t>
    </r>
    <r>
      <rPr>
        <sz val="11"/>
        <color theme="1"/>
        <rFont val="Calibri"/>
        <family val="2"/>
        <scheme val="minor"/>
      </rPr>
      <t>*_yy2)*_yy3))+111.2)]=[0])</t>
    </r>
  </si>
  <si>
    <r>
      <t>([((((((0.5*(</t>
    </r>
    <r>
      <rPr>
        <b/>
        <sz val="11"/>
        <color indexed="10"/>
        <rFont val="Calibri"/>
        <family val="2"/>
        <scheme val="minor"/>
      </rPr>
      <t>_xx1</t>
    </r>
    <r>
      <rPr>
        <sz val="11"/>
        <color theme="1"/>
        <rFont val="Calibri"/>
        <family val="2"/>
        <scheme val="minor"/>
      </rPr>
      <t>^2))-(0.7*</t>
    </r>
    <r>
      <rPr>
        <b/>
        <sz val="11"/>
        <color indexed="10"/>
        <rFont val="Calibri"/>
        <family val="2"/>
        <scheme val="minor"/>
      </rPr>
      <t>_xx2</t>
    </r>
    <r>
      <rPr>
        <sz val="11"/>
        <color theme="1"/>
        <rFont val="Calibri"/>
        <family val="2"/>
        <scheme val="minor"/>
      </rPr>
      <t>))+(_xx3*_yy1))+(((</t>
    </r>
    <r>
      <rPr>
        <b/>
        <sz val="11"/>
        <color indexed="10"/>
        <rFont val="Calibri"/>
        <family val="2"/>
        <scheme val="minor"/>
      </rPr>
      <t>_xx2</t>
    </r>
    <r>
      <rPr>
        <sz val="11"/>
        <color theme="1"/>
        <rFont val="Calibri"/>
        <family val="2"/>
        <scheme val="minor"/>
      </rPr>
      <t>^2)*_yy1)*_yy2))+((2*_xx3)*(_yy3^2)))-255.8)]=[0])</t>
    </r>
  </si>
  <si>
    <r>
      <t>([((((((_xx3*_yy1)-</t>
    </r>
    <r>
      <rPr>
        <b/>
        <sz val="11"/>
        <color indexed="10"/>
        <rFont val="Calibri"/>
        <family val="2"/>
        <scheme val="minor"/>
      </rPr>
      <t>_xx1</t>
    </r>
    <r>
      <rPr>
        <sz val="11"/>
        <color theme="1"/>
        <rFont val="Calibri"/>
        <family val="2"/>
        <scheme val="minor"/>
      </rPr>
      <t>)+(3*</t>
    </r>
    <r>
      <rPr>
        <b/>
        <sz val="11"/>
        <color indexed="10"/>
        <rFont val="Calibri"/>
        <family val="2"/>
        <scheme val="minor"/>
      </rPr>
      <t>_xx2</t>
    </r>
    <r>
      <rPr>
        <sz val="11"/>
        <color theme="1"/>
        <rFont val="Calibri"/>
        <family val="2"/>
        <scheme val="minor"/>
      </rPr>
      <t>))+(</t>
    </r>
    <r>
      <rPr>
        <b/>
        <sz val="11"/>
        <color indexed="10"/>
        <rFont val="Calibri"/>
        <family val="2"/>
        <scheme val="minor"/>
      </rPr>
      <t>_xx1</t>
    </r>
    <r>
      <rPr>
        <sz val="11"/>
        <color theme="1"/>
        <rFont val="Calibri"/>
        <family val="2"/>
        <scheme val="minor"/>
      </rPr>
      <t>*_yy2))-(_xx3*(_yy3^0.5)))-33.57)]=[0])</t>
    </r>
  </si>
  <si>
    <r>
      <t>([(((((2*</t>
    </r>
    <r>
      <rPr>
        <b/>
        <sz val="11"/>
        <color indexed="10"/>
        <rFont val="Calibri"/>
        <family val="2"/>
        <scheme val="minor"/>
      </rPr>
      <t>_xx1</t>
    </r>
    <r>
      <rPr>
        <sz val="11"/>
        <color theme="1"/>
        <rFont val="Calibri"/>
        <family val="2"/>
        <scheme val="minor"/>
      </rPr>
      <t>)+((</t>
    </r>
    <r>
      <rPr>
        <b/>
        <sz val="11"/>
        <color indexed="10"/>
        <rFont val="Calibri"/>
        <family val="2"/>
        <scheme val="minor"/>
      </rPr>
      <t>_xx2</t>
    </r>
    <r>
      <rPr>
        <sz val="11"/>
        <color theme="1"/>
        <rFont val="Calibri"/>
        <family val="2"/>
        <scheme val="minor"/>
      </rPr>
      <t>*_xx3)*_yy1))+_yy2)-_yy3)-126.6)]=[0])</t>
    </r>
  </si>
  <si>
    <r>
      <t>(</t>
    </r>
    <r>
      <rPr>
        <b/>
        <sz val="11"/>
        <color indexed="10"/>
        <rFont val="Calibri"/>
        <family val="2"/>
        <scheme val="minor"/>
      </rPr>
      <t>_xx2</t>
    </r>
    <r>
      <rPr>
        <sz val="11"/>
        <color theme="1"/>
        <rFont val="Calibri"/>
        <family val="2"/>
        <scheme val="minor"/>
      </rPr>
      <t>&gt;=0.0)</t>
    </r>
  </si>
  <si>
    <r>
      <t>([((((</t>
    </r>
    <r>
      <rPr>
        <b/>
        <sz val="11"/>
        <color indexed="10"/>
        <rFont val="Calibri"/>
        <family val="2"/>
        <scheme val="minor"/>
      </rPr>
      <t>_xx4</t>
    </r>
    <r>
      <rPr>
        <sz val="11"/>
        <color theme="1"/>
        <rFont val="Calibri"/>
        <family val="2"/>
        <scheme val="minor"/>
      </rPr>
      <t>-</t>
    </r>
    <r>
      <rPr>
        <b/>
        <sz val="11"/>
        <color indexed="10"/>
        <rFont val="Calibri"/>
        <family val="2"/>
        <scheme val="minor"/>
      </rPr>
      <t>_xx1</t>
    </r>
    <r>
      <rPr>
        <sz val="11"/>
        <color theme="1"/>
        <rFont val="Calibri"/>
        <family val="2"/>
        <scheme val="minor"/>
      </rPr>
      <t>)-(_xx3^2))+_yy2)+(3*_yy3))]=[0])</t>
    </r>
  </si>
  <si>
    <r>
      <t>(</t>
    </r>
    <r>
      <rPr>
        <b/>
        <sz val="11"/>
        <color indexed="10"/>
        <rFont val="Calibri"/>
        <family val="2"/>
        <scheme val="minor"/>
      </rPr>
      <t>_xx4</t>
    </r>
    <r>
      <rPr>
        <sz val="11"/>
        <color theme="1"/>
        <rFont val="Calibri"/>
        <family val="2"/>
        <scheme val="minor"/>
      </rPr>
      <t>&gt;=0.0)</t>
    </r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</si>
</sst>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Verdana"/>
      <family val="2"/>
    </font>
    <font>
      <u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color rgb="FF1F497D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 New"/>
      <family val="3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indexed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1F497D"/>
      </top>
      <bottom style="medium">
        <color rgb="FF1F497D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68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quotePrefix="1" applyBorder="1"/>
    <xf numFmtId="11" fontId="0" fillId="0" borderId="0" xfId="0" applyNumberFormat="1"/>
    <xf numFmtId="0" fontId="0" fillId="0" borderId="0" xfId="0" quotePrefix="1"/>
    <xf numFmtId="0" fontId="1" fillId="0" borderId="0" xfId="0" applyFont="1" applyFill="1"/>
    <xf numFmtId="0" fontId="4" fillId="0" borderId="0" xfId="1" applyFont="1" applyFill="1" applyAlignment="1" applyProtection="1"/>
    <xf numFmtId="0" fontId="4" fillId="0" borderId="0" xfId="0" applyFont="1" applyFill="1"/>
    <xf numFmtId="0" fontId="4" fillId="0" borderId="0" xfId="0" quotePrefix="1" applyFont="1" applyFill="1"/>
    <xf numFmtId="0" fontId="5" fillId="0" borderId="0" xfId="0" applyFont="1" applyFill="1"/>
    <xf numFmtId="0" fontId="0" fillId="0" borderId="0" xfId="0" applyFill="1"/>
    <xf numFmtId="0" fontId="0" fillId="3" borderId="0" xfId="0" applyFill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left" wrapText="1" indent="1"/>
    </xf>
    <xf numFmtId="0" fontId="8" fillId="0" borderId="0" xfId="1" applyFont="1" applyAlignment="1" applyProtection="1">
      <alignment horizontal="left" wrapText="1" inden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0" xfId="0" applyNumberFormat="1" applyFont="1" applyAlignment="1">
      <alignment vertical="top" wrapText="1"/>
    </xf>
    <xf numFmtId="0" fontId="0" fillId="0" borderId="0" xfId="0" applyNumberFormat="1"/>
    <xf numFmtId="2" fontId="0" fillId="0" borderId="0" xfId="0" applyNumberFormat="1"/>
    <xf numFmtId="0" fontId="0" fillId="3" borderId="0" xfId="0" applyNumberFormat="1" applyFill="1"/>
    <xf numFmtId="0" fontId="4" fillId="0" borderId="0" xfId="2"/>
    <xf numFmtId="0" fontId="4" fillId="0" borderId="0" xfId="2" quotePrefix="1"/>
    <xf numFmtId="0" fontId="11" fillId="0" borderId="0" xfId="0" applyFont="1"/>
    <xf numFmtId="0" fontId="11" fillId="0" borderId="8" xfId="0" applyFont="1" applyBorder="1" applyAlignment="1">
      <alignment horizontal="center" vertical="top" wrapText="1"/>
    </xf>
    <xf numFmtId="0" fontId="12" fillId="0" borderId="0" xfId="0" applyFont="1"/>
    <xf numFmtId="0" fontId="13" fillId="3" borderId="1" xfId="0" applyFont="1" applyFill="1" applyBorder="1" applyAlignment="1"/>
    <xf numFmtId="0" fontId="13" fillId="0" borderId="0" xfId="0" applyFont="1" applyFill="1" applyBorder="1" applyAlignment="1"/>
    <xf numFmtId="0" fontId="14" fillId="3" borderId="1" xfId="0" applyFont="1" applyFill="1" applyBorder="1" applyAlignment="1">
      <alignment vertical="top" wrapText="1"/>
    </xf>
    <xf numFmtId="0" fontId="15" fillId="3" borderId="1" xfId="0" applyFont="1" applyFill="1" applyBorder="1"/>
    <xf numFmtId="0" fontId="16" fillId="0" borderId="0" xfId="0" applyFont="1" applyFill="1"/>
    <xf numFmtId="0" fontId="14" fillId="3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vertical="center"/>
    </xf>
    <xf numFmtId="0" fontId="16" fillId="0" borderId="0" xfId="0" applyFont="1" applyFill="1" applyAlignment="1">
      <alignment vertical="center"/>
    </xf>
    <xf numFmtId="0" fontId="16" fillId="3" borderId="0" xfId="0" applyFont="1" applyFill="1" applyAlignment="1"/>
    <xf numFmtId="0" fontId="14" fillId="3" borderId="0" xfId="0" applyFont="1" applyFill="1" applyAlignment="1">
      <alignment vertical="top" wrapText="1"/>
    </xf>
    <xf numFmtId="0" fontId="15" fillId="3" borderId="0" xfId="0" applyFont="1" applyFill="1"/>
    <xf numFmtId="0" fontId="16" fillId="3" borderId="0" xfId="0" applyFont="1" applyFill="1"/>
    <xf numFmtId="0" fontId="17" fillId="0" borderId="0" xfId="0" applyFont="1" applyFill="1" applyAlignment="1">
      <alignment horizontal="left"/>
    </xf>
    <xf numFmtId="0" fontId="17" fillId="0" borderId="0" xfId="0" applyNumberFormat="1" applyFont="1" applyFill="1" applyAlignment="1">
      <alignment horizontal="left"/>
    </xf>
    <xf numFmtId="0" fontId="17" fillId="0" borderId="0" xfId="0" quotePrefix="1" applyFont="1" applyFill="1" applyAlignment="1">
      <alignment horizontal="left"/>
    </xf>
    <xf numFmtId="0" fontId="18" fillId="3" borderId="0" xfId="0" applyFont="1" applyFill="1" applyAlignment="1">
      <alignment horizontal="left" vertical="center"/>
    </xf>
    <xf numFmtId="0" fontId="14" fillId="3" borderId="0" xfId="0" applyFont="1" applyFill="1" applyAlignment="1">
      <alignment vertical="center" wrapText="1"/>
    </xf>
    <xf numFmtId="0" fontId="15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0" fillId="0" borderId="0" xfId="0" applyFill="1" applyAlignment="1"/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34</xdr:row>
      <xdr:rowOff>85725</xdr:rowOff>
    </xdr:from>
    <xdr:to>
      <xdr:col>7</xdr:col>
      <xdr:colOff>666750</xdr:colOff>
      <xdr:row>39</xdr:row>
      <xdr:rowOff>38100</xdr:rowOff>
    </xdr:to>
    <xdr:sp macro="" textlink="">
      <xdr:nvSpPr>
        <xdr:cNvPr id="2" name="Rounded Rectangle 1"/>
        <xdr:cNvSpPr/>
      </xdr:nvSpPr>
      <xdr:spPr>
        <a:xfrm>
          <a:off x="2571750" y="6562725"/>
          <a:ext cx="1552575" cy="904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  <a:p>
          <a:pPr algn="ctr"/>
          <a:r>
            <a:rPr lang="en-US" sz="1100"/>
            <a:t>Mixer</a:t>
          </a:r>
        </a:p>
      </xdr:txBody>
    </xdr:sp>
    <xdr:clientData/>
  </xdr:twoCellAnchor>
  <xdr:twoCellAnchor>
    <xdr:from>
      <xdr:col>10</xdr:col>
      <xdr:colOff>0</xdr:colOff>
      <xdr:row>34</xdr:row>
      <xdr:rowOff>76200</xdr:rowOff>
    </xdr:from>
    <xdr:to>
      <xdr:col>14</xdr:col>
      <xdr:colOff>133350</xdr:colOff>
      <xdr:row>39</xdr:row>
      <xdr:rowOff>28575</xdr:rowOff>
    </xdr:to>
    <xdr:sp macro="" textlink="">
      <xdr:nvSpPr>
        <xdr:cNvPr id="3" name="Rounded Rectangle 2"/>
        <xdr:cNvSpPr/>
      </xdr:nvSpPr>
      <xdr:spPr>
        <a:xfrm>
          <a:off x="5172075" y="6553200"/>
          <a:ext cx="2324100" cy="904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2</a:t>
          </a:r>
        </a:p>
        <a:p>
          <a:pPr algn="ctr"/>
          <a:r>
            <a:rPr lang="en-US" sz="1100"/>
            <a:t>Reactor</a:t>
          </a:r>
        </a:p>
      </xdr:txBody>
    </xdr:sp>
    <xdr:clientData/>
  </xdr:twoCellAnchor>
  <xdr:twoCellAnchor>
    <xdr:from>
      <xdr:col>16</xdr:col>
      <xdr:colOff>219076</xdr:colOff>
      <xdr:row>29</xdr:row>
      <xdr:rowOff>114300</xdr:rowOff>
    </xdr:from>
    <xdr:to>
      <xdr:col>17</xdr:col>
      <xdr:colOff>742951</xdr:colOff>
      <xdr:row>44</xdr:row>
      <xdr:rowOff>0</xdr:rowOff>
    </xdr:to>
    <xdr:sp macro="" textlink="">
      <xdr:nvSpPr>
        <xdr:cNvPr id="4" name="Rounded Rectangle 3"/>
        <xdr:cNvSpPr/>
      </xdr:nvSpPr>
      <xdr:spPr>
        <a:xfrm>
          <a:off x="8439151" y="5638800"/>
          <a:ext cx="857250" cy="2743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3</a:t>
          </a:r>
        </a:p>
        <a:p>
          <a:pPr algn="ctr"/>
          <a:r>
            <a:rPr lang="en-US" sz="1100"/>
            <a:t>Separator</a:t>
          </a:r>
        </a:p>
      </xdr:txBody>
    </xdr:sp>
    <xdr:clientData/>
  </xdr:twoCellAnchor>
  <xdr:twoCellAnchor>
    <xdr:from>
      <xdr:col>11</xdr:col>
      <xdr:colOff>533401</xdr:colOff>
      <xdr:row>23</xdr:row>
      <xdr:rowOff>161925</xdr:rowOff>
    </xdr:from>
    <xdr:to>
      <xdr:col>13</xdr:col>
      <xdr:colOff>219076</xdr:colOff>
      <xdr:row>30</xdr:row>
      <xdr:rowOff>171450</xdr:rowOff>
    </xdr:to>
    <xdr:sp macro="" textlink="">
      <xdr:nvSpPr>
        <xdr:cNvPr id="5" name="Rounded Rectangle 4"/>
        <xdr:cNvSpPr/>
      </xdr:nvSpPr>
      <xdr:spPr>
        <a:xfrm>
          <a:off x="5962651" y="4543425"/>
          <a:ext cx="857250" cy="1343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4</a:t>
          </a:r>
        </a:p>
        <a:p>
          <a:pPr algn="ctr"/>
          <a:r>
            <a:rPr lang="en-US" sz="1100"/>
            <a:t>Splitter</a:t>
          </a:r>
        </a:p>
      </xdr:txBody>
    </xdr:sp>
    <xdr:clientData/>
  </xdr:twoCellAnchor>
  <xdr:twoCellAnchor>
    <xdr:from>
      <xdr:col>13</xdr:col>
      <xdr:colOff>219076</xdr:colOff>
      <xdr:row>27</xdr:row>
      <xdr:rowOff>71438</xdr:rowOff>
    </xdr:from>
    <xdr:to>
      <xdr:col>17</xdr:col>
      <xdr:colOff>314326</xdr:colOff>
      <xdr:row>29</xdr:row>
      <xdr:rowOff>114300</xdr:rowOff>
    </xdr:to>
    <xdr:cxnSp macro="">
      <xdr:nvCxnSpPr>
        <xdr:cNvPr id="6" name="Shape 5"/>
        <xdr:cNvCxnSpPr>
          <a:stCxn id="4" idx="0"/>
          <a:endCxn id="5" idx="3"/>
        </xdr:cNvCxnSpPr>
      </xdr:nvCxnSpPr>
      <xdr:spPr>
        <a:xfrm rot="16200000" flipV="1">
          <a:off x="7631908" y="4402931"/>
          <a:ext cx="423862" cy="2047875"/>
        </a:xfrm>
        <a:prstGeom prst="bentConnector2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185739</xdr:colOff>
      <xdr:row>27</xdr:row>
      <xdr:rowOff>71437</xdr:rowOff>
    </xdr:from>
    <xdr:to>
      <xdr:col>11</xdr:col>
      <xdr:colOff>533402</xdr:colOff>
      <xdr:row>34</xdr:row>
      <xdr:rowOff>85724</xdr:rowOff>
    </xdr:to>
    <xdr:cxnSp macro="">
      <xdr:nvCxnSpPr>
        <xdr:cNvPr id="7" name="Shape 6"/>
        <xdr:cNvCxnSpPr>
          <a:stCxn id="5" idx="1"/>
          <a:endCxn id="2" idx="0"/>
        </xdr:cNvCxnSpPr>
      </xdr:nvCxnSpPr>
      <xdr:spPr>
        <a:xfrm rot="10800000" flipV="1">
          <a:off x="3348039" y="5214937"/>
          <a:ext cx="2614613" cy="1347787"/>
        </a:xfrm>
        <a:prstGeom prst="bentConnector2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36</xdr:row>
      <xdr:rowOff>147638</xdr:rowOff>
    </xdr:from>
    <xdr:to>
      <xdr:col>16</xdr:col>
      <xdr:colOff>219076</xdr:colOff>
      <xdr:row>36</xdr:row>
      <xdr:rowOff>152400</xdr:rowOff>
    </xdr:to>
    <xdr:cxnSp macro="">
      <xdr:nvCxnSpPr>
        <xdr:cNvPr id="8" name="Shape 10"/>
        <xdr:cNvCxnSpPr>
          <a:stCxn id="3" idx="3"/>
          <a:endCxn id="4" idx="1"/>
        </xdr:cNvCxnSpPr>
      </xdr:nvCxnSpPr>
      <xdr:spPr>
        <a:xfrm>
          <a:off x="7496175" y="7005638"/>
          <a:ext cx="942976" cy="4762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36</xdr:row>
      <xdr:rowOff>147638</xdr:rowOff>
    </xdr:from>
    <xdr:to>
      <xdr:col>10</xdr:col>
      <xdr:colOff>0</xdr:colOff>
      <xdr:row>36</xdr:row>
      <xdr:rowOff>157163</xdr:rowOff>
    </xdr:to>
    <xdr:cxnSp macro="">
      <xdr:nvCxnSpPr>
        <xdr:cNvPr id="9" name="Shape 14"/>
        <xdr:cNvCxnSpPr>
          <a:stCxn id="2" idx="3"/>
          <a:endCxn id="3" idx="1"/>
        </xdr:cNvCxnSpPr>
      </xdr:nvCxnSpPr>
      <xdr:spPr>
        <a:xfrm flipV="1">
          <a:off x="4124325" y="7005638"/>
          <a:ext cx="1047750" cy="9525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36</xdr:row>
      <xdr:rowOff>152400</xdr:rowOff>
    </xdr:from>
    <xdr:to>
      <xdr:col>5</xdr:col>
      <xdr:colOff>180975</xdr:colOff>
      <xdr:row>36</xdr:row>
      <xdr:rowOff>157163</xdr:rowOff>
    </xdr:to>
    <xdr:cxnSp macro="">
      <xdr:nvCxnSpPr>
        <xdr:cNvPr id="10" name="Shape 17"/>
        <xdr:cNvCxnSpPr>
          <a:endCxn id="2" idx="1"/>
        </xdr:cNvCxnSpPr>
      </xdr:nvCxnSpPr>
      <xdr:spPr>
        <a:xfrm>
          <a:off x="1695450" y="7010400"/>
          <a:ext cx="876300" cy="4763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190501</xdr:colOff>
      <xdr:row>21</xdr:row>
      <xdr:rowOff>123825</xdr:rowOff>
    </xdr:from>
    <xdr:to>
      <xdr:col>12</xdr:col>
      <xdr:colOff>190503</xdr:colOff>
      <xdr:row>23</xdr:row>
      <xdr:rowOff>161925</xdr:rowOff>
    </xdr:to>
    <xdr:cxnSp macro="">
      <xdr:nvCxnSpPr>
        <xdr:cNvPr id="11" name="Shape 17"/>
        <xdr:cNvCxnSpPr>
          <a:stCxn id="5" idx="0"/>
        </xdr:cNvCxnSpPr>
      </xdr:nvCxnSpPr>
      <xdr:spPr>
        <a:xfrm rot="5400000" flipH="1" flipV="1">
          <a:off x="6181727" y="4333874"/>
          <a:ext cx="419100" cy="2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314325</xdr:colOff>
      <xdr:row>44</xdr:row>
      <xdr:rowOff>1</xdr:rowOff>
    </xdr:from>
    <xdr:to>
      <xdr:col>17</xdr:col>
      <xdr:colOff>314326</xdr:colOff>
      <xdr:row>47</xdr:row>
      <xdr:rowOff>152401</xdr:rowOff>
    </xdr:to>
    <xdr:cxnSp macro="">
      <xdr:nvCxnSpPr>
        <xdr:cNvPr id="12" name="Shape 17"/>
        <xdr:cNvCxnSpPr>
          <a:stCxn id="4" idx="2"/>
        </xdr:cNvCxnSpPr>
      </xdr:nvCxnSpPr>
      <xdr:spPr>
        <a:xfrm rot="5400000">
          <a:off x="8505826" y="8743950"/>
          <a:ext cx="723900" cy="1"/>
        </a:xfrm>
        <a:prstGeom prst="bentConnector3">
          <a:avLst>
            <a:gd name="adj1" fmla="val 50000"/>
          </a:avLst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21</xdr:row>
      <xdr:rowOff>171450</xdr:rowOff>
    </xdr:from>
    <xdr:to>
      <xdr:col>14</xdr:col>
      <xdr:colOff>104775</xdr:colOff>
      <xdr:row>23</xdr:row>
      <xdr:rowOff>66675</xdr:rowOff>
    </xdr:to>
    <xdr:sp macro="" textlink="">
      <xdr:nvSpPr>
        <xdr:cNvPr id="13" name="Parallelogram 12"/>
        <xdr:cNvSpPr/>
      </xdr:nvSpPr>
      <xdr:spPr>
        <a:xfrm>
          <a:off x="6638925" y="4171950"/>
          <a:ext cx="828675" cy="27622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Purge 6</a:t>
          </a:r>
        </a:p>
      </xdr:txBody>
    </xdr:sp>
    <xdr:clientData/>
  </xdr:twoCellAnchor>
  <xdr:twoCellAnchor>
    <xdr:from>
      <xdr:col>14</xdr:col>
      <xdr:colOff>142875</xdr:colOff>
      <xdr:row>24</xdr:row>
      <xdr:rowOff>180975</xdr:rowOff>
    </xdr:from>
    <xdr:to>
      <xdr:col>16</xdr:col>
      <xdr:colOff>114300</xdr:colOff>
      <xdr:row>26</xdr:row>
      <xdr:rowOff>114300</xdr:rowOff>
    </xdr:to>
    <xdr:sp macro="" textlink="">
      <xdr:nvSpPr>
        <xdr:cNvPr id="14" name="Parallelogram 13"/>
        <xdr:cNvSpPr/>
      </xdr:nvSpPr>
      <xdr:spPr>
        <a:xfrm>
          <a:off x="7505700" y="4752975"/>
          <a:ext cx="828675" cy="31432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8</xdr:col>
      <xdr:colOff>9525</xdr:colOff>
      <xdr:row>25</xdr:row>
      <xdr:rowOff>9525</xdr:rowOff>
    </xdr:from>
    <xdr:to>
      <xdr:col>9</xdr:col>
      <xdr:colOff>504825</xdr:colOff>
      <xdr:row>26</xdr:row>
      <xdr:rowOff>133350</xdr:rowOff>
    </xdr:to>
    <xdr:sp macro="" textlink="">
      <xdr:nvSpPr>
        <xdr:cNvPr id="15" name="Parallelogram 14"/>
        <xdr:cNvSpPr/>
      </xdr:nvSpPr>
      <xdr:spPr>
        <a:xfrm>
          <a:off x="4238625" y="4772025"/>
          <a:ext cx="828675" cy="31432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8</xdr:col>
      <xdr:colOff>66675</xdr:colOff>
      <xdr:row>34</xdr:row>
      <xdr:rowOff>95250</xdr:rowOff>
    </xdr:from>
    <xdr:to>
      <xdr:col>9</xdr:col>
      <xdr:colOff>561975</xdr:colOff>
      <xdr:row>36</xdr:row>
      <xdr:rowOff>28575</xdr:rowOff>
    </xdr:to>
    <xdr:sp macro="" textlink="">
      <xdr:nvSpPr>
        <xdr:cNvPr id="16" name="Parallelogram 15"/>
        <xdr:cNvSpPr/>
      </xdr:nvSpPr>
      <xdr:spPr>
        <a:xfrm>
          <a:off x="4295775" y="6572250"/>
          <a:ext cx="828675" cy="31432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3</xdr:col>
      <xdr:colOff>361950</xdr:colOff>
      <xdr:row>34</xdr:row>
      <xdr:rowOff>85725</xdr:rowOff>
    </xdr:from>
    <xdr:to>
      <xdr:col>4</xdr:col>
      <xdr:colOff>447675</xdr:colOff>
      <xdr:row>36</xdr:row>
      <xdr:rowOff>19050</xdr:rowOff>
    </xdr:to>
    <xdr:sp macro="" textlink="">
      <xdr:nvSpPr>
        <xdr:cNvPr id="17" name="Parallelogram 16"/>
        <xdr:cNvSpPr/>
      </xdr:nvSpPr>
      <xdr:spPr>
        <a:xfrm>
          <a:off x="1543050" y="6562725"/>
          <a:ext cx="828675" cy="31432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14</xdr:col>
      <xdr:colOff>180975</xdr:colOff>
      <xdr:row>34</xdr:row>
      <xdr:rowOff>85725</xdr:rowOff>
    </xdr:from>
    <xdr:to>
      <xdr:col>16</xdr:col>
      <xdr:colOff>152400</xdr:colOff>
      <xdr:row>36</xdr:row>
      <xdr:rowOff>19050</xdr:rowOff>
    </xdr:to>
    <xdr:sp macro="" textlink="">
      <xdr:nvSpPr>
        <xdr:cNvPr id="18" name="Parallelogram 17"/>
        <xdr:cNvSpPr/>
      </xdr:nvSpPr>
      <xdr:spPr>
        <a:xfrm>
          <a:off x="7543800" y="6562725"/>
          <a:ext cx="828675" cy="31432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15</xdr:col>
      <xdr:colOff>276225</xdr:colOff>
      <xdr:row>44</xdr:row>
      <xdr:rowOff>123825</xdr:rowOff>
    </xdr:from>
    <xdr:to>
      <xdr:col>17</xdr:col>
      <xdr:colOff>180975</xdr:colOff>
      <xdr:row>46</xdr:row>
      <xdr:rowOff>57150</xdr:rowOff>
    </xdr:to>
    <xdr:sp macro="" textlink="">
      <xdr:nvSpPr>
        <xdr:cNvPr id="19" name="Parallelogram 18"/>
        <xdr:cNvSpPr/>
      </xdr:nvSpPr>
      <xdr:spPr>
        <a:xfrm>
          <a:off x="7905750" y="8505825"/>
          <a:ext cx="828675" cy="31432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9</xdr:col>
      <xdr:colOff>19050</xdr:colOff>
      <xdr:row>41</xdr:row>
      <xdr:rowOff>142875</xdr:rowOff>
    </xdr:from>
    <xdr:to>
      <xdr:col>13</xdr:col>
      <xdr:colOff>476250</xdr:colOff>
      <xdr:row>44</xdr:row>
      <xdr:rowOff>19050</xdr:rowOff>
    </xdr:to>
    <xdr:sp macro="" textlink="">
      <xdr:nvSpPr>
        <xdr:cNvPr id="20" name="Rectangle 19"/>
        <xdr:cNvSpPr/>
      </xdr:nvSpPr>
      <xdr:spPr>
        <a:xfrm>
          <a:off x="4581525" y="7953375"/>
          <a:ext cx="24955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Ammonia</a:t>
          </a:r>
          <a:r>
            <a:rPr lang="en-US" sz="1100" baseline="0"/>
            <a:t> Synthesis Loop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36</xdr:row>
      <xdr:rowOff>142875</xdr:rowOff>
    </xdr:from>
    <xdr:to>
      <xdr:col>5</xdr:col>
      <xdr:colOff>76200</xdr:colOff>
      <xdr:row>47</xdr:row>
      <xdr:rowOff>95250</xdr:rowOff>
    </xdr:to>
    <xdr:sp macro="" textlink="">
      <xdr:nvSpPr>
        <xdr:cNvPr id="2" name="Flowchart: Alternate Process 1"/>
        <xdr:cNvSpPr/>
      </xdr:nvSpPr>
      <xdr:spPr>
        <a:xfrm>
          <a:off x="2409825" y="7096125"/>
          <a:ext cx="895350" cy="20478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T3</a:t>
          </a:r>
        </a:p>
      </xdr:txBody>
    </xdr:sp>
    <xdr:clientData/>
  </xdr:twoCellAnchor>
  <xdr:twoCellAnchor>
    <xdr:from>
      <xdr:col>4</xdr:col>
      <xdr:colOff>142875</xdr:colOff>
      <xdr:row>29</xdr:row>
      <xdr:rowOff>114300</xdr:rowOff>
    </xdr:from>
    <xdr:to>
      <xdr:col>4</xdr:col>
      <xdr:colOff>514350</xdr:colOff>
      <xdr:row>31</xdr:row>
      <xdr:rowOff>104775</xdr:rowOff>
    </xdr:to>
    <xdr:sp macro="" textlink="">
      <xdr:nvSpPr>
        <xdr:cNvPr id="3" name="Oval 2"/>
        <xdr:cNvSpPr/>
      </xdr:nvSpPr>
      <xdr:spPr>
        <a:xfrm>
          <a:off x="2562225" y="5734050"/>
          <a:ext cx="37147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sz="1100"/>
            <a:t>J4</a:t>
          </a:r>
        </a:p>
      </xdr:txBody>
    </xdr:sp>
    <xdr:clientData/>
  </xdr:twoCellAnchor>
  <xdr:twoCellAnchor>
    <xdr:from>
      <xdr:col>9</xdr:col>
      <xdr:colOff>504825</xdr:colOff>
      <xdr:row>36</xdr:row>
      <xdr:rowOff>133350</xdr:rowOff>
    </xdr:from>
    <xdr:to>
      <xdr:col>10</xdr:col>
      <xdr:colOff>590550</xdr:colOff>
      <xdr:row>47</xdr:row>
      <xdr:rowOff>85725</xdr:rowOff>
    </xdr:to>
    <xdr:sp macro="" textlink="">
      <xdr:nvSpPr>
        <xdr:cNvPr id="4" name="Flowchart: Alternate Process 3"/>
        <xdr:cNvSpPr/>
      </xdr:nvSpPr>
      <xdr:spPr>
        <a:xfrm>
          <a:off x="6572250" y="7086600"/>
          <a:ext cx="819150" cy="20478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T5</a:t>
          </a:r>
        </a:p>
      </xdr:txBody>
    </xdr:sp>
    <xdr:clientData/>
  </xdr:twoCellAnchor>
  <xdr:twoCellAnchor>
    <xdr:from>
      <xdr:col>12</xdr:col>
      <xdr:colOff>57150</xdr:colOff>
      <xdr:row>32</xdr:row>
      <xdr:rowOff>28575</xdr:rowOff>
    </xdr:from>
    <xdr:to>
      <xdr:col>13</xdr:col>
      <xdr:colOff>333375</xdr:colOff>
      <xdr:row>34</xdr:row>
      <xdr:rowOff>171450</xdr:rowOff>
    </xdr:to>
    <xdr:sp macro="" textlink="">
      <xdr:nvSpPr>
        <xdr:cNvPr id="5" name="Flowchart: Alternate Process 4"/>
        <xdr:cNvSpPr/>
      </xdr:nvSpPr>
      <xdr:spPr>
        <a:xfrm>
          <a:off x="8172450" y="6219825"/>
          <a:ext cx="1076325" cy="5238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D7</a:t>
          </a:r>
        </a:p>
      </xdr:txBody>
    </xdr:sp>
    <xdr:clientData/>
  </xdr:twoCellAnchor>
  <xdr:twoCellAnchor>
    <xdr:from>
      <xdr:col>6</xdr:col>
      <xdr:colOff>190500</xdr:colOff>
      <xdr:row>49</xdr:row>
      <xdr:rowOff>95250</xdr:rowOff>
    </xdr:from>
    <xdr:to>
      <xdr:col>7</xdr:col>
      <xdr:colOff>466725</xdr:colOff>
      <xdr:row>52</xdr:row>
      <xdr:rowOff>47625</xdr:rowOff>
    </xdr:to>
    <xdr:sp macro="" textlink="">
      <xdr:nvSpPr>
        <xdr:cNvPr id="6" name="Flowchart: Alternate Process 5"/>
        <xdr:cNvSpPr/>
      </xdr:nvSpPr>
      <xdr:spPr>
        <a:xfrm>
          <a:off x="4029075" y="9525000"/>
          <a:ext cx="885825" cy="5238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D4</a:t>
          </a:r>
        </a:p>
      </xdr:txBody>
    </xdr:sp>
    <xdr:clientData/>
  </xdr:twoCellAnchor>
  <xdr:twoCellAnchor>
    <xdr:from>
      <xdr:col>5</xdr:col>
      <xdr:colOff>76200</xdr:colOff>
      <xdr:row>42</xdr:row>
      <xdr:rowOff>23813</xdr:rowOff>
    </xdr:from>
    <xdr:to>
      <xdr:col>10</xdr:col>
      <xdr:colOff>242888</xdr:colOff>
      <xdr:row>47</xdr:row>
      <xdr:rowOff>85725</xdr:rowOff>
    </xdr:to>
    <xdr:cxnSp macro="">
      <xdr:nvCxnSpPr>
        <xdr:cNvPr id="7" name="Shape 6"/>
        <xdr:cNvCxnSpPr>
          <a:stCxn id="4" idx="2"/>
          <a:endCxn id="2" idx="3"/>
        </xdr:cNvCxnSpPr>
      </xdr:nvCxnSpPr>
      <xdr:spPr>
        <a:xfrm rot="5400000" flipH="1">
          <a:off x="4667251" y="6757987"/>
          <a:ext cx="1014412" cy="3738563"/>
        </a:xfrm>
        <a:prstGeom prst="bentConnector4">
          <a:avLst>
            <a:gd name="adj1" fmla="val -22535"/>
            <a:gd name="adj2" fmla="val 5540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338138</xdr:colOff>
      <xdr:row>47</xdr:row>
      <xdr:rowOff>95250</xdr:rowOff>
    </xdr:from>
    <xdr:to>
      <xdr:col>6</xdr:col>
      <xdr:colOff>190500</xdr:colOff>
      <xdr:row>50</xdr:row>
      <xdr:rowOff>166688</xdr:rowOff>
    </xdr:to>
    <xdr:cxnSp macro="">
      <xdr:nvCxnSpPr>
        <xdr:cNvPr id="8" name="Shape 7"/>
        <xdr:cNvCxnSpPr>
          <a:stCxn id="2" idx="2"/>
          <a:endCxn id="6" idx="1"/>
        </xdr:cNvCxnSpPr>
      </xdr:nvCxnSpPr>
      <xdr:spPr>
        <a:xfrm rot="16200000" flipH="1">
          <a:off x="3071813" y="8829675"/>
          <a:ext cx="642938" cy="1271587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41</xdr:row>
      <xdr:rowOff>9525</xdr:rowOff>
    </xdr:from>
    <xdr:to>
      <xdr:col>13</xdr:col>
      <xdr:colOff>76200</xdr:colOff>
      <xdr:row>43</xdr:row>
      <xdr:rowOff>0</xdr:rowOff>
    </xdr:to>
    <xdr:sp macro="" textlink="">
      <xdr:nvSpPr>
        <xdr:cNvPr id="9" name="Oval 8"/>
        <xdr:cNvSpPr/>
      </xdr:nvSpPr>
      <xdr:spPr>
        <a:xfrm>
          <a:off x="8429625" y="7915275"/>
          <a:ext cx="56197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J6</a:t>
          </a:r>
        </a:p>
      </xdr:txBody>
    </xdr:sp>
    <xdr:clientData/>
  </xdr:twoCellAnchor>
  <xdr:twoCellAnchor>
    <xdr:from>
      <xdr:col>7</xdr:col>
      <xdr:colOff>466725</xdr:colOff>
      <xdr:row>43</xdr:row>
      <xdr:rowOff>0</xdr:rowOff>
    </xdr:from>
    <xdr:to>
      <xdr:col>12</xdr:col>
      <xdr:colOff>500063</xdr:colOff>
      <xdr:row>50</xdr:row>
      <xdr:rowOff>166688</xdr:rowOff>
    </xdr:to>
    <xdr:cxnSp macro="">
      <xdr:nvCxnSpPr>
        <xdr:cNvPr id="10" name="Shape 9"/>
        <xdr:cNvCxnSpPr>
          <a:stCxn id="6" idx="3"/>
          <a:endCxn id="9" idx="4"/>
        </xdr:cNvCxnSpPr>
      </xdr:nvCxnSpPr>
      <xdr:spPr>
        <a:xfrm flipV="1">
          <a:off x="4914900" y="8286750"/>
          <a:ext cx="3700463" cy="1500188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590551</xdr:colOff>
      <xdr:row>42</xdr:row>
      <xdr:rowOff>4762</xdr:rowOff>
    </xdr:from>
    <xdr:to>
      <xdr:col>12</xdr:col>
      <xdr:colOff>314326</xdr:colOff>
      <xdr:row>42</xdr:row>
      <xdr:rowOff>14287</xdr:rowOff>
    </xdr:to>
    <xdr:cxnSp macro="">
      <xdr:nvCxnSpPr>
        <xdr:cNvPr id="11" name="Shape 17"/>
        <xdr:cNvCxnSpPr>
          <a:stCxn id="9" idx="2"/>
          <a:endCxn id="4" idx="3"/>
        </xdr:cNvCxnSpPr>
      </xdr:nvCxnSpPr>
      <xdr:spPr>
        <a:xfrm rot="10800000" flipV="1">
          <a:off x="7391401" y="8101012"/>
          <a:ext cx="1038225" cy="9525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493714</xdr:colOff>
      <xdr:row>34</xdr:row>
      <xdr:rowOff>177799</xdr:rowOff>
    </xdr:from>
    <xdr:to>
      <xdr:col>12</xdr:col>
      <xdr:colOff>506414</xdr:colOff>
      <xdr:row>41</xdr:row>
      <xdr:rowOff>15874</xdr:rowOff>
    </xdr:to>
    <xdr:cxnSp macro="">
      <xdr:nvCxnSpPr>
        <xdr:cNvPr id="12" name="Shape 17"/>
        <xdr:cNvCxnSpPr>
          <a:stCxn id="5" idx="2"/>
          <a:endCxn id="9" idx="0"/>
        </xdr:cNvCxnSpPr>
      </xdr:nvCxnSpPr>
      <xdr:spPr>
        <a:xfrm rot="5400000">
          <a:off x="8029576" y="7329487"/>
          <a:ext cx="1171575" cy="1270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242889</xdr:colOff>
      <xdr:row>33</xdr:row>
      <xdr:rowOff>100013</xdr:rowOff>
    </xdr:from>
    <xdr:to>
      <xdr:col>12</xdr:col>
      <xdr:colOff>57151</xdr:colOff>
      <xdr:row>36</xdr:row>
      <xdr:rowOff>133350</xdr:rowOff>
    </xdr:to>
    <xdr:cxnSp macro="">
      <xdr:nvCxnSpPr>
        <xdr:cNvPr id="13" name="Shape 17"/>
        <xdr:cNvCxnSpPr>
          <a:stCxn id="4" idx="0"/>
          <a:endCxn id="5" idx="1"/>
        </xdr:cNvCxnSpPr>
      </xdr:nvCxnSpPr>
      <xdr:spPr>
        <a:xfrm rot="5400000" flipH="1" flipV="1">
          <a:off x="7305676" y="6219826"/>
          <a:ext cx="604837" cy="1128712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328613</xdr:colOff>
      <xdr:row>31</xdr:row>
      <xdr:rowOff>104775</xdr:rowOff>
    </xdr:from>
    <xdr:to>
      <xdr:col>4</xdr:col>
      <xdr:colOff>338138</xdr:colOff>
      <xdr:row>36</xdr:row>
      <xdr:rowOff>142875</xdr:rowOff>
    </xdr:to>
    <xdr:cxnSp macro="">
      <xdr:nvCxnSpPr>
        <xdr:cNvPr id="14" name="Shape 17"/>
        <xdr:cNvCxnSpPr>
          <a:stCxn id="2" idx="0"/>
          <a:endCxn id="3" idx="4"/>
        </xdr:cNvCxnSpPr>
      </xdr:nvCxnSpPr>
      <xdr:spPr>
        <a:xfrm rot="16200000" flipV="1">
          <a:off x="2257426" y="6596062"/>
          <a:ext cx="990600" cy="9525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42</xdr:row>
      <xdr:rowOff>9525</xdr:rowOff>
    </xdr:from>
    <xdr:to>
      <xdr:col>3</xdr:col>
      <xdr:colOff>600075</xdr:colOff>
      <xdr:row>42</xdr:row>
      <xdr:rowOff>23813</xdr:rowOff>
    </xdr:to>
    <xdr:cxnSp macro="">
      <xdr:nvCxnSpPr>
        <xdr:cNvPr id="15" name="Shape 17"/>
        <xdr:cNvCxnSpPr>
          <a:endCxn id="2" idx="1"/>
        </xdr:cNvCxnSpPr>
      </xdr:nvCxnSpPr>
      <xdr:spPr>
        <a:xfrm>
          <a:off x="1400175" y="8105775"/>
          <a:ext cx="1009650" cy="14288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30</xdr:row>
      <xdr:rowOff>109538</xdr:rowOff>
    </xdr:from>
    <xdr:to>
      <xdr:col>12</xdr:col>
      <xdr:colOff>500063</xdr:colOff>
      <xdr:row>32</xdr:row>
      <xdr:rowOff>28575</xdr:rowOff>
    </xdr:to>
    <xdr:cxnSp macro="">
      <xdr:nvCxnSpPr>
        <xdr:cNvPr id="16" name="Shape 17"/>
        <xdr:cNvCxnSpPr>
          <a:stCxn id="3" idx="6"/>
          <a:endCxn id="5" idx="0"/>
        </xdr:cNvCxnSpPr>
      </xdr:nvCxnSpPr>
      <xdr:spPr>
        <a:xfrm>
          <a:off x="2933700" y="5919788"/>
          <a:ext cx="5681663" cy="300037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323854</xdr:colOff>
      <xdr:row>26</xdr:row>
      <xdr:rowOff>47625</xdr:rowOff>
    </xdr:from>
    <xdr:to>
      <xdr:col>4</xdr:col>
      <xdr:colOff>328614</xdr:colOff>
      <xdr:row>29</xdr:row>
      <xdr:rowOff>114300</xdr:rowOff>
    </xdr:to>
    <xdr:cxnSp macro="">
      <xdr:nvCxnSpPr>
        <xdr:cNvPr id="17" name="Shape 17"/>
        <xdr:cNvCxnSpPr>
          <a:stCxn id="3" idx="0"/>
        </xdr:cNvCxnSpPr>
      </xdr:nvCxnSpPr>
      <xdr:spPr>
        <a:xfrm rot="16200000" flipV="1">
          <a:off x="2426496" y="5412583"/>
          <a:ext cx="638175" cy="476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19051</xdr:colOff>
      <xdr:row>26</xdr:row>
      <xdr:rowOff>66675</xdr:rowOff>
    </xdr:from>
    <xdr:to>
      <xdr:col>7</xdr:col>
      <xdr:colOff>23814</xdr:colOff>
      <xdr:row>49</xdr:row>
      <xdr:rowOff>95250</xdr:rowOff>
    </xdr:to>
    <xdr:cxnSp macro="">
      <xdr:nvCxnSpPr>
        <xdr:cNvPr id="18" name="Shape 17"/>
        <xdr:cNvCxnSpPr>
          <a:stCxn id="6" idx="0"/>
        </xdr:cNvCxnSpPr>
      </xdr:nvCxnSpPr>
      <xdr:spPr>
        <a:xfrm rot="16200000" flipV="1">
          <a:off x="2264570" y="7317581"/>
          <a:ext cx="4410075" cy="476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26</xdr:row>
      <xdr:rowOff>66675</xdr:rowOff>
    </xdr:from>
    <xdr:to>
      <xdr:col>14</xdr:col>
      <xdr:colOff>0</xdr:colOff>
      <xdr:row>33</xdr:row>
      <xdr:rowOff>100013</xdr:rowOff>
    </xdr:to>
    <xdr:cxnSp macro="">
      <xdr:nvCxnSpPr>
        <xdr:cNvPr id="19" name="Shape 17"/>
        <xdr:cNvCxnSpPr>
          <a:stCxn id="5" idx="3"/>
        </xdr:cNvCxnSpPr>
      </xdr:nvCxnSpPr>
      <xdr:spPr>
        <a:xfrm flipV="1">
          <a:off x="9248775" y="5114925"/>
          <a:ext cx="371475" cy="1366838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43</xdr:row>
      <xdr:rowOff>38100</xdr:rowOff>
    </xdr:from>
    <xdr:to>
      <xdr:col>3</xdr:col>
      <xdr:colOff>485775</xdr:colOff>
      <xdr:row>44</xdr:row>
      <xdr:rowOff>57150</xdr:rowOff>
    </xdr:to>
    <xdr:sp macro="" textlink="">
      <xdr:nvSpPr>
        <xdr:cNvPr id="20" name="Parallelogram 19"/>
        <xdr:cNvSpPr/>
      </xdr:nvSpPr>
      <xdr:spPr>
        <a:xfrm>
          <a:off x="1400175" y="8324850"/>
          <a:ext cx="895350" cy="2095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algn="ctr"/>
          <a:r>
            <a:rPr lang="en-US" sz="1000"/>
            <a:t>sour</a:t>
          </a:r>
          <a:r>
            <a:rPr lang="en-US" sz="1000" baseline="0"/>
            <a:t> gas</a:t>
          </a:r>
          <a:endParaRPr lang="en-US" sz="1000"/>
        </a:p>
      </xdr:txBody>
    </xdr:sp>
    <xdr:clientData/>
  </xdr:twoCellAnchor>
  <xdr:twoCellAnchor>
    <xdr:from>
      <xdr:col>2</xdr:col>
      <xdr:colOff>542926</xdr:colOff>
      <xdr:row>33</xdr:row>
      <xdr:rowOff>104775</xdr:rowOff>
    </xdr:from>
    <xdr:to>
      <xdr:col>4</xdr:col>
      <xdr:colOff>219076</xdr:colOff>
      <xdr:row>34</xdr:row>
      <xdr:rowOff>142875</xdr:rowOff>
    </xdr:to>
    <xdr:sp macro="" textlink="">
      <xdr:nvSpPr>
        <xdr:cNvPr id="21" name="Parallelogram 20"/>
        <xdr:cNvSpPr/>
      </xdr:nvSpPr>
      <xdr:spPr>
        <a:xfrm>
          <a:off x="1638301" y="6486525"/>
          <a:ext cx="1000125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abs ovhd</a:t>
          </a:r>
        </a:p>
      </xdr:txBody>
    </xdr:sp>
    <xdr:clientData/>
  </xdr:twoCellAnchor>
  <xdr:twoCellAnchor>
    <xdr:from>
      <xdr:col>2</xdr:col>
      <xdr:colOff>552451</xdr:colOff>
      <xdr:row>26</xdr:row>
      <xdr:rowOff>114300</xdr:rowOff>
    </xdr:from>
    <xdr:to>
      <xdr:col>4</xdr:col>
      <xdr:colOff>228601</xdr:colOff>
      <xdr:row>27</xdr:row>
      <xdr:rowOff>152400</xdr:rowOff>
    </xdr:to>
    <xdr:sp macro="" textlink="">
      <xdr:nvSpPr>
        <xdr:cNvPr id="22" name="Parallelogram 21"/>
        <xdr:cNvSpPr/>
      </xdr:nvSpPr>
      <xdr:spPr>
        <a:xfrm>
          <a:off x="1647826" y="5162550"/>
          <a:ext cx="1000125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treat gas</a:t>
          </a:r>
        </a:p>
      </xdr:txBody>
    </xdr:sp>
    <xdr:clientData/>
  </xdr:twoCellAnchor>
  <xdr:twoCellAnchor>
    <xdr:from>
      <xdr:col>8</xdr:col>
      <xdr:colOff>133351</xdr:colOff>
      <xdr:row>30</xdr:row>
      <xdr:rowOff>171450</xdr:rowOff>
    </xdr:from>
    <xdr:to>
      <xdr:col>9</xdr:col>
      <xdr:colOff>419101</xdr:colOff>
      <xdr:row>32</xdr:row>
      <xdr:rowOff>19050</xdr:rowOff>
    </xdr:to>
    <xdr:sp macro="" textlink="">
      <xdr:nvSpPr>
        <xdr:cNvPr id="23" name="Parallelogram 22"/>
        <xdr:cNvSpPr/>
      </xdr:nvSpPr>
      <xdr:spPr>
        <a:xfrm>
          <a:off x="5191126" y="5981700"/>
          <a:ext cx="1295400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bypass</a:t>
          </a:r>
        </a:p>
      </xdr:txBody>
    </xdr:sp>
    <xdr:clientData/>
  </xdr:twoCellAnchor>
  <xdr:twoCellAnchor>
    <xdr:from>
      <xdr:col>5</xdr:col>
      <xdr:colOff>266701</xdr:colOff>
      <xdr:row>26</xdr:row>
      <xdr:rowOff>114300</xdr:rowOff>
    </xdr:from>
    <xdr:to>
      <xdr:col>6</xdr:col>
      <xdr:colOff>552451</xdr:colOff>
      <xdr:row>27</xdr:row>
      <xdr:rowOff>152400</xdr:rowOff>
    </xdr:to>
    <xdr:sp macro="" textlink="">
      <xdr:nvSpPr>
        <xdr:cNvPr id="24" name="Parallelogram 23"/>
        <xdr:cNvSpPr/>
      </xdr:nvSpPr>
      <xdr:spPr>
        <a:xfrm>
          <a:off x="3495676" y="5162550"/>
          <a:ext cx="895350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fuel gas</a:t>
          </a:r>
        </a:p>
      </xdr:txBody>
    </xdr:sp>
    <xdr:clientData/>
  </xdr:twoCellAnchor>
  <xdr:twoCellAnchor>
    <xdr:from>
      <xdr:col>12</xdr:col>
      <xdr:colOff>219076</xdr:colOff>
      <xdr:row>26</xdr:row>
      <xdr:rowOff>114300</xdr:rowOff>
    </xdr:from>
    <xdr:to>
      <xdr:col>13</xdr:col>
      <xdr:colOff>504826</xdr:colOff>
      <xdr:row>27</xdr:row>
      <xdr:rowOff>152400</xdr:rowOff>
    </xdr:to>
    <xdr:sp macro="" textlink="">
      <xdr:nvSpPr>
        <xdr:cNvPr id="25" name="Parallelogram 24"/>
        <xdr:cNvSpPr/>
      </xdr:nvSpPr>
      <xdr:spPr>
        <a:xfrm>
          <a:off x="8334376" y="5162550"/>
          <a:ext cx="1085850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acid gas</a:t>
          </a:r>
        </a:p>
      </xdr:txBody>
    </xdr:sp>
    <xdr:clientData/>
  </xdr:twoCellAnchor>
  <xdr:twoCellAnchor>
    <xdr:from>
      <xdr:col>8</xdr:col>
      <xdr:colOff>114301</xdr:colOff>
      <xdr:row>34</xdr:row>
      <xdr:rowOff>38100</xdr:rowOff>
    </xdr:from>
    <xdr:to>
      <xdr:col>9</xdr:col>
      <xdr:colOff>400051</xdr:colOff>
      <xdr:row>35</xdr:row>
      <xdr:rowOff>76200</xdr:rowOff>
    </xdr:to>
    <xdr:sp macro="" textlink="">
      <xdr:nvSpPr>
        <xdr:cNvPr id="26" name="Parallelogram 25"/>
        <xdr:cNvSpPr/>
      </xdr:nvSpPr>
      <xdr:spPr>
        <a:xfrm>
          <a:off x="5172076" y="6610350"/>
          <a:ext cx="1295400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sep ovhd</a:t>
          </a:r>
        </a:p>
      </xdr:txBody>
    </xdr:sp>
    <xdr:clientData/>
  </xdr:twoCellAnchor>
  <xdr:twoCellAnchor>
    <xdr:from>
      <xdr:col>8</xdr:col>
      <xdr:colOff>47626</xdr:colOff>
      <xdr:row>47</xdr:row>
      <xdr:rowOff>0</xdr:rowOff>
    </xdr:from>
    <xdr:to>
      <xdr:col>9</xdr:col>
      <xdr:colOff>333376</xdr:colOff>
      <xdr:row>48</xdr:row>
      <xdr:rowOff>38100</xdr:rowOff>
    </xdr:to>
    <xdr:sp macro="" textlink="">
      <xdr:nvSpPr>
        <xdr:cNvPr id="27" name="Parallelogram 26"/>
        <xdr:cNvSpPr/>
      </xdr:nvSpPr>
      <xdr:spPr>
        <a:xfrm>
          <a:off x="5105401" y="9048750"/>
          <a:ext cx="1295400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lean</a:t>
          </a:r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 oil</a:t>
          </a:r>
          <a:endParaRPr 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104776</xdr:colOff>
      <xdr:row>43</xdr:row>
      <xdr:rowOff>28575</xdr:rowOff>
    </xdr:from>
    <xdr:to>
      <xdr:col>12</xdr:col>
      <xdr:colOff>390526</xdr:colOff>
      <xdr:row>44</xdr:row>
      <xdr:rowOff>66675</xdr:rowOff>
    </xdr:to>
    <xdr:sp macro="" textlink="">
      <xdr:nvSpPr>
        <xdr:cNvPr id="28" name="Parallelogram 27"/>
        <xdr:cNvSpPr/>
      </xdr:nvSpPr>
      <xdr:spPr>
        <a:xfrm>
          <a:off x="7610476" y="8315325"/>
          <a:ext cx="895350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recycle</a:t>
          </a:r>
        </a:p>
      </xdr:txBody>
    </xdr:sp>
    <xdr:clientData/>
  </xdr:twoCellAnchor>
  <xdr:twoCellAnchor>
    <xdr:from>
      <xdr:col>12</xdr:col>
      <xdr:colOff>571501</xdr:colOff>
      <xdr:row>36</xdr:row>
      <xdr:rowOff>171450</xdr:rowOff>
    </xdr:from>
    <xdr:to>
      <xdr:col>14</xdr:col>
      <xdr:colOff>247651</xdr:colOff>
      <xdr:row>38</xdr:row>
      <xdr:rowOff>19050</xdr:rowOff>
    </xdr:to>
    <xdr:sp macro="" textlink="">
      <xdr:nvSpPr>
        <xdr:cNvPr id="29" name="Parallelogram 28"/>
        <xdr:cNvSpPr/>
      </xdr:nvSpPr>
      <xdr:spPr>
        <a:xfrm>
          <a:off x="8686801" y="7124700"/>
          <a:ext cx="1181100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condensate</a:t>
          </a:r>
        </a:p>
      </xdr:txBody>
    </xdr:sp>
    <xdr:clientData/>
  </xdr:twoCellAnchor>
  <xdr:twoCellAnchor>
    <xdr:from>
      <xdr:col>8</xdr:col>
      <xdr:colOff>66676</xdr:colOff>
      <xdr:row>51</xdr:row>
      <xdr:rowOff>57150</xdr:rowOff>
    </xdr:from>
    <xdr:to>
      <xdr:col>9</xdr:col>
      <xdr:colOff>352426</xdr:colOff>
      <xdr:row>52</xdr:row>
      <xdr:rowOff>95250</xdr:rowOff>
    </xdr:to>
    <xdr:sp macro="" textlink="">
      <xdr:nvSpPr>
        <xdr:cNvPr id="30" name="Parallelogram 29"/>
        <xdr:cNvSpPr/>
      </xdr:nvSpPr>
      <xdr:spPr>
        <a:xfrm>
          <a:off x="5124451" y="9867900"/>
          <a:ext cx="1295400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fat oil</a:t>
          </a:r>
        </a:p>
      </xdr:txBody>
    </xdr:sp>
    <xdr:clientData/>
  </xdr:twoCellAnchor>
  <xdr:twoCellAnchor>
    <xdr:from>
      <xdr:col>4</xdr:col>
      <xdr:colOff>238126</xdr:colOff>
      <xdr:row>51</xdr:row>
      <xdr:rowOff>66675</xdr:rowOff>
    </xdr:from>
    <xdr:to>
      <xdr:col>5</xdr:col>
      <xdr:colOff>523876</xdr:colOff>
      <xdr:row>52</xdr:row>
      <xdr:rowOff>104775</xdr:rowOff>
    </xdr:to>
    <xdr:sp macro="" textlink="">
      <xdr:nvSpPr>
        <xdr:cNvPr id="31" name="Parallelogram 30"/>
        <xdr:cNvSpPr/>
      </xdr:nvSpPr>
      <xdr:spPr>
        <a:xfrm>
          <a:off x="2657476" y="9877425"/>
          <a:ext cx="1095375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abs btms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42</xdr:row>
      <xdr:rowOff>142875</xdr:rowOff>
    </xdr:from>
    <xdr:to>
      <xdr:col>5</xdr:col>
      <xdr:colOff>76200</xdr:colOff>
      <xdr:row>53</xdr:row>
      <xdr:rowOff>95250</xdr:rowOff>
    </xdr:to>
    <xdr:sp macro="" textlink="">
      <xdr:nvSpPr>
        <xdr:cNvPr id="2" name="Flowchart: Alternate Process 1"/>
        <xdr:cNvSpPr/>
      </xdr:nvSpPr>
      <xdr:spPr>
        <a:xfrm>
          <a:off x="2085975" y="8124825"/>
          <a:ext cx="1133475" cy="20478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T3</a:t>
          </a:r>
        </a:p>
      </xdr:txBody>
    </xdr:sp>
    <xdr:clientData/>
  </xdr:twoCellAnchor>
  <xdr:twoCellAnchor>
    <xdr:from>
      <xdr:col>4</xdr:col>
      <xdr:colOff>142875</xdr:colOff>
      <xdr:row>35</xdr:row>
      <xdr:rowOff>114300</xdr:rowOff>
    </xdr:from>
    <xdr:to>
      <xdr:col>4</xdr:col>
      <xdr:colOff>514350</xdr:colOff>
      <xdr:row>37</xdr:row>
      <xdr:rowOff>104775</xdr:rowOff>
    </xdr:to>
    <xdr:sp macro="" textlink="">
      <xdr:nvSpPr>
        <xdr:cNvPr id="3" name="Oval 2"/>
        <xdr:cNvSpPr/>
      </xdr:nvSpPr>
      <xdr:spPr>
        <a:xfrm>
          <a:off x="2228850" y="6762750"/>
          <a:ext cx="37147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sz="1100"/>
            <a:t>J4</a:t>
          </a:r>
        </a:p>
      </xdr:txBody>
    </xdr:sp>
    <xdr:clientData/>
  </xdr:twoCellAnchor>
  <xdr:twoCellAnchor>
    <xdr:from>
      <xdr:col>9</xdr:col>
      <xdr:colOff>504825</xdr:colOff>
      <xdr:row>42</xdr:row>
      <xdr:rowOff>133350</xdr:rowOff>
    </xdr:from>
    <xdr:to>
      <xdr:col>10</xdr:col>
      <xdr:colOff>590550</xdr:colOff>
      <xdr:row>53</xdr:row>
      <xdr:rowOff>85725</xdr:rowOff>
    </xdr:to>
    <xdr:sp macro="" textlink="">
      <xdr:nvSpPr>
        <xdr:cNvPr id="4" name="Flowchart: Alternate Process 3"/>
        <xdr:cNvSpPr/>
      </xdr:nvSpPr>
      <xdr:spPr>
        <a:xfrm>
          <a:off x="6867525" y="8115300"/>
          <a:ext cx="676275" cy="20478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T5</a:t>
          </a:r>
        </a:p>
      </xdr:txBody>
    </xdr:sp>
    <xdr:clientData/>
  </xdr:twoCellAnchor>
  <xdr:twoCellAnchor>
    <xdr:from>
      <xdr:col>12</xdr:col>
      <xdr:colOff>57150</xdr:colOff>
      <xdr:row>38</xdr:row>
      <xdr:rowOff>28575</xdr:rowOff>
    </xdr:from>
    <xdr:to>
      <xdr:col>13</xdr:col>
      <xdr:colOff>333375</xdr:colOff>
      <xdr:row>40</xdr:row>
      <xdr:rowOff>171450</xdr:rowOff>
    </xdr:to>
    <xdr:sp macro="" textlink="">
      <xdr:nvSpPr>
        <xdr:cNvPr id="5" name="Flowchart: Alternate Process 4"/>
        <xdr:cNvSpPr/>
      </xdr:nvSpPr>
      <xdr:spPr>
        <a:xfrm>
          <a:off x="8248650" y="7248525"/>
          <a:ext cx="1076325" cy="5238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D7</a:t>
          </a:r>
        </a:p>
      </xdr:txBody>
    </xdr:sp>
    <xdr:clientData/>
  </xdr:twoCellAnchor>
  <xdr:twoCellAnchor>
    <xdr:from>
      <xdr:col>6</xdr:col>
      <xdr:colOff>190500</xdr:colOff>
      <xdr:row>55</xdr:row>
      <xdr:rowOff>95250</xdr:rowOff>
    </xdr:from>
    <xdr:to>
      <xdr:col>7</xdr:col>
      <xdr:colOff>466725</xdr:colOff>
      <xdr:row>58</xdr:row>
      <xdr:rowOff>47625</xdr:rowOff>
    </xdr:to>
    <xdr:sp macro="" textlink="">
      <xdr:nvSpPr>
        <xdr:cNvPr id="6" name="Flowchart: Alternate Process 5"/>
        <xdr:cNvSpPr/>
      </xdr:nvSpPr>
      <xdr:spPr>
        <a:xfrm>
          <a:off x="4238625" y="10553700"/>
          <a:ext cx="885825" cy="5238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D4</a:t>
          </a:r>
        </a:p>
      </xdr:txBody>
    </xdr:sp>
    <xdr:clientData/>
  </xdr:twoCellAnchor>
  <xdr:twoCellAnchor>
    <xdr:from>
      <xdr:col>5</xdr:col>
      <xdr:colOff>76200</xdr:colOff>
      <xdr:row>48</xdr:row>
      <xdr:rowOff>23813</xdr:rowOff>
    </xdr:from>
    <xdr:to>
      <xdr:col>10</xdr:col>
      <xdr:colOff>242888</xdr:colOff>
      <xdr:row>53</xdr:row>
      <xdr:rowOff>85725</xdr:rowOff>
    </xdr:to>
    <xdr:cxnSp macro="">
      <xdr:nvCxnSpPr>
        <xdr:cNvPr id="7" name="Shape 6"/>
        <xdr:cNvCxnSpPr>
          <a:stCxn id="4" idx="2"/>
          <a:endCxn id="2" idx="3"/>
        </xdr:cNvCxnSpPr>
      </xdr:nvCxnSpPr>
      <xdr:spPr>
        <a:xfrm rot="5400000" flipH="1">
          <a:off x="4700588" y="7667625"/>
          <a:ext cx="1014412" cy="3976688"/>
        </a:xfrm>
        <a:prstGeom prst="bentConnector4">
          <a:avLst>
            <a:gd name="adj1" fmla="val -22535"/>
            <a:gd name="adj2" fmla="val 5540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338138</xdr:colOff>
      <xdr:row>53</xdr:row>
      <xdr:rowOff>95250</xdr:rowOff>
    </xdr:from>
    <xdr:to>
      <xdr:col>6</xdr:col>
      <xdr:colOff>190500</xdr:colOff>
      <xdr:row>56</xdr:row>
      <xdr:rowOff>166688</xdr:rowOff>
    </xdr:to>
    <xdr:cxnSp macro="">
      <xdr:nvCxnSpPr>
        <xdr:cNvPr id="8" name="Shape 7"/>
        <xdr:cNvCxnSpPr>
          <a:stCxn id="2" idx="2"/>
          <a:endCxn id="6" idx="1"/>
        </xdr:cNvCxnSpPr>
      </xdr:nvCxnSpPr>
      <xdr:spPr>
        <a:xfrm rot="16200000" flipH="1">
          <a:off x="3009900" y="9586913"/>
          <a:ext cx="642938" cy="1814512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47</xdr:row>
      <xdr:rowOff>9525</xdr:rowOff>
    </xdr:from>
    <xdr:to>
      <xdr:col>13</xdr:col>
      <xdr:colOff>76200</xdr:colOff>
      <xdr:row>49</xdr:row>
      <xdr:rowOff>0</xdr:rowOff>
    </xdr:to>
    <xdr:sp macro="" textlink="">
      <xdr:nvSpPr>
        <xdr:cNvPr id="9" name="Oval 8"/>
        <xdr:cNvSpPr/>
      </xdr:nvSpPr>
      <xdr:spPr>
        <a:xfrm>
          <a:off x="8505825" y="8943975"/>
          <a:ext cx="56197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J6</a:t>
          </a:r>
        </a:p>
      </xdr:txBody>
    </xdr:sp>
    <xdr:clientData/>
  </xdr:twoCellAnchor>
  <xdr:twoCellAnchor>
    <xdr:from>
      <xdr:col>7</xdr:col>
      <xdr:colOff>466725</xdr:colOff>
      <xdr:row>49</xdr:row>
      <xdr:rowOff>0</xdr:rowOff>
    </xdr:from>
    <xdr:to>
      <xdr:col>12</xdr:col>
      <xdr:colOff>500063</xdr:colOff>
      <xdr:row>56</xdr:row>
      <xdr:rowOff>166688</xdr:rowOff>
    </xdr:to>
    <xdr:cxnSp macro="">
      <xdr:nvCxnSpPr>
        <xdr:cNvPr id="10" name="Shape 9"/>
        <xdr:cNvCxnSpPr>
          <a:stCxn id="6" idx="3"/>
          <a:endCxn id="9" idx="4"/>
        </xdr:cNvCxnSpPr>
      </xdr:nvCxnSpPr>
      <xdr:spPr>
        <a:xfrm flipV="1">
          <a:off x="5124450" y="9315450"/>
          <a:ext cx="3567113" cy="1500188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590551</xdr:colOff>
      <xdr:row>48</xdr:row>
      <xdr:rowOff>4762</xdr:rowOff>
    </xdr:from>
    <xdr:to>
      <xdr:col>12</xdr:col>
      <xdr:colOff>314326</xdr:colOff>
      <xdr:row>48</xdr:row>
      <xdr:rowOff>14287</xdr:rowOff>
    </xdr:to>
    <xdr:cxnSp macro="">
      <xdr:nvCxnSpPr>
        <xdr:cNvPr id="11" name="Shape 17"/>
        <xdr:cNvCxnSpPr>
          <a:stCxn id="9" idx="2"/>
          <a:endCxn id="4" idx="3"/>
        </xdr:cNvCxnSpPr>
      </xdr:nvCxnSpPr>
      <xdr:spPr>
        <a:xfrm rot="10800000" flipV="1">
          <a:off x="7543801" y="9129712"/>
          <a:ext cx="962025" cy="9525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493714</xdr:colOff>
      <xdr:row>40</xdr:row>
      <xdr:rowOff>177799</xdr:rowOff>
    </xdr:from>
    <xdr:to>
      <xdr:col>12</xdr:col>
      <xdr:colOff>506414</xdr:colOff>
      <xdr:row>47</xdr:row>
      <xdr:rowOff>15874</xdr:rowOff>
    </xdr:to>
    <xdr:cxnSp macro="">
      <xdr:nvCxnSpPr>
        <xdr:cNvPr id="12" name="Shape 17"/>
        <xdr:cNvCxnSpPr>
          <a:stCxn id="5" idx="2"/>
          <a:endCxn id="9" idx="0"/>
        </xdr:cNvCxnSpPr>
      </xdr:nvCxnSpPr>
      <xdr:spPr>
        <a:xfrm rot="5400000">
          <a:off x="8105776" y="8358187"/>
          <a:ext cx="1171575" cy="1270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242889</xdr:colOff>
      <xdr:row>39</xdr:row>
      <xdr:rowOff>100013</xdr:rowOff>
    </xdr:from>
    <xdr:to>
      <xdr:col>12</xdr:col>
      <xdr:colOff>57151</xdr:colOff>
      <xdr:row>42</xdr:row>
      <xdr:rowOff>133350</xdr:rowOff>
    </xdr:to>
    <xdr:cxnSp macro="">
      <xdr:nvCxnSpPr>
        <xdr:cNvPr id="13" name="Shape 17"/>
        <xdr:cNvCxnSpPr>
          <a:stCxn id="4" idx="0"/>
          <a:endCxn id="5" idx="1"/>
        </xdr:cNvCxnSpPr>
      </xdr:nvCxnSpPr>
      <xdr:spPr>
        <a:xfrm rot="5400000" flipH="1" flipV="1">
          <a:off x="7419976" y="7286626"/>
          <a:ext cx="604837" cy="1052512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328613</xdr:colOff>
      <xdr:row>37</xdr:row>
      <xdr:rowOff>104775</xdr:rowOff>
    </xdr:from>
    <xdr:to>
      <xdr:col>4</xdr:col>
      <xdr:colOff>338138</xdr:colOff>
      <xdr:row>42</xdr:row>
      <xdr:rowOff>142875</xdr:rowOff>
    </xdr:to>
    <xdr:cxnSp macro="">
      <xdr:nvCxnSpPr>
        <xdr:cNvPr id="14" name="Shape 17"/>
        <xdr:cNvCxnSpPr>
          <a:stCxn id="2" idx="0"/>
          <a:endCxn id="3" idx="4"/>
        </xdr:cNvCxnSpPr>
      </xdr:nvCxnSpPr>
      <xdr:spPr>
        <a:xfrm rot="16200000" flipV="1">
          <a:off x="1924051" y="7624762"/>
          <a:ext cx="990600" cy="9525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48</xdr:row>
      <xdr:rowOff>9525</xdr:rowOff>
    </xdr:from>
    <xdr:to>
      <xdr:col>3</xdr:col>
      <xdr:colOff>600075</xdr:colOff>
      <xdr:row>48</xdr:row>
      <xdr:rowOff>23813</xdr:rowOff>
    </xdr:to>
    <xdr:cxnSp macro="">
      <xdr:nvCxnSpPr>
        <xdr:cNvPr id="15" name="Shape 17"/>
        <xdr:cNvCxnSpPr>
          <a:endCxn id="2" idx="1"/>
        </xdr:cNvCxnSpPr>
      </xdr:nvCxnSpPr>
      <xdr:spPr>
        <a:xfrm>
          <a:off x="1190625" y="9134475"/>
          <a:ext cx="895350" cy="14288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36</xdr:row>
      <xdr:rowOff>109538</xdr:rowOff>
    </xdr:from>
    <xdr:to>
      <xdr:col>12</xdr:col>
      <xdr:colOff>500063</xdr:colOff>
      <xdr:row>38</xdr:row>
      <xdr:rowOff>28575</xdr:rowOff>
    </xdr:to>
    <xdr:cxnSp macro="">
      <xdr:nvCxnSpPr>
        <xdr:cNvPr id="16" name="Shape 17"/>
        <xdr:cNvCxnSpPr>
          <a:stCxn id="3" idx="6"/>
          <a:endCxn id="5" idx="0"/>
        </xdr:cNvCxnSpPr>
      </xdr:nvCxnSpPr>
      <xdr:spPr>
        <a:xfrm>
          <a:off x="2600325" y="6948488"/>
          <a:ext cx="6091238" cy="300037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323854</xdr:colOff>
      <xdr:row>32</xdr:row>
      <xdr:rowOff>47625</xdr:rowOff>
    </xdr:from>
    <xdr:to>
      <xdr:col>4</xdr:col>
      <xdr:colOff>328614</xdr:colOff>
      <xdr:row>35</xdr:row>
      <xdr:rowOff>114300</xdr:rowOff>
    </xdr:to>
    <xdr:cxnSp macro="">
      <xdr:nvCxnSpPr>
        <xdr:cNvPr id="17" name="Shape 17"/>
        <xdr:cNvCxnSpPr>
          <a:stCxn id="3" idx="0"/>
        </xdr:cNvCxnSpPr>
      </xdr:nvCxnSpPr>
      <xdr:spPr>
        <a:xfrm rot="16200000" flipV="1">
          <a:off x="2093121" y="6441283"/>
          <a:ext cx="638175" cy="476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19051</xdr:colOff>
      <xdr:row>32</xdr:row>
      <xdr:rowOff>66675</xdr:rowOff>
    </xdr:from>
    <xdr:to>
      <xdr:col>7</xdr:col>
      <xdr:colOff>23814</xdr:colOff>
      <xdr:row>55</xdr:row>
      <xdr:rowOff>95250</xdr:rowOff>
    </xdr:to>
    <xdr:cxnSp macro="">
      <xdr:nvCxnSpPr>
        <xdr:cNvPr id="18" name="Shape 17"/>
        <xdr:cNvCxnSpPr>
          <a:stCxn id="6" idx="0"/>
        </xdr:cNvCxnSpPr>
      </xdr:nvCxnSpPr>
      <xdr:spPr>
        <a:xfrm rot="16200000" flipV="1">
          <a:off x="2474120" y="8346281"/>
          <a:ext cx="4410075" cy="476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32</xdr:row>
      <xdr:rowOff>66675</xdr:rowOff>
    </xdr:from>
    <xdr:to>
      <xdr:col>14</xdr:col>
      <xdr:colOff>0</xdr:colOff>
      <xdr:row>39</xdr:row>
      <xdr:rowOff>100013</xdr:rowOff>
    </xdr:to>
    <xdr:cxnSp macro="">
      <xdr:nvCxnSpPr>
        <xdr:cNvPr id="19" name="Shape 17"/>
        <xdr:cNvCxnSpPr>
          <a:stCxn id="5" idx="3"/>
        </xdr:cNvCxnSpPr>
      </xdr:nvCxnSpPr>
      <xdr:spPr>
        <a:xfrm flipV="1">
          <a:off x="9324975" y="6143625"/>
          <a:ext cx="371475" cy="1366838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49</xdr:row>
      <xdr:rowOff>38100</xdr:rowOff>
    </xdr:from>
    <xdr:to>
      <xdr:col>3</xdr:col>
      <xdr:colOff>485775</xdr:colOff>
      <xdr:row>50</xdr:row>
      <xdr:rowOff>57150</xdr:rowOff>
    </xdr:to>
    <xdr:sp macro="" textlink="">
      <xdr:nvSpPr>
        <xdr:cNvPr id="20" name="Parallelogram 19"/>
        <xdr:cNvSpPr/>
      </xdr:nvSpPr>
      <xdr:spPr>
        <a:xfrm>
          <a:off x="1190625" y="9353550"/>
          <a:ext cx="895350" cy="2095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algn="ctr"/>
          <a:r>
            <a:rPr lang="en-US" sz="1000"/>
            <a:t>sour</a:t>
          </a:r>
          <a:r>
            <a:rPr lang="en-US" sz="1000" baseline="0"/>
            <a:t> gas</a:t>
          </a:r>
          <a:endParaRPr lang="en-US" sz="1000"/>
        </a:p>
      </xdr:txBody>
    </xdr:sp>
    <xdr:clientData/>
  </xdr:twoCellAnchor>
  <xdr:twoCellAnchor>
    <xdr:from>
      <xdr:col>2</xdr:col>
      <xdr:colOff>542926</xdr:colOff>
      <xdr:row>39</xdr:row>
      <xdr:rowOff>104775</xdr:rowOff>
    </xdr:from>
    <xdr:to>
      <xdr:col>4</xdr:col>
      <xdr:colOff>219076</xdr:colOff>
      <xdr:row>40</xdr:row>
      <xdr:rowOff>142875</xdr:rowOff>
    </xdr:to>
    <xdr:sp macro="" textlink="">
      <xdr:nvSpPr>
        <xdr:cNvPr id="21" name="Parallelogram 20"/>
        <xdr:cNvSpPr/>
      </xdr:nvSpPr>
      <xdr:spPr>
        <a:xfrm>
          <a:off x="1428751" y="7515225"/>
          <a:ext cx="876300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abs ovhd</a:t>
          </a:r>
        </a:p>
      </xdr:txBody>
    </xdr:sp>
    <xdr:clientData/>
  </xdr:twoCellAnchor>
  <xdr:twoCellAnchor>
    <xdr:from>
      <xdr:col>2</xdr:col>
      <xdr:colOff>552451</xdr:colOff>
      <xdr:row>32</xdr:row>
      <xdr:rowOff>114300</xdr:rowOff>
    </xdr:from>
    <xdr:to>
      <xdr:col>4</xdr:col>
      <xdr:colOff>228601</xdr:colOff>
      <xdr:row>33</xdr:row>
      <xdr:rowOff>152400</xdr:rowOff>
    </xdr:to>
    <xdr:sp macro="" textlink="">
      <xdr:nvSpPr>
        <xdr:cNvPr id="22" name="Parallelogram 21"/>
        <xdr:cNvSpPr/>
      </xdr:nvSpPr>
      <xdr:spPr>
        <a:xfrm>
          <a:off x="1438276" y="6191250"/>
          <a:ext cx="876300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treat gas</a:t>
          </a:r>
        </a:p>
      </xdr:txBody>
    </xdr:sp>
    <xdr:clientData/>
  </xdr:twoCellAnchor>
  <xdr:twoCellAnchor>
    <xdr:from>
      <xdr:col>8</xdr:col>
      <xdr:colOff>133351</xdr:colOff>
      <xdr:row>36</xdr:row>
      <xdr:rowOff>171450</xdr:rowOff>
    </xdr:from>
    <xdr:to>
      <xdr:col>9</xdr:col>
      <xdr:colOff>419101</xdr:colOff>
      <xdr:row>38</xdr:row>
      <xdr:rowOff>19050</xdr:rowOff>
    </xdr:to>
    <xdr:sp macro="" textlink="">
      <xdr:nvSpPr>
        <xdr:cNvPr id="23" name="Parallelogram 22"/>
        <xdr:cNvSpPr/>
      </xdr:nvSpPr>
      <xdr:spPr>
        <a:xfrm>
          <a:off x="5400676" y="7010400"/>
          <a:ext cx="1381125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bypass</a:t>
          </a:r>
        </a:p>
      </xdr:txBody>
    </xdr:sp>
    <xdr:clientData/>
  </xdr:twoCellAnchor>
  <xdr:twoCellAnchor>
    <xdr:from>
      <xdr:col>5</xdr:col>
      <xdr:colOff>266701</xdr:colOff>
      <xdr:row>32</xdr:row>
      <xdr:rowOff>114300</xdr:rowOff>
    </xdr:from>
    <xdr:to>
      <xdr:col>6</xdr:col>
      <xdr:colOff>552451</xdr:colOff>
      <xdr:row>33</xdr:row>
      <xdr:rowOff>152400</xdr:rowOff>
    </xdr:to>
    <xdr:sp macro="" textlink="">
      <xdr:nvSpPr>
        <xdr:cNvPr id="24" name="Parallelogram 23"/>
        <xdr:cNvSpPr/>
      </xdr:nvSpPr>
      <xdr:spPr>
        <a:xfrm>
          <a:off x="3409951" y="6191250"/>
          <a:ext cx="1190625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fuel gas</a:t>
          </a:r>
        </a:p>
      </xdr:txBody>
    </xdr:sp>
    <xdr:clientData/>
  </xdr:twoCellAnchor>
  <xdr:twoCellAnchor>
    <xdr:from>
      <xdr:col>12</xdr:col>
      <xdr:colOff>219076</xdr:colOff>
      <xdr:row>32</xdr:row>
      <xdr:rowOff>114300</xdr:rowOff>
    </xdr:from>
    <xdr:to>
      <xdr:col>13</xdr:col>
      <xdr:colOff>504826</xdr:colOff>
      <xdr:row>33</xdr:row>
      <xdr:rowOff>152400</xdr:rowOff>
    </xdr:to>
    <xdr:sp macro="" textlink="">
      <xdr:nvSpPr>
        <xdr:cNvPr id="25" name="Parallelogram 24"/>
        <xdr:cNvSpPr/>
      </xdr:nvSpPr>
      <xdr:spPr>
        <a:xfrm>
          <a:off x="8410576" y="6191250"/>
          <a:ext cx="1085850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acid gas</a:t>
          </a:r>
        </a:p>
      </xdr:txBody>
    </xdr:sp>
    <xdr:clientData/>
  </xdr:twoCellAnchor>
  <xdr:twoCellAnchor>
    <xdr:from>
      <xdr:col>8</xdr:col>
      <xdr:colOff>114301</xdr:colOff>
      <xdr:row>40</xdr:row>
      <xdr:rowOff>38100</xdr:rowOff>
    </xdr:from>
    <xdr:to>
      <xdr:col>9</xdr:col>
      <xdr:colOff>400051</xdr:colOff>
      <xdr:row>41</xdr:row>
      <xdr:rowOff>76200</xdr:rowOff>
    </xdr:to>
    <xdr:sp macro="" textlink="">
      <xdr:nvSpPr>
        <xdr:cNvPr id="26" name="Parallelogram 25"/>
        <xdr:cNvSpPr/>
      </xdr:nvSpPr>
      <xdr:spPr>
        <a:xfrm>
          <a:off x="5381626" y="7639050"/>
          <a:ext cx="1381125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sep ovhd</a:t>
          </a:r>
        </a:p>
      </xdr:txBody>
    </xdr:sp>
    <xdr:clientData/>
  </xdr:twoCellAnchor>
  <xdr:twoCellAnchor>
    <xdr:from>
      <xdr:col>8</xdr:col>
      <xdr:colOff>47626</xdr:colOff>
      <xdr:row>53</xdr:row>
      <xdr:rowOff>0</xdr:rowOff>
    </xdr:from>
    <xdr:to>
      <xdr:col>9</xdr:col>
      <xdr:colOff>333376</xdr:colOff>
      <xdr:row>54</xdr:row>
      <xdr:rowOff>38100</xdr:rowOff>
    </xdr:to>
    <xdr:sp macro="" textlink="">
      <xdr:nvSpPr>
        <xdr:cNvPr id="27" name="Parallelogram 26"/>
        <xdr:cNvSpPr/>
      </xdr:nvSpPr>
      <xdr:spPr>
        <a:xfrm>
          <a:off x="5314951" y="10077450"/>
          <a:ext cx="1381125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lean</a:t>
          </a:r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 oil</a:t>
          </a:r>
          <a:endParaRPr 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104776</xdr:colOff>
      <xdr:row>49</xdr:row>
      <xdr:rowOff>28575</xdr:rowOff>
    </xdr:from>
    <xdr:to>
      <xdr:col>12</xdr:col>
      <xdr:colOff>390526</xdr:colOff>
      <xdr:row>50</xdr:row>
      <xdr:rowOff>66675</xdr:rowOff>
    </xdr:to>
    <xdr:sp macro="" textlink="">
      <xdr:nvSpPr>
        <xdr:cNvPr id="28" name="Parallelogram 27"/>
        <xdr:cNvSpPr/>
      </xdr:nvSpPr>
      <xdr:spPr>
        <a:xfrm>
          <a:off x="7753351" y="9344025"/>
          <a:ext cx="828675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recycle</a:t>
          </a:r>
        </a:p>
      </xdr:txBody>
    </xdr:sp>
    <xdr:clientData/>
  </xdr:twoCellAnchor>
  <xdr:twoCellAnchor>
    <xdr:from>
      <xdr:col>12</xdr:col>
      <xdr:colOff>571501</xdr:colOff>
      <xdr:row>42</xdr:row>
      <xdr:rowOff>171450</xdr:rowOff>
    </xdr:from>
    <xdr:to>
      <xdr:col>14</xdr:col>
      <xdr:colOff>247651</xdr:colOff>
      <xdr:row>44</xdr:row>
      <xdr:rowOff>19050</xdr:rowOff>
    </xdr:to>
    <xdr:sp macro="" textlink="">
      <xdr:nvSpPr>
        <xdr:cNvPr id="29" name="Parallelogram 28"/>
        <xdr:cNvSpPr/>
      </xdr:nvSpPr>
      <xdr:spPr>
        <a:xfrm>
          <a:off x="8763001" y="8153400"/>
          <a:ext cx="1181100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condensate</a:t>
          </a:r>
        </a:p>
      </xdr:txBody>
    </xdr:sp>
    <xdr:clientData/>
  </xdr:twoCellAnchor>
  <xdr:twoCellAnchor>
    <xdr:from>
      <xdr:col>8</xdr:col>
      <xdr:colOff>66676</xdr:colOff>
      <xdr:row>57</xdr:row>
      <xdr:rowOff>57150</xdr:rowOff>
    </xdr:from>
    <xdr:to>
      <xdr:col>9</xdr:col>
      <xdr:colOff>352426</xdr:colOff>
      <xdr:row>58</xdr:row>
      <xdr:rowOff>95250</xdr:rowOff>
    </xdr:to>
    <xdr:sp macro="" textlink="">
      <xdr:nvSpPr>
        <xdr:cNvPr id="30" name="Parallelogram 29"/>
        <xdr:cNvSpPr/>
      </xdr:nvSpPr>
      <xdr:spPr>
        <a:xfrm>
          <a:off x="5334001" y="10896600"/>
          <a:ext cx="1381125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fat oil</a:t>
          </a:r>
        </a:p>
      </xdr:txBody>
    </xdr:sp>
    <xdr:clientData/>
  </xdr:twoCellAnchor>
  <xdr:twoCellAnchor>
    <xdr:from>
      <xdr:col>4</xdr:col>
      <xdr:colOff>238126</xdr:colOff>
      <xdr:row>57</xdr:row>
      <xdr:rowOff>66675</xdr:rowOff>
    </xdr:from>
    <xdr:to>
      <xdr:col>5</xdr:col>
      <xdr:colOff>523876</xdr:colOff>
      <xdr:row>58</xdr:row>
      <xdr:rowOff>104775</xdr:rowOff>
    </xdr:to>
    <xdr:sp macro="" textlink="">
      <xdr:nvSpPr>
        <xdr:cNvPr id="31" name="Parallelogram 30"/>
        <xdr:cNvSpPr/>
      </xdr:nvSpPr>
      <xdr:spPr>
        <a:xfrm>
          <a:off x="2324101" y="10906125"/>
          <a:ext cx="1343025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abs btms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29</xdr:row>
      <xdr:rowOff>142875</xdr:rowOff>
    </xdr:from>
    <xdr:to>
      <xdr:col>5</xdr:col>
      <xdr:colOff>76200</xdr:colOff>
      <xdr:row>40</xdr:row>
      <xdr:rowOff>95250</xdr:rowOff>
    </xdr:to>
    <xdr:sp macro="" textlink="">
      <xdr:nvSpPr>
        <xdr:cNvPr id="2" name="Flowchart: Alternate Process 1"/>
        <xdr:cNvSpPr/>
      </xdr:nvSpPr>
      <xdr:spPr>
        <a:xfrm>
          <a:off x="2085975" y="5648325"/>
          <a:ext cx="1133475" cy="20478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T3</a:t>
          </a:r>
        </a:p>
      </xdr:txBody>
    </xdr:sp>
    <xdr:clientData/>
  </xdr:twoCellAnchor>
  <xdr:twoCellAnchor>
    <xdr:from>
      <xdr:col>4</xdr:col>
      <xdr:colOff>142875</xdr:colOff>
      <xdr:row>22</xdr:row>
      <xdr:rowOff>114300</xdr:rowOff>
    </xdr:from>
    <xdr:to>
      <xdr:col>4</xdr:col>
      <xdr:colOff>514350</xdr:colOff>
      <xdr:row>24</xdr:row>
      <xdr:rowOff>104775</xdr:rowOff>
    </xdr:to>
    <xdr:sp macro="" textlink="">
      <xdr:nvSpPr>
        <xdr:cNvPr id="3" name="Oval 2"/>
        <xdr:cNvSpPr/>
      </xdr:nvSpPr>
      <xdr:spPr>
        <a:xfrm>
          <a:off x="2228850" y="4286250"/>
          <a:ext cx="37147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sz="1100"/>
            <a:t>J4</a:t>
          </a:r>
        </a:p>
      </xdr:txBody>
    </xdr:sp>
    <xdr:clientData/>
  </xdr:twoCellAnchor>
  <xdr:twoCellAnchor>
    <xdr:from>
      <xdr:col>11</xdr:col>
      <xdr:colOff>504825</xdr:colOff>
      <xdr:row>29</xdr:row>
      <xdr:rowOff>133350</xdr:rowOff>
    </xdr:from>
    <xdr:to>
      <xdr:col>12</xdr:col>
      <xdr:colOff>590550</xdr:colOff>
      <xdr:row>40</xdr:row>
      <xdr:rowOff>85725</xdr:rowOff>
    </xdr:to>
    <xdr:sp macro="" textlink="">
      <xdr:nvSpPr>
        <xdr:cNvPr id="4" name="Flowchart: Alternate Process 3"/>
        <xdr:cNvSpPr/>
      </xdr:nvSpPr>
      <xdr:spPr>
        <a:xfrm>
          <a:off x="9077325" y="5638800"/>
          <a:ext cx="676275" cy="20478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T5</a:t>
          </a:r>
        </a:p>
      </xdr:txBody>
    </xdr:sp>
    <xdr:clientData/>
  </xdr:twoCellAnchor>
  <xdr:twoCellAnchor>
    <xdr:from>
      <xdr:col>14</xdr:col>
      <xdr:colOff>57150</xdr:colOff>
      <xdr:row>25</xdr:row>
      <xdr:rowOff>28575</xdr:rowOff>
    </xdr:from>
    <xdr:to>
      <xdr:col>15</xdr:col>
      <xdr:colOff>333375</xdr:colOff>
      <xdr:row>27</xdr:row>
      <xdr:rowOff>171450</xdr:rowOff>
    </xdr:to>
    <xdr:sp macro="" textlink="">
      <xdr:nvSpPr>
        <xdr:cNvPr id="5" name="Flowchart: Alternate Process 4"/>
        <xdr:cNvSpPr/>
      </xdr:nvSpPr>
      <xdr:spPr>
        <a:xfrm>
          <a:off x="10458450" y="4772025"/>
          <a:ext cx="1076325" cy="5238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D7</a:t>
          </a:r>
        </a:p>
      </xdr:txBody>
    </xdr:sp>
    <xdr:clientData/>
  </xdr:twoCellAnchor>
  <xdr:twoCellAnchor>
    <xdr:from>
      <xdr:col>8</xdr:col>
      <xdr:colOff>0</xdr:colOff>
      <xdr:row>42</xdr:row>
      <xdr:rowOff>95250</xdr:rowOff>
    </xdr:from>
    <xdr:to>
      <xdr:col>9</xdr:col>
      <xdr:colOff>466725</xdr:colOff>
      <xdr:row>45</xdr:row>
      <xdr:rowOff>47625</xdr:rowOff>
    </xdr:to>
    <xdr:sp macro="" textlink="">
      <xdr:nvSpPr>
        <xdr:cNvPr id="6" name="Flowchart: Alternate Process 5"/>
        <xdr:cNvSpPr/>
      </xdr:nvSpPr>
      <xdr:spPr>
        <a:xfrm>
          <a:off x="5981700" y="8077200"/>
          <a:ext cx="1076325" cy="5238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D4</a:t>
          </a:r>
        </a:p>
      </xdr:txBody>
    </xdr:sp>
    <xdr:clientData/>
  </xdr:twoCellAnchor>
  <xdr:twoCellAnchor>
    <xdr:from>
      <xdr:col>5</xdr:col>
      <xdr:colOff>76200</xdr:colOff>
      <xdr:row>35</xdr:row>
      <xdr:rowOff>23813</xdr:rowOff>
    </xdr:from>
    <xdr:to>
      <xdr:col>12</xdr:col>
      <xdr:colOff>242888</xdr:colOff>
      <xdr:row>40</xdr:row>
      <xdr:rowOff>85725</xdr:rowOff>
    </xdr:to>
    <xdr:cxnSp macro="">
      <xdr:nvCxnSpPr>
        <xdr:cNvPr id="7" name="Shape 6"/>
        <xdr:cNvCxnSpPr>
          <a:stCxn id="4" idx="2"/>
          <a:endCxn id="2" idx="3"/>
        </xdr:cNvCxnSpPr>
      </xdr:nvCxnSpPr>
      <xdr:spPr>
        <a:xfrm rot="5400000" flipH="1">
          <a:off x="5805488" y="4086225"/>
          <a:ext cx="1014412" cy="6186488"/>
        </a:xfrm>
        <a:prstGeom prst="bentConnector4">
          <a:avLst>
            <a:gd name="adj1" fmla="val -22535"/>
            <a:gd name="adj2" fmla="val 5540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338138</xdr:colOff>
      <xdr:row>40</xdr:row>
      <xdr:rowOff>95250</xdr:rowOff>
    </xdr:from>
    <xdr:to>
      <xdr:col>8</xdr:col>
      <xdr:colOff>0</xdr:colOff>
      <xdr:row>43</xdr:row>
      <xdr:rowOff>166688</xdr:rowOff>
    </xdr:to>
    <xdr:cxnSp macro="">
      <xdr:nvCxnSpPr>
        <xdr:cNvPr id="8" name="Shape 7"/>
        <xdr:cNvCxnSpPr>
          <a:stCxn id="2" idx="2"/>
          <a:endCxn id="6" idx="1"/>
        </xdr:cNvCxnSpPr>
      </xdr:nvCxnSpPr>
      <xdr:spPr>
        <a:xfrm rot="16200000" flipH="1">
          <a:off x="3881438" y="6238875"/>
          <a:ext cx="642938" cy="3557587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314325</xdr:colOff>
      <xdr:row>34</xdr:row>
      <xdr:rowOff>9525</xdr:rowOff>
    </xdr:from>
    <xdr:to>
      <xdr:col>15</xdr:col>
      <xdr:colOff>76200</xdr:colOff>
      <xdr:row>36</xdr:row>
      <xdr:rowOff>0</xdr:rowOff>
    </xdr:to>
    <xdr:sp macro="" textlink="">
      <xdr:nvSpPr>
        <xdr:cNvPr id="9" name="Oval 8"/>
        <xdr:cNvSpPr/>
      </xdr:nvSpPr>
      <xdr:spPr>
        <a:xfrm>
          <a:off x="10715625" y="6467475"/>
          <a:ext cx="56197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J6</a:t>
          </a:r>
        </a:p>
      </xdr:txBody>
    </xdr:sp>
    <xdr:clientData/>
  </xdr:twoCellAnchor>
  <xdr:twoCellAnchor>
    <xdr:from>
      <xdr:col>9</xdr:col>
      <xdr:colOff>466725</xdr:colOff>
      <xdr:row>36</xdr:row>
      <xdr:rowOff>0</xdr:rowOff>
    </xdr:from>
    <xdr:to>
      <xdr:col>14</xdr:col>
      <xdr:colOff>500063</xdr:colOff>
      <xdr:row>43</xdr:row>
      <xdr:rowOff>166688</xdr:rowOff>
    </xdr:to>
    <xdr:cxnSp macro="">
      <xdr:nvCxnSpPr>
        <xdr:cNvPr id="10" name="Shape 9"/>
        <xdr:cNvCxnSpPr>
          <a:stCxn id="6" idx="3"/>
          <a:endCxn id="9" idx="4"/>
        </xdr:cNvCxnSpPr>
      </xdr:nvCxnSpPr>
      <xdr:spPr>
        <a:xfrm flipV="1">
          <a:off x="7058025" y="6838950"/>
          <a:ext cx="3843338" cy="1500188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590551</xdr:colOff>
      <xdr:row>35</xdr:row>
      <xdr:rowOff>4762</xdr:rowOff>
    </xdr:from>
    <xdr:to>
      <xdr:col>14</xdr:col>
      <xdr:colOff>314326</xdr:colOff>
      <xdr:row>35</xdr:row>
      <xdr:rowOff>14287</xdr:rowOff>
    </xdr:to>
    <xdr:cxnSp macro="">
      <xdr:nvCxnSpPr>
        <xdr:cNvPr id="11" name="Shape 17"/>
        <xdr:cNvCxnSpPr>
          <a:stCxn id="9" idx="2"/>
          <a:endCxn id="4" idx="3"/>
        </xdr:cNvCxnSpPr>
      </xdr:nvCxnSpPr>
      <xdr:spPr>
        <a:xfrm rot="10800000" flipV="1">
          <a:off x="9753601" y="6653212"/>
          <a:ext cx="962025" cy="9525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493714</xdr:colOff>
      <xdr:row>27</xdr:row>
      <xdr:rowOff>177799</xdr:rowOff>
    </xdr:from>
    <xdr:to>
      <xdr:col>14</xdr:col>
      <xdr:colOff>506414</xdr:colOff>
      <xdr:row>34</xdr:row>
      <xdr:rowOff>15874</xdr:rowOff>
    </xdr:to>
    <xdr:cxnSp macro="">
      <xdr:nvCxnSpPr>
        <xdr:cNvPr id="12" name="Shape 17"/>
        <xdr:cNvCxnSpPr>
          <a:stCxn id="5" idx="2"/>
          <a:endCxn id="9" idx="0"/>
        </xdr:cNvCxnSpPr>
      </xdr:nvCxnSpPr>
      <xdr:spPr>
        <a:xfrm rot="5400000">
          <a:off x="10315576" y="5881687"/>
          <a:ext cx="1171575" cy="1270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242889</xdr:colOff>
      <xdr:row>26</xdr:row>
      <xdr:rowOff>100013</xdr:rowOff>
    </xdr:from>
    <xdr:to>
      <xdr:col>14</xdr:col>
      <xdr:colOff>57151</xdr:colOff>
      <xdr:row>29</xdr:row>
      <xdr:rowOff>133350</xdr:rowOff>
    </xdr:to>
    <xdr:cxnSp macro="">
      <xdr:nvCxnSpPr>
        <xdr:cNvPr id="13" name="Shape 17"/>
        <xdr:cNvCxnSpPr>
          <a:stCxn id="4" idx="0"/>
          <a:endCxn id="5" idx="1"/>
        </xdr:cNvCxnSpPr>
      </xdr:nvCxnSpPr>
      <xdr:spPr>
        <a:xfrm rot="5400000" flipH="1" flipV="1">
          <a:off x="9629776" y="4810126"/>
          <a:ext cx="604837" cy="1052512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328613</xdr:colOff>
      <xdr:row>24</xdr:row>
      <xdr:rowOff>104775</xdr:rowOff>
    </xdr:from>
    <xdr:to>
      <xdr:col>4</xdr:col>
      <xdr:colOff>338138</xdr:colOff>
      <xdr:row>29</xdr:row>
      <xdr:rowOff>142875</xdr:rowOff>
    </xdr:to>
    <xdr:cxnSp macro="">
      <xdr:nvCxnSpPr>
        <xdr:cNvPr id="14" name="Shape 17"/>
        <xdr:cNvCxnSpPr>
          <a:stCxn id="2" idx="0"/>
          <a:endCxn id="3" idx="4"/>
        </xdr:cNvCxnSpPr>
      </xdr:nvCxnSpPr>
      <xdr:spPr>
        <a:xfrm rot="16200000" flipV="1">
          <a:off x="1924051" y="5148262"/>
          <a:ext cx="990600" cy="9525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35</xdr:row>
      <xdr:rowOff>9525</xdr:rowOff>
    </xdr:from>
    <xdr:to>
      <xdr:col>3</xdr:col>
      <xdr:colOff>600075</xdr:colOff>
      <xdr:row>35</xdr:row>
      <xdr:rowOff>23813</xdr:rowOff>
    </xdr:to>
    <xdr:cxnSp macro="">
      <xdr:nvCxnSpPr>
        <xdr:cNvPr id="15" name="Shape 17"/>
        <xdr:cNvCxnSpPr>
          <a:endCxn id="2" idx="1"/>
        </xdr:cNvCxnSpPr>
      </xdr:nvCxnSpPr>
      <xdr:spPr>
        <a:xfrm>
          <a:off x="1190625" y="6657975"/>
          <a:ext cx="895350" cy="14288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23</xdr:row>
      <xdr:rowOff>109538</xdr:rowOff>
    </xdr:from>
    <xdr:to>
      <xdr:col>14</xdr:col>
      <xdr:colOff>500063</xdr:colOff>
      <xdr:row>25</xdr:row>
      <xdr:rowOff>28575</xdr:rowOff>
    </xdr:to>
    <xdr:cxnSp macro="">
      <xdr:nvCxnSpPr>
        <xdr:cNvPr id="16" name="Shape 17"/>
        <xdr:cNvCxnSpPr>
          <a:stCxn id="3" idx="6"/>
          <a:endCxn id="5" idx="0"/>
        </xdr:cNvCxnSpPr>
      </xdr:nvCxnSpPr>
      <xdr:spPr>
        <a:xfrm>
          <a:off x="2600325" y="4471988"/>
          <a:ext cx="8301038" cy="300037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323854</xdr:colOff>
      <xdr:row>19</xdr:row>
      <xdr:rowOff>47625</xdr:rowOff>
    </xdr:from>
    <xdr:to>
      <xdr:col>4</xdr:col>
      <xdr:colOff>328614</xdr:colOff>
      <xdr:row>22</xdr:row>
      <xdr:rowOff>114300</xdr:rowOff>
    </xdr:to>
    <xdr:cxnSp macro="">
      <xdr:nvCxnSpPr>
        <xdr:cNvPr id="17" name="Shape 17"/>
        <xdr:cNvCxnSpPr>
          <a:stCxn id="3" idx="0"/>
        </xdr:cNvCxnSpPr>
      </xdr:nvCxnSpPr>
      <xdr:spPr>
        <a:xfrm rot="16200000" flipV="1">
          <a:off x="2093121" y="3964783"/>
          <a:ext cx="638175" cy="476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19051</xdr:colOff>
      <xdr:row>19</xdr:row>
      <xdr:rowOff>66675</xdr:rowOff>
    </xdr:from>
    <xdr:to>
      <xdr:col>9</xdr:col>
      <xdr:colOff>23814</xdr:colOff>
      <xdr:row>42</xdr:row>
      <xdr:rowOff>95250</xdr:rowOff>
    </xdr:to>
    <xdr:cxnSp macro="">
      <xdr:nvCxnSpPr>
        <xdr:cNvPr id="18" name="Shape 17"/>
        <xdr:cNvCxnSpPr>
          <a:stCxn id="6" idx="0"/>
        </xdr:cNvCxnSpPr>
      </xdr:nvCxnSpPr>
      <xdr:spPr>
        <a:xfrm rot="16200000" flipV="1">
          <a:off x="4407695" y="5869781"/>
          <a:ext cx="4410075" cy="476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333375</xdr:colOff>
      <xdr:row>19</xdr:row>
      <xdr:rowOff>66675</xdr:rowOff>
    </xdr:from>
    <xdr:to>
      <xdr:col>16</xdr:col>
      <xdr:colOff>0</xdr:colOff>
      <xdr:row>26</xdr:row>
      <xdr:rowOff>100013</xdr:rowOff>
    </xdr:to>
    <xdr:cxnSp macro="">
      <xdr:nvCxnSpPr>
        <xdr:cNvPr id="19" name="Shape 17"/>
        <xdr:cNvCxnSpPr>
          <a:stCxn id="5" idx="3"/>
        </xdr:cNvCxnSpPr>
      </xdr:nvCxnSpPr>
      <xdr:spPr>
        <a:xfrm flipV="1">
          <a:off x="11534775" y="3667125"/>
          <a:ext cx="371475" cy="1366838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36</xdr:row>
      <xdr:rowOff>38100</xdr:rowOff>
    </xdr:from>
    <xdr:to>
      <xdr:col>3</xdr:col>
      <xdr:colOff>485775</xdr:colOff>
      <xdr:row>37</xdr:row>
      <xdr:rowOff>57150</xdr:rowOff>
    </xdr:to>
    <xdr:sp macro="" textlink="">
      <xdr:nvSpPr>
        <xdr:cNvPr id="20" name="Parallelogram 19"/>
        <xdr:cNvSpPr/>
      </xdr:nvSpPr>
      <xdr:spPr>
        <a:xfrm>
          <a:off x="1190625" y="6877050"/>
          <a:ext cx="895350" cy="2095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algn="ctr"/>
          <a:r>
            <a:rPr lang="en-US" sz="1000"/>
            <a:t>sour</a:t>
          </a:r>
          <a:r>
            <a:rPr lang="en-US" sz="1000" baseline="0"/>
            <a:t> gas</a:t>
          </a:r>
          <a:endParaRPr lang="en-US" sz="1000"/>
        </a:p>
      </xdr:txBody>
    </xdr:sp>
    <xdr:clientData/>
  </xdr:twoCellAnchor>
  <xdr:twoCellAnchor>
    <xdr:from>
      <xdr:col>2</xdr:col>
      <xdr:colOff>542926</xdr:colOff>
      <xdr:row>26</xdr:row>
      <xdr:rowOff>104775</xdr:rowOff>
    </xdr:from>
    <xdr:to>
      <xdr:col>4</xdr:col>
      <xdr:colOff>219076</xdr:colOff>
      <xdr:row>27</xdr:row>
      <xdr:rowOff>142875</xdr:rowOff>
    </xdr:to>
    <xdr:sp macro="" textlink="">
      <xdr:nvSpPr>
        <xdr:cNvPr id="21" name="Parallelogram 20"/>
        <xdr:cNvSpPr/>
      </xdr:nvSpPr>
      <xdr:spPr>
        <a:xfrm>
          <a:off x="1428751" y="5038725"/>
          <a:ext cx="876300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abs ovhd</a:t>
          </a:r>
        </a:p>
      </xdr:txBody>
    </xdr:sp>
    <xdr:clientData/>
  </xdr:twoCellAnchor>
  <xdr:twoCellAnchor>
    <xdr:from>
      <xdr:col>2</xdr:col>
      <xdr:colOff>552451</xdr:colOff>
      <xdr:row>19</xdr:row>
      <xdr:rowOff>114300</xdr:rowOff>
    </xdr:from>
    <xdr:to>
      <xdr:col>4</xdr:col>
      <xdr:colOff>228601</xdr:colOff>
      <xdr:row>20</xdr:row>
      <xdr:rowOff>152400</xdr:rowOff>
    </xdr:to>
    <xdr:sp macro="" textlink="">
      <xdr:nvSpPr>
        <xdr:cNvPr id="22" name="Parallelogram 21"/>
        <xdr:cNvSpPr/>
      </xdr:nvSpPr>
      <xdr:spPr>
        <a:xfrm>
          <a:off x="1438276" y="3714750"/>
          <a:ext cx="876300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treat gas</a:t>
          </a:r>
        </a:p>
      </xdr:txBody>
    </xdr:sp>
    <xdr:clientData/>
  </xdr:twoCellAnchor>
  <xdr:twoCellAnchor>
    <xdr:from>
      <xdr:col>10</xdr:col>
      <xdr:colOff>133351</xdr:colOff>
      <xdr:row>23</xdr:row>
      <xdr:rowOff>171450</xdr:rowOff>
    </xdr:from>
    <xdr:to>
      <xdr:col>11</xdr:col>
      <xdr:colOff>419101</xdr:colOff>
      <xdr:row>25</xdr:row>
      <xdr:rowOff>19050</xdr:rowOff>
    </xdr:to>
    <xdr:sp macro="" textlink="">
      <xdr:nvSpPr>
        <xdr:cNvPr id="23" name="Parallelogram 22"/>
        <xdr:cNvSpPr/>
      </xdr:nvSpPr>
      <xdr:spPr>
        <a:xfrm>
          <a:off x="7610476" y="4533900"/>
          <a:ext cx="1381125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bypass</a:t>
          </a:r>
        </a:p>
      </xdr:txBody>
    </xdr:sp>
    <xdr:clientData/>
  </xdr:twoCellAnchor>
  <xdr:twoCellAnchor>
    <xdr:from>
      <xdr:col>5</xdr:col>
      <xdr:colOff>266701</xdr:colOff>
      <xdr:row>19</xdr:row>
      <xdr:rowOff>114300</xdr:rowOff>
    </xdr:from>
    <xdr:to>
      <xdr:col>8</xdr:col>
      <xdr:colOff>0</xdr:colOff>
      <xdr:row>20</xdr:row>
      <xdr:rowOff>152400</xdr:rowOff>
    </xdr:to>
    <xdr:sp macro="" textlink="">
      <xdr:nvSpPr>
        <xdr:cNvPr id="24" name="Parallelogram 23"/>
        <xdr:cNvSpPr/>
      </xdr:nvSpPr>
      <xdr:spPr>
        <a:xfrm>
          <a:off x="3409951" y="3714750"/>
          <a:ext cx="2571749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fuel gas</a:t>
          </a:r>
        </a:p>
      </xdr:txBody>
    </xdr:sp>
    <xdr:clientData/>
  </xdr:twoCellAnchor>
  <xdr:twoCellAnchor>
    <xdr:from>
      <xdr:col>14</xdr:col>
      <xdr:colOff>219076</xdr:colOff>
      <xdr:row>19</xdr:row>
      <xdr:rowOff>114300</xdr:rowOff>
    </xdr:from>
    <xdr:to>
      <xdr:col>15</xdr:col>
      <xdr:colOff>504826</xdr:colOff>
      <xdr:row>20</xdr:row>
      <xdr:rowOff>152400</xdr:rowOff>
    </xdr:to>
    <xdr:sp macro="" textlink="">
      <xdr:nvSpPr>
        <xdr:cNvPr id="25" name="Parallelogram 24"/>
        <xdr:cNvSpPr/>
      </xdr:nvSpPr>
      <xdr:spPr>
        <a:xfrm>
          <a:off x="10620376" y="3714750"/>
          <a:ext cx="1085850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acid gas</a:t>
          </a:r>
        </a:p>
      </xdr:txBody>
    </xdr:sp>
    <xdr:clientData/>
  </xdr:twoCellAnchor>
  <xdr:twoCellAnchor>
    <xdr:from>
      <xdr:col>10</xdr:col>
      <xdr:colOff>114301</xdr:colOff>
      <xdr:row>27</xdr:row>
      <xdr:rowOff>38100</xdr:rowOff>
    </xdr:from>
    <xdr:to>
      <xdr:col>11</xdr:col>
      <xdr:colOff>400051</xdr:colOff>
      <xdr:row>28</xdr:row>
      <xdr:rowOff>76200</xdr:rowOff>
    </xdr:to>
    <xdr:sp macro="" textlink="">
      <xdr:nvSpPr>
        <xdr:cNvPr id="26" name="Parallelogram 25"/>
        <xdr:cNvSpPr/>
      </xdr:nvSpPr>
      <xdr:spPr>
        <a:xfrm>
          <a:off x="7591426" y="5162550"/>
          <a:ext cx="1381125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sep ovhd</a:t>
          </a:r>
        </a:p>
      </xdr:txBody>
    </xdr:sp>
    <xdr:clientData/>
  </xdr:twoCellAnchor>
  <xdr:twoCellAnchor>
    <xdr:from>
      <xdr:col>10</xdr:col>
      <xdr:colOff>47626</xdr:colOff>
      <xdr:row>40</xdr:row>
      <xdr:rowOff>0</xdr:rowOff>
    </xdr:from>
    <xdr:to>
      <xdr:col>11</xdr:col>
      <xdr:colOff>333376</xdr:colOff>
      <xdr:row>41</xdr:row>
      <xdr:rowOff>38100</xdr:rowOff>
    </xdr:to>
    <xdr:sp macro="" textlink="">
      <xdr:nvSpPr>
        <xdr:cNvPr id="27" name="Parallelogram 26"/>
        <xdr:cNvSpPr/>
      </xdr:nvSpPr>
      <xdr:spPr>
        <a:xfrm>
          <a:off x="7524751" y="7600950"/>
          <a:ext cx="1381125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lean</a:t>
          </a:r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 oil</a:t>
          </a:r>
          <a:endParaRPr 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104776</xdr:colOff>
      <xdr:row>36</xdr:row>
      <xdr:rowOff>28575</xdr:rowOff>
    </xdr:from>
    <xdr:to>
      <xdr:col>14</xdr:col>
      <xdr:colOff>390526</xdr:colOff>
      <xdr:row>37</xdr:row>
      <xdr:rowOff>66675</xdr:rowOff>
    </xdr:to>
    <xdr:sp macro="" textlink="">
      <xdr:nvSpPr>
        <xdr:cNvPr id="28" name="Parallelogram 27"/>
        <xdr:cNvSpPr/>
      </xdr:nvSpPr>
      <xdr:spPr>
        <a:xfrm>
          <a:off x="9963151" y="6867525"/>
          <a:ext cx="828675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t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recycle</a:t>
          </a:r>
        </a:p>
      </xdr:txBody>
    </xdr:sp>
    <xdr:clientData/>
  </xdr:twoCellAnchor>
  <xdr:twoCellAnchor>
    <xdr:from>
      <xdr:col>14</xdr:col>
      <xdr:colOff>571501</xdr:colOff>
      <xdr:row>29</xdr:row>
      <xdr:rowOff>171450</xdr:rowOff>
    </xdr:from>
    <xdr:to>
      <xdr:col>16</xdr:col>
      <xdr:colOff>247651</xdr:colOff>
      <xdr:row>31</xdr:row>
      <xdr:rowOff>19050</xdr:rowOff>
    </xdr:to>
    <xdr:sp macro="" textlink="">
      <xdr:nvSpPr>
        <xdr:cNvPr id="29" name="Parallelogram 28"/>
        <xdr:cNvSpPr/>
      </xdr:nvSpPr>
      <xdr:spPr>
        <a:xfrm>
          <a:off x="10972801" y="5676900"/>
          <a:ext cx="1181100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condensate</a:t>
          </a:r>
        </a:p>
      </xdr:txBody>
    </xdr:sp>
    <xdr:clientData/>
  </xdr:twoCellAnchor>
  <xdr:twoCellAnchor>
    <xdr:from>
      <xdr:col>10</xdr:col>
      <xdr:colOff>66676</xdr:colOff>
      <xdr:row>44</xdr:row>
      <xdr:rowOff>57150</xdr:rowOff>
    </xdr:from>
    <xdr:to>
      <xdr:col>11</xdr:col>
      <xdr:colOff>352426</xdr:colOff>
      <xdr:row>45</xdr:row>
      <xdr:rowOff>95250</xdr:rowOff>
    </xdr:to>
    <xdr:sp macro="" textlink="">
      <xdr:nvSpPr>
        <xdr:cNvPr id="30" name="Parallelogram 29"/>
        <xdr:cNvSpPr/>
      </xdr:nvSpPr>
      <xdr:spPr>
        <a:xfrm>
          <a:off x="7543801" y="8420100"/>
          <a:ext cx="1381125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fat oil</a:t>
          </a:r>
        </a:p>
      </xdr:txBody>
    </xdr:sp>
    <xdr:clientData/>
  </xdr:twoCellAnchor>
  <xdr:twoCellAnchor>
    <xdr:from>
      <xdr:col>4</xdr:col>
      <xdr:colOff>238126</xdr:colOff>
      <xdr:row>44</xdr:row>
      <xdr:rowOff>66675</xdr:rowOff>
    </xdr:from>
    <xdr:to>
      <xdr:col>5</xdr:col>
      <xdr:colOff>523876</xdr:colOff>
      <xdr:row>45</xdr:row>
      <xdr:rowOff>104775</xdr:rowOff>
    </xdr:to>
    <xdr:sp macro="" textlink="">
      <xdr:nvSpPr>
        <xdr:cNvPr id="31" name="Parallelogram 30"/>
        <xdr:cNvSpPr/>
      </xdr:nvSpPr>
      <xdr:spPr>
        <a:xfrm>
          <a:off x="2324101" y="8429625"/>
          <a:ext cx="1343025" cy="228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abs btms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L/AppData/Roaming/Microsoft/AddIns/Reconciliation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Inova8/Resolver/Reconciliation.xla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conciliation Report 1"/>
      <sheetName val="Reconciliation Report 2"/>
      <sheetName val="ResolverReservedData"/>
      <sheetName val="Simple Linear Problem"/>
      <sheetName val="Sheet2"/>
      <sheetName val="Sheet3"/>
      <sheetName val="Reconciliation"/>
    </sheetNames>
    <definedNames>
      <definedName name="Gaussian"/>
    </defined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definedNames>
      <definedName name="Gaussia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ass_balance@J_6" TargetMode="External"/><Relationship Id="rId7" Type="http://schemas.openxmlformats.org/officeDocument/2006/relationships/hyperlink" Target="mailto:mass_balance@world" TargetMode="External"/><Relationship Id="rId2" Type="http://schemas.openxmlformats.org/officeDocument/2006/relationships/hyperlink" Target="mailto:mass_balance@J_4" TargetMode="External"/><Relationship Id="rId1" Type="http://schemas.openxmlformats.org/officeDocument/2006/relationships/hyperlink" Target="mailto:mass_balance@D_2" TargetMode="External"/><Relationship Id="rId6" Type="http://schemas.openxmlformats.org/officeDocument/2006/relationships/hyperlink" Target="mailto:mass_balance@D_7" TargetMode="External"/><Relationship Id="rId5" Type="http://schemas.openxmlformats.org/officeDocument/2006/relationships/hyperlink" Target="mailto:mass_balance@T_3" TargetMode="External"/><Relationship Id="rId4" Type="http://schemas.openxmlformats.org/officeDocument/2006/relationships/hyperlink" Target="mailto:mass_balance@T_5" TargetMode="External"/><Relationship Id="rId9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mass_balance@J_6" TargetMode="External"/><Relationship Id="rId7" Type="http://schemas.openxmlformats.org/officeDocument/2006/relationships/hyperlink" Target="mailto:mass_balance@world" TargetMode="External"/><Relationship Id="rId2" Type="http://schemas.openxmlformats.org/officeDocument/2006/relationships/hyperlink" Target="mailto:mass_balance@J_4" TargetMode="External"/><Relationship Id="rId1" Type="http://schemas.openxmlformats.org/officeDocument/2006/relationships/hyperlink" Target="mailto:mass_balance@D_2" TargetMode="External"/><Relationship Id="rId6" Type="http://schemas.openxmlformats.org/officeDocument/2006/relationships/hyperlink" Target="mailto:mass_balance@D_7" TargetMode="External"/><Relationship Id="rId5" Type="http://schemas.openxmlformats.org/officeDocument/2006/relationships/hyperlink" Target="mailto:mass_balance@T_3" TargetMode="External"/><Relationship Id="rId4" Type="http://schemas.openxmlformats.org/officeDocument/2006/relationships/hyperlink" Target="mailto:mass_balance@T_5" TargetMode="External"/><Relationship Id="rId9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mass_balance@J_6" TargetMode="External"/><Relationship Id="rId7" Type="http://schemas.openxmlformats.org/officeDocument/2006/relationships/hyperlink" Target="mailto:mass_balance@world" TargetMode="External"/><Relationship Id="rId2" Type="http://schemas.openxmlformats.org/officeDocument/2006/relationships/hyperlink" Target="mailto:mass_balance@J_4" TargetMode="External"/><Relationship Id="rId1" Type="http://schemas.openxmlformats.org/officeDocument/2006/relationships/hyperlink" Target="mailto:mass_balance@D_2" TargetMode="External"/><Relationship Id="rId6" Type="http://schemas.openxmlformats.org/officeDocument/2006/relationships/hyperlink" Target="mailto:mass_balance@D_7" TargetMode="External"/><Relationship Id="rId5" Type="http://schemas.openxmlformats.org/officeDocument/2006/relationships/hyperlink" Target="mailto:mass_balance@T_3" TargetMode="External"/><Relationship Id="rId4" Type="http://schemas.openxmlformats.org/officeDocument/2006/relationships/hyperlink" Target="mailto:mass_balance@T_5" TargetMode="External"/><Relationship Id="rId9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0"/>
  <dimension ref="A1:G10"/>
  <sheetViews>
    <sheetView workbookViewId="0">
      <selection activeCell="E24" sqref="E24"/>
    </sheetView>
  </sheetViews>
  <sheetFormatPr defaultRowHeight="15"/>
  <cols>
    <col min="1" max="1" width="12.140625" customWidth="1"/>
  </cols>
  <sheetData>
    <row r="1" spans="1:7">
      <c r="A1" s="1" t="str">
        <f>'Ammonia Reconciliation Problem'!A1</f>
        <v>Ammonia Reconciliation Problem</v>
      </c>
      <c r="B1">
        <f>'Test1 Problem'!A1</f>
        <v>0</v>
      </c>
      <c r="C1" t="str">
        <f>'Large Nonlinear Problem'!A1</f>
        <v>Large Nonlinear problem</v>
      </c>
      <c r="D1">
        <f>'Simple Linear Problem'!A1</f>
        <v>0</v>
      </c>
      <c r="E1">
        <f>'TestNL4 Problem'!A1</f>
        <v>0</v>
      </c>
      <c r="F1">
        <f>'Simple  Mass Volume Problem'!A1</f>
        <v>0</v>
      </c>
      <c r="G1">
        <f>Bilinear!A1</f>
        <v>0</v>
      </c>
    </row>
    <row r="2" spans="1:7">
      <c r="A2">
        <f>$B$21</f>
        <v>0</v>
      </c>
      <c r="B2">
        <f>$K$18</f>
        <v>0</v>
      </c>
      <c r="C2" t="e">
        <f ca="1">'Large Nonlinear Problem'!$G$2</f>
        <v>#NAME?</v>
      </c>
      <c r="D2">
        <f>$C$14</f>
        <v>0</v>
      </c>
      <c r="E2">
        <f>'TestNL4 Problem'!$O$2</f>
        <v>1438.8269528568369</v>
      </c>
      <c r="F2">
        <f>$C$14</f>
        <v>0</v>
      </c>
      <c r="G2">
        <f>Bilinear!$H$2</f>
        <v>2758.9735149100434</v>
      </c>
    </row>
    <row r="3" spans="1:7">
      <c r="A3" t="e">
        <f ca="1">MIN($A$10)</f>
        <v>#NAME?</v>
      </c>
      <c r="B3" t="e">
        <f ca="1">MIN($B$7)</f>
        <v>#NAME?</v>
      </c>
      <c r="C3">
        <f>MIN(ResolverReservedData!$C$8)</f>
        <v>0.99125522844000447</v>
      </c>
      <c r="D3" t="e">
        <f ca="1">MIN($D$7)</f>
        <v>#NAME?</v>
      </c>
      <c r="E3">
        <f>MIN(ResolverReservedData!$E$7)</f>
        <v>1438.8269528568369</v>
      </c>
      <c r="F3" t="e">
        <f ca="1">MIN($F$7)</f>
        <v>#NAME?</v>
      </c>
      <c r="G3">
        <f>MIN(ResolverReservedData!$G$7)</f>
        <v>2758.9735149100434</v>
      </c>
    </row>
    <row r="4" spans="1:7">
      <c r="A4">
        <f ca="1">COUNT($C$4:$C$6,$C$8:$C$12,$G$4:$G$6,$G$8:$G$10,$K$4:$K$6,$K$8:$K$10,$O$6:$O$7)</f>
        <v>4</v>
      </c>
      <c r="B4">
        <f>COUNT($I$4:$I$15)</f>
        <v>0</v>
      </c>
      <c r="C4">
        <f>COUNT('Large Nonlinear Problem'!$C$316:$C$507,'Large Nonlinear Problem'!$C$510:$C$516)</f>
        <v>199</v>
      </c>
      <c r="D4">
        <f>COUNT($I$4:$I$15)</f>
        <v>0</v>
      </c>
      <c r="E4">
        <f>COUNT('TestNL4 Problem'!$I$3:$I$10)</f>
        <v>8</v>
      </c>
      <c r="F4">
        <f>COUNT($K$4:$K$15,$Q$4:$Q$15)</f>
        <v>0</v>
      </c>
      <c r="G4">
        <f>COUNT(Bilinear!$C$151:$C$387)</f>
        <v>237</v>
      </c>
    </row>
    <row r="5" spans="1:7">
      <c r="A5" t="b">
        <f t="array" ref="A5">$D$15:$D$19=$F$15:$F$19</f>
        <v>1</v>
      </c>
      <c r="B5" t="b">
        <f t="array" ref="B5">$C$4:$C$9=$E$4:$E$9</f>
        <v>0</v>
      </c>
      <c r="C5" t="b">
        <f t="array" ref="C5">'Large Nonlinear Problem'!$C$2:$C$97='Large Nonlinear Problem'!$E$2:$E$97</f>
        <v>1</v>
      </c>
      <c r="D5" t="b">
        <f t="array" ref="D5">$C$4:$C$9=$E$4:$E$9</f>
        <v>0</v>
      </c>
      <c r="E5" t="b">
        <f t="array" ref="E5">'TestNL4 Problem'!$C$3:$C$8='TestNL4 Problem'!$E$3:$E$8</f>
        <v>0</v>
      </c>
      <c r="F5" t="b">
        <f t="array" ref="F5">$C$4:$C$9=$E$4:$E$9</f>
        <v>0</v>
      </c>
      <c r="G5" t="b">
        <f t="array" ref="G5">Bilinear!$C$3:$C$148=Bilinear!$E$3:$E$148</f>
        <v>0</v>
      </c>
    </row>
    <row r="6" spans="1:7">
      <c r="A6" t="b">
        <f t="array" ref="A6">$H$15:$H$19=$J$15:$J$19</f>
        <v>1</v>
      </c>
      <c r="B6">
        <f>{100,100,0.000001,5,TRUE,TRUE,TRUE,1,1,1,0.0001,TRUE,FALSE}</f>
        <v>100</v>
      </c>
      <c r="C6" t="b">
        <f t="array" ref="C6">'Large Nonlinear Problem'!$C$100:$C$134='Large Nonlinear Problem'!$E$100:$E$134</f>
        <v>1</v>
      </c>
      <c r="D6">
        <f>{10,20,0.000001,5,TRUE,TRUE,TRUE,1,1,1,0.0001,FALSE,FALSE}</f>
        <v>10</v>
      </c>
      <c r="E6">
        <f>{1000,100,0.000001,5,TRUE,TRUE,TRUE,1,1,1,0.00000001,TRUE,TRUE}</f>
        <v>1000</v>
      </c>
      <c r="F6">
        <f>{10,20,0.000001,5,TRUE,TRUE,TRUE,1,1,1,0.0001,FALSE,FALSE}</f>
        <v>10</v>
      </c>
      <c r="G6">
        <f>{1000,100,0.000001,5,TRUE,TRUE,TRUE,1,1,1,0.00000001,FALSE,FALSE}</f>
        <v>1000</v>
      </c>
    </row>
    <row r="7" spans="1:7">
      <c r="A7" t="b">
        <f t="array" ref="A7">$L$15:$L$19=$N$15:$N$19</f>
        <v>1</v>
      </c>
      <c r="B7" t="e">
        <f ca="1">[1]!Gaussian($I$4:$I$15)</f>
        <v>#NAME?</v>
      </c>
      <c r="C7">
        <f>{10,100,0.000001,5,TRUE,TRUE,TRUE,1,1,1,0.00000001,FALSE,FALSE}</f>
        <v>10</v>
      </c>
      <c r="D7" t="e">
        <f ca="1">[1]!Gaussian($I$4:$I$15)</f>
        <v>#NAME?</v>
      </c>
      <c r="E7">
        <f>[2]!Gaussian('TestNL4 Problem'!$I$3:$I$10)</f>
        <v>1438.8269528568369</v>
      </c>
      <c r="F7" t="e">
        <f ca="1">[1]!Gaussian($K$4:$K$15,$Q$4:$Q$15)</f>
        <v>#NAME?</v>
      </c>
      <c r="G7">
        <f>[2]!Gaussian(Bilinear!$C$151:$C$387)</f>
        <v>2758.9735149100434</v>
      </c>
    </row>
    <row r="8" spans="1:7">
      <c r="A8" t="b">
        <f t="array" ref="A8">$P$16:$P$17=$R$16:$R$17</f>
        <v>1</v>
      </c>
      <c r="C8">
        <f>[2]!Gaussian('Large Nonlinear Problem'!$C$316:$C$507,'Large Nonlinear Problem'!$C$510:$C$516)</f>
        <v>0.99125522844000447</v>
      </c>
    </row>
    <row r="9" spans="1:7">
      <c r="A9">
        <f>{10,100,0.000001,5,TRUE,TRUE,TRUE,1,1,1,0.0001,FALSE,TRUE}</f>
        <v>10</v>
      </c>
      <c r="C9" t="e">
        <f ca="1">[1]!Gaussian($C$316:$C$507,$C$510:$C$516)</f>
        <v>#NAME?</v>
      </c>
    </row>
    <row r="10" spans="1:7">
      <c r="A10" t="e">
        <f ca="1">[1]!Gaussian($C$4:$C$6,$C$8:$C$12,$G$4:$G$6,$G$8:$G$10,$K$4:$K$6,$K$8:$K$10,$O$6:$O$7)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3"/>
  <dimension ref="A1:R28"/>
  <sheetViews>
    <sheetView workbookViewId="0">
      <selection activeCell="D23" sqref="D23"/>
    </sheetView>
  </sheetViews>
  <sheetFormatPr defaultRowHeight="15"/>
  <cols>
    <col min="1" max="1" width="2.28515625" customWidth="1"/>
    <col min="2" max="2" width="10.85546875" customWidth="1"/>
    <col min="3" max="3" width="4.5703125" customWidth="1"/>
    <col min="4" max="4" width="11.140625" customWidth="1"/>
    <col min="5" max="5" width="7" bestFit="1" customWidth="1"/>
    <col min="6" max="6" width="11.5703125" customWidth="1"/>
    <col min="7" max="7" width="4.42578125" customWidth="1"/>
    <col min="8" max="8" width="11.5703125" customWidth="1"/>
    <col min="9" max="9" width="5" bestFit="1" customWidth="1"/>
    <col min="11" max="11" width="3.85546875" customWidth="1"/>
    <col min="12" max="12" width="11.5703125" customWidth="1"/>
    <col min="13" max="13" width="6" bestFit="1" customWidth="1"/>
    <col min="14" max="14" width="11.42578125" customWidth="1"/>
    <col min="15" max="15" width="4" customWidth="1"/>
    <col min="16" max="16" width="8.85546875" customWidth="1"/>
    <col min="17" max="17" width="5" bestFit="1" customWidth="1"/>
    <col min="18" max="18" width="12.42578125" customWidth="1"/>
  </cols>
  <sheetData>
    <row r="1" spans="1:18">
      <c r="A1" s="2" t="s">
        <v>0</v>
      </c>
    </row>
    <row r="2" spans="1:18">
      <c r="A2" s="3" t="s">
        <v>1</v>
      </c>
      <c r="B2" s="4"/>
      <c r="C2" s="57" t="s">
        <v>2</v>
      </c>
      <c r="D2" s="57"/>
      <c r="E2" s="57"/>
      <c r="F2" s="57"/>
      <c r="G2" s="57" t="s">
        <v>3</v>
      </c>
      <c r="H2" s="57"/>
      <c r="I2" s="57"/>
      <c r="J2" s="57"/>
      <c r="K2" s="57" t="s">
        <v>4</v>
      </c>
      <c r="L2" s="57"/>
      <c r="M2" s="57"/>
      <c r="N2" s="57"/>
      <c r="O2" s="57" t="s">
        <v>5</v>
      </c>
      <c r="P2" s="57"/>
      <c r="Q2" s="57"/>
      <c r="R2" s="57"/>
    </row>
    <row r="3" spans="1:18">
      <c r="A3" s="5"/>
      <c r="B3" s="3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7</v>
      </c>
      <c r="P3" s="6" t="s">
        <v>8</v>
      </c>
      <c r="Q3" s="6" t="s">
        <v>9</v>
      </c>
      <c r="R3" s="6" t="s">
        <v>10</v>
      </c>
    </row>
    <row r="4" spans="1:18">
      <c r="A4" s="7"/>
      <c r="B4" s="4" t="s">
        <v>11</v>
      </c>
      <c r="C4" s="4">
        <f t="array" ref="C4">D4:F4</f>
        <v>31.696545913395415</v>
      </c>
      <c r="D4" s="4">
        <v>31.696545913395415</v>
      </c>
      <c r="E4" s="4">
        <v>0.3</v>
      </c>
      <c r="F4" s="4">
        <v>33</v>
      </c>
      <c r="G4" s="4">
        <f t="array" ref="G4">H4:J4</f>
        <v>94.998950814723599</v>
      </c>
      <c r="H4" s="4">
        <v>94.998950814723599</v>
      </c>
      <c r="I4" s="4">
        <v>0.89</v>
      </c>
      <c r="J4" s="4">
        <v>89</v>
      </c>
      <c r="K4" s="4">
        <f t="array" ref="K4">L4:N4</f>
        <v>0.40117963961021685</v>
      </c>
      <c r="L4" s="4">
        <v>0.40117963961021685</v>
      </c>
      <c r="M4" s="4">
        <v>4.0000000000000001E-3</v>
      </c>
      <c r="N4" s="4">
        <v>0.4</v>
      </c>
      <c r="O4" s="4">
        <f t="array" ref="O4">P4:R4</f>
        <v>0</v>
      </c>
      <c r="P4" s="4">
        <v>0</v>
      </c>
      <c r="Q4" s="4">
        <v>0</v>
      </c>
      <c r="R4" s="4">
        <v>0</v>
      </c>
    </row>
    <row r="5" spans="1:18">
      <c r="A5" s="7"/>
      <c r="B5" s="4" t="s">
        <v>12</v>
      </c>
      <c r="C5" s="4">
        <f t="array" ref="C5">D5:F5</f>
        <v>99.948143642901144</v>
      </c>
      <c r="D5" s="4">
        <v>99.948143642901144</v>
      </c>
      <c r="E5" s="4">
        <v>1</v>
      </c>
      <c r="F5" s="4">
        <v>101</v>
      </c>
      <c r="G5" s="4">
        <f t="array" ref="G5">H5:J5</f>
        <v>295.29152562324305</v>
      </c>
      <c r="H5" s="4">
        <v>295.29152562324305</v>
      </c>
      <c r="I5" s="4"/>
      <c r="J5" s="4"/>
      <c r="K5" s="4">
        <f t="array" ref="K5">L5:N5</f>
        <v>20.141083188155676</v>
      </c>
      <c r="L5" s="4">
        <v>20.141083188155676</v>
      </c>
      <c r="M5" s="4">
        <v>0.2</v>
      </c>
      <c r="N5" s="4">
        <v>20.2</v>
      </c>
      <c r="O5" s="4">
        <f t="array" ref="O5">P5:R5</f>
        <v>0</v>
      </c>
      <c r="P5" s="4">
        <v>0</v>
      </c>
      <c r="Q5" s="4">
        <v>0</v>
      </c>
      <c r="R5" s="4">
        <v>0</v>
      </c>
    </row>
    <row r="6" spans="1:18">
      <c r="A6" s="7"/>
      <c r="B6" s="4" t="s">
        <v>13</v>
      </c>
      <c r="C6" s="4">
        <f t="array" ref="C6">D6:F6</f>
        <v>69.638694242684295</v>
      </c>
      <c r="D6" s="4">
        <v>69.638694242684295</v>
      </c>
      <c r="E6" s="4">
        <v>0.69</v>
      </c>
      <c r="F6" s="4">
        <v>69</v>
      </c>
      <c r="G6" s="4">
        <f t="array" ref="G6">H6:J6</f>
        <v>204.36317742259254</v>
      </c>
      <c r="H6" s="4">
        <v>204.36317742259254</v>
      </c>
      <c r="I6" s="4"/>
      <c r="J6" s="4"/>
      <c r="K6" s="4">
        <f t="array" ref="K6">L6:N6</f>
        <v>20.141083188155676</v>
      </c>
      <c r="L6" s="4">
        <v>20.141083188155676</v>
      </c>
      <c r="M6" s="4"/>
      <c r="N6" s="4"/>
      <c r="O6" s="4">
        <f t="array" ref="O6">P6:R6</f>
        <v>60.618898800433705</v>
      </c>
      <c r="P6" s="4">
        <v>60.618898800433705</v>
      </c>
      <c r="Q6" s="4"/>
      <c r="R6" s="4"/>
    </row>
    <row r="7" spans="1:18">
      <c r="A7" s="7"/>
      <c r="B7" s="4" t="s">
        <v>14</v>
      </c>
      <c r="C7" s="4">
        <f t="array" ref="C7">D7:F7</f>
        <v>0</v>
      </c>
      <c r="D7" s="4">
        <v>0</v>
      </c>
      <c r="E7" s="4">
        <v>0</v>
      </c>
      <c r="F7" s="4">
        <v>0</v>
      </c>
      <c r="G7" s="4">
        <f t="array" ref="G7">H7:J7</f>
        <v>0</v>
      </c>
      <c r="H7" s="4">
        <v>0</v>
      </c>
      <c r="I7" s="4">
        <v>0</v>
      </c>
      <c r="J7" s="4">
        <v>0</v>
      </c>
      <c r="K7" s="4">
        <f t="array" ref="K7">L7:N7</f>
        <v>0</v>
      </c>
      <c r="L7" s="4">
        <v>0</v>
      </c>
      <c r="M7" s="4">
        <v>0</v>
      </c>
      <c r="N7" s="4">
        <v>0</v>
      </c>
      <c r="O7" s="4">
        <f t="array" ref="O7">P7:R7</f>
        <v>60.618898800433705</v>
      </c>
      <c r="P7" s="4">
        <v>60.618898800433705</v>
      </c>
      <c r="Q7" s="4">
        <v>0.62</v>
      </c>
      <c r="R7" s="4">
        <v>62</v>
      </c>
    </row>
    <row r="8" spans="1:18">
      <c r="A8" s="7"/>
      <c r="B8" s="4" t="s">
        <v>15</v>
      </c>
      <c r="C8" s="4">
        <f t="array" ref="C8">D8:F8</f>
        <v>69.638694242684295</v>
      </c>
      <c r="D8" s="4">
        <v>69.638694242684295</v>
      </c>
      <c r="E8" s="4"/>
      <c r="F8" s="4"/>
      <c r="G8" s="4">
        <f t="array" ref="G8">H8:J8</f>
        <v>204.36317742259254</v>
      </c>
      <c r="H8" s="4">
        <v>204.36317742259254</v>
      </c>
      <c r="I8" s="4">
        <v>2.0499999999999998</v>
      </c>
      <c r="J8" s="4">
        <v>205</v>
      </c>
      <c r="K8" s="4">
        <f t="array" ref="K8">L8:N8</f>
        <v>20.141083188155676</v>
      </c>
      <c r="L8" s="4">
        <v>20.141083188155676</v>
      </c>
      <c r="M8" s="4"/>
      <c r="N8" s="4"/>
      <c r="O8" s="4">
        <f t="array" ref="O8">P8:R8</f>
        <v>0</v>
      </c>
      <c r="P8" s="4">
        <v>0</v>
      </c>
      <c r="Q8" s="4">
        <v>0</v>
      </c>
      <c r="R8" s="4">
        <v>0</v>
      </c>
    </row>
    <row r="9" spans="1:18">
      <c r="A9" s="7"/>
      <c r="B9" s="4" t="s">
        <v>16</v>
      </c>
      <c r="C9" s="4">
        <f t="array" ref="C9">D9:F9</f>
        <v>1.3870965131785356</v>
      </c>
      <c r="D9" s="4">
        <v>1.3870965131785356</v>
      </c>
      <c r="E9" s="4"/>
      <c r="F9" s="4"/>
      <c r="G9" s="4">
        <f t="array" ref="G9">H9:J9</f>
        <v>4.0706026140730476</v>
      </c>
      <c r="H9" s="4">
        <v>4.0706026140730476</v>
      </c>
      <c r="I9" s="4"/>
      <c r="J9" s="4"/>
      <c r="K9" s="4">
        <f t="array" ref="K9">L9:N9</f>
        <v>0.40117963961021935</v>
      </c>
      <c r="L9" s="4">
        <v>0.40117963961021935</v>
      </c>
      <c r="M9" s="4"/>
      <c r="N9" s="4"/>
      <c r="O9" s="4">
        <f t="array" ref="O9">P9:R9</f>
        <v>0</v>
      </c>
      <c r="P9" s="4">
        <v>0</v>
      </c>
      <c r="Q9" s="4">
        <v>0</v>
      </c>
      <c r="R9" s="4">
        <v>0</v>
      </c>
    </row>
    <row r="10" spans="1:18">
      <c r="A10" s="7"/>
      <c r="B10" s="4" t="s">
        <v>17</v>
      </c>
      <c r="C10" s="4">
        <f t="array" ref="C10">D10:F10</f>
        <v>68.251597729505733</v>
      </c>
      <c r="D10" s="4">
        <v>68.251597729505733</v>
      </c>
      <c r="E10" s="4"/>
      <c r="F10" s="4"/>
      <c r="G10" s="4">
        <f t="array" ref="G10">H10:J10</f>
        <v>200.29257480851953</v>
      </c>
      <c r="H10" s="4">
        <v>200.29257480851953</v>
      </c>
      <c r="I10" s="4"/>
      <c r="J10" s="4"/>
      <c r="K10" s="4">
        <f t="array" ref="K10">L10:N10</f>
        <v>19.73990354854546</v>
      </c>
      <c r="L10" s="4">
        <v>19.73990354854546</v>
      </c>
      <c r="M10" s="4"/>
      <c r="N10" s="4"/>
      <c r="O10" s="4">
        <f t="array" ref="O10">P10:R10</f>
        <v>0</v>
      </c>
      <c r="P10" s="4">
        <v>0</v>
      </c>
      <c r="Q10" s="4">
        <v>0</v>
      </c>
      <c r="R10" s="4">
        <v>0</v>
      </c>
    </row>
    <row r="11" spans="1:18">
      <c r="A11" s="7"/>
      <c r="B11" s="4" t="s">
        <v>18</v>
      </c>
      <c r="C11" s="4">
        <f t="array" ref="C11">D11:F11</f>
        <v>30.309449400216852</v>
      </c>
      <c r="D11" s="4">
        <v>30.309449400216852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A12" s="7"/>
      <c r="B12" s="4" t="s">
        <v>19</v>
      </c>
      <c r="C12" s="4">
        <f t="array" ref="C12">D12:F12</f>
        <v>1.991847389246679E-2</v>
      </c>
      <c r="D12" s="4">
        <v>1.991847389246679E-2</v>
      </c>
      <c r="E12" s="4">
        <v>2.0000000000000001E-4</v>
      </c>
      <c r="F12" s="4">
        <v>0.02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>
      <c r="A14" s="3" t="s">
        <v>20</v>
      </c>
      <c r="B14" s="4"/>
      <c r="C14" s="58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60"/>
    </row>
    <row r="15" spans="1:18">
      <c r="A15" s="4"/>
      <c r="B15" s="4" t="s">
        <v>21</v>
      </c>
      <c r="C15" s="61"/>
      <c r="D15" s="4">
        <f>Stream1_N+Stream7_N</f>
        <v>99.948143642901144</v>
      </c>
      <c r="E15" s="12" t="s">
        <v>22</v>
      </c>
      <c r="F15" s="4">
        <f>Stream2_N</f>
        <v>99.948143642901144</v>
      </c>
      <c r="G15" s="61"/>
      <c r="H15" s="4">
        <f>Stream1_H+Stream7_H</f>
        <v>295.29152562324316</v>
      </c>
      <c r="I15" s="12" t="s">
        <v>22</v>
      </c>
      <c r="J15" s="4">
        <f>Stream2_H</f>
        <v>295.29152562324305</v>
      </c>
      <c r="K15" s="61"/>
      <c r="L15" s="4">
        <f>Stream1_A+Stream7_A</f>
        <v>20.141083188155676</v>
      </c>
      <c r="M15" s="12" t="s">
        <v>22</v>
      </c>
      <c r="N15" s="4">
        <f>Stream2_A</f>
        <v>20.141083188155676</v>
      </c>
      <c r="O15" s="61"/>
      <c r="P15" s="4"/>
      <c r="Q15" s="12"/>
      <c r="R15" s="4"/>
    </row>
    <row r="16" spans="1:18">
      <c r="A16" s="4"/>
      <c r="B16" s="4" t="s">
        <v>23</v>
      </c>
      <c r="C16" s="62"/>
      <c r="D16" s="4">
        <f>Stream2_N</f>
        <v>99.948143642901144</v>
      </c>
      <c r="E16" s="12" t="s">
        <v>22</v>
      </c>
      <c r="F16" s="4">
        <f>Stream3_N+ReactorEff</f>
        <v>99.948143642901144</v>
      </c>
      <c r="G16" s="62"/>
      <c r="H16" s="4">
        <f>Stream2_H</f>
        <v>295.29152562324305</v>
      </c>
      <c r="I16" s="12" t="s">
        <v>22</v>
      </c>
      <c r="J16" s="4">
        <f>Stream3_H+3*ReactorEff</f>
        <v>295.2915256232431</v>
      </c>
      <c r="K16" s="62"/>
      <c r="L16" s="4">
        <f>Stream2_A</f>
        <v>20.141083188155676</v>
      </c>
      <c r="M16" s="12" t="s">
        <v>22</v>
      </c>
      <c r="N16" s="4">
        <f>Stream3_A</f>
        <v>20.141083188155676</v>
      </c>
      <c r="O16" s="62"/>
      <c r="P16" s="4">
        <v>0</v>
      </c>
      <c r="Q16" s="12" t="s">
        <v>22</v>
      </c>
      <c r="R16" s="4">
        <f>Stream3_NH-2*ReactorEff</f>
        <v>0</v>
      </c>
    </row>
    <row r="17" spans="1:18">
      <c r="A17" s="4"/>
      <c r="B17" s="4" t="s">
        <v>24</v>
      </c>
      <c r="C17" s="62"/>
      <c r="D17" s="4">
        <f>Stream3_N</f>
        <v>69.638694242684295</v>
      </c>
      <c r="E17" s="12" t="s">
        <v>22</v>
      </c>
      <c r="F17" s="4">
        <f>Stream5_N</f>
        <v>69.638694242684295</v>
      </c>
      <c r="G17" s="62"/>
      <c r="H17" s="4">
        <f>Stream3_H</f>
        <v>204.36317742259254</v>
      </c>
      <c r="I17" s="12" t="s">
        <v>22</v>
      </c>
      <c r="J17" s="4">
        <f>Stream5_H</f>
        <v>204.36317742259254</v>
      </c>
      <c r="K17" s="62"/>
      <c r="L17" s="4">
        <f>Stream3_A</f>
        <v>20.141083188155676</v>
      </c>
      <c r="M17" s="12" t="s">
        <v>22</v>
      </c>
      <c r="N17" s="4">
        <f>Stream5_A</f>
        <v>20.141083188155676</v>
      </c>
      <c r="O17" s="62"/>
      <c r="P17" s="4">
        <f>Stream3_NH</f>
        <v>60.618898800433705</v>
      </c>
      <c r="Q17" s="12" t="s">
        <v>22</v>
      </c>
      <c r="R17" s="4">
        <f>Stream4_NH</f>
        <v>60.618898800433705</v>
      </c>
    </row>
    <row r="18" spans="1:18">
      <c r="A18" s="4"/>
      <c r="B18" s="4" t="s">
        <v>25</v>
      </c>
      <c r="C18" s="62"/>
      <c r="D18" s="4">
        <f>Stream5_N</f>
        <v>69.638694242684295</v>
      </c>
      <c r="E18" s="12" t="s">
        <v>22</v>
      </c>
      <c r="F18" s="4">
        <f>Stream6_N+Stream7_N</f>
        <v>69.638694242684267</v>
      </c>
      <c r="G18" s="62"/>
      <c r="H18" s="4">
        <f>Stream5_H</f>
        <v>204.36317742259254</v>
      </c>
      <c r="I18" s="12" t="s">
        <v>22</v>
      </c>
      <c r="J18" s="4">
        <f>Stream6_H+Stream7_H</f>
        <v>204.36317742259257</v>
      </c>
      <c r="K18" s="62"/>
      <c r="L18" s="4">
        <f>Stream5_A</f>
        <v>20.141083188155676</v>
      </c>
      <c r="M18" s="12" t="s">
        <v>22</v>
      </c>
      <c r="N18" s="4">
        <f>Stream6_A+Stream7_A</f>
        <v>20.14108318815568</v>
      </c>
      <c r="O18" s="62"/>
      <c r="P18" s="4"/>
      <c r="Q18" s="12"/>
      <c r="R18" s="4"/>
    </row>
    <row r="19" spans="1:18">
      <c r="A19" s="4"/>
      <c r="B19" s="4" t="s">
        <v>26</v>
      </c>
      <c r="C19" s="63"/>
      <c r="D19" s="4">
        <f>Stream6_N</f>
        <v>1.3870965131785356</v>
      </c>
      <c r="E19" s="12" t="s">
        <v>22</v>
      </c>
      <c r="F19" s="4">
        <f>SplitterEff*Stream5_N</f>
        <v>1.3870965131783846</v>
      </c>
      <c r="G19" s="63"/>
      <c r="H19" s="4">
        <f>Stream6_H</f>
        <v>4.0706026140730476</v>
      </c>
      <c r="I19" s="12" t="s">
        <v>22</v>
      </c>
      <c r="J19" s="4">
        <f>SplitterEff*Stream5_H</f>
        <v>4.0706026140734686</v>
      </c>
      <c r="K19" s="63"/>
      <c r="L19" s="4">
        <f>Stream6_A</f>
        <v>0.40117963961021935</v>
      </c>
      <c r="M19" s="12" t="s">
        <v>22</v>
      </c>
      <c r="N19" s="4">
        <f>SplitterEff*Stream5_A</f>
        <v>0.40117963964928061</v>
      </c>
      <c r="O19" s="63"/>
      <c r="P19" s="4"/>
      <c r="Q19" s="4"/>
      <c r="R19" s="4"/>
    </row>
    <row r="21" spans="1:18">
      <c r="B21" s="13" t="e">
        <f ca="1">MIN($B$28)</f>
        <v>#NAME?</v>
      </c>
    </row>
    <row r="22" spans="1:18">
      <c r="B22">
        <f>COUNT($C$4:$C$6,$C$8:$C$12,$G$4:$G$6,$G$8:$G$10,$K$4:$K$6,$K$8:$K$10,$O$6:$O$7)</f>
        <v>22</v>
      </c>
    </row>
    <row r="23" spans="1:18">
      <c r="B23" t="b">
        <f t="array" ref="B23">$D$15:$D$19=$F$15:$F$19</f>
        <v>1</v>
      </c>
    </row>
    <row r="24" spans="1:18">
      <c r="B24" t="b">
        <f t="array" ref="B24">$H$15:$H$19=$J$15:$J$19</f>
        <v>1</v>
      </c>
    </row>
    <row r="25" spans="1:18">
      <c r="B25" t="b">
        <f t="array" ref="B25">$L$15:$L$19=$N$15:$N$19</f>
        <v>1</v>
      </c>
    </row>
    <row r="26" spans="1:18">
      <c r="B26" t="b">
        <f t="array" ref="B26">$P$16:$P$17=$R$16:$R$17</f>
        <v>1</v>
      </c>
    </row>
    <row r="27" spans="1:18">
      <c r="B27">
        <f>{10,100,0.000001,5,TRUE,TRUE,TRUE,1,1,1,0.0001,TRUE,FALSE}</f>
        <v>10</v>
      </c>
      <c r="N27" s="14" t="s">
        <v>27</v>
      </c>
    </row>
    <row r="28" spans="1:18">
      <c r="B28" s="13" t="e">
        <f ca="1">[1]!Gaussian($C$4:$C$6,$C$8:$C$12,$G$4:$G$6,$G$8:$G$10,$K$4:$K$6,$K$8:$K$10,$O$6:$O$7)</f>
        <v>#NAME?</v>
      </c>
    </row>
  </sheetData>
  <mergeCells count="9">
    <mergeCell ref="C15:C19"/>
    <mergeCell ref="G15:G19"/>
    <mergeCell ref="K15:K19"/>
    <mergeCell ref="O15:O19"/>
    <mergeCell ref="C2:F2"/>
    <mergeCell ref="G2:J2"/>
    <mergeCell ref="K2:N2"/>
    <mergeCell ref="O2:R2"/>
    <mergeCell ref="C14:R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T39"/>
  <sheetViews>
    <sheetView topLeftCell="A7" workbookViewId="0">
      <selection activeCell="N22" sqref="N22"/>
    </sheetView>
  </sheetViews>
  <sheetFormatPr defaultRowHeight="15"/>
  <cols>
    <col min="1" max="1" width="4.85546875" customWidth="1"/>
    <col min="2" max="2" width="11.5703125" customWidth="1"/>
    <col min="3" max="3" width="10.7109375" customWidth="1"/>
    <col min="5" max="5" width="12.140625" customWidth="1"/>
    <col min="9" max="9" width="15.140625" customWidth="1"/>
    <col min="10" max="10" width="11" customWidth="1"/>
    <col min="11" max="11" width="10.5703125" customWidth="1"/>
    <col min="13" max="13" width="12" bestFit="1" customWidth="1"/>
    <col min="14" max="14" width="10.5703125" customWidth="1"/>
    <col min="17" max="17" width="12" bestFit="1" customWidth="1"/>
  </cols>
  <sheetData>
    <row r="1" spans="1:20">
      <c r="A1" s="2"/>
    </row>
    <row r="2" spans="1:20" ht="18.75">
      <c r="B2" s="64" t="s">
        <v>28</v>
      </c>
      <c r="C2" s="65"/>
      <c r="D2" s="65"/>
      <c r="E2" s="65"/>
      <c r="F2" s="66"/>
      <c r="H2" s="64" t="s">
        <v>29</v>
      </c>
      <c r="I2" s="65"/>
      <c r="J2" s="65"/>
      <c r="K2" s="65"/>
      <c r="L2" s="66"/>
    </row>
    <row r="3" spans="1:20" s="2" customFormat="1">
      <c r="B3" s="15" t="s">
        <v>30</v>
      </c>
      <c r="C3" s="15" t="s">
        <v>31</v>
      </c>
      <c r="D3" s="15" t="s">
        <v>32</v>
      </c>
      <c r="E3" s="15" t="s">
        <v>33</v>
      </c>
      <c r="F3" s="15" t="s">
        <v>34</v>
      </c>
      <c r="H3" s="2" t="s">
        <v>35</v>
      </c>
      <c r="I3" s="2" t="s">
        <v>36</v>
      </c>
      <c r="J3" s="15" t="s">
        <v>37</v>
      </c>
      <c r="K3" s="15" t="s">
        <v>38</v>
      </c>
      <c r="L3" s="15" t="s">
        <v>39</v>
      </c>
    </row>
    <row r="4" spans="1:20">
      <c r="B4" s="16" t="s">
        <v>40</v>
      </c>
      <c r="C4" s="17">
        <f>abs_btm</f>
        <v>1004.3319428744293</v>
      </c>
      <c r="D4" s="18" t="s">
        <v>22</v>
      </c>
      <c r="E4" s="19">
        <f xml:space="preserve"> fat_oil+fuel_gas</f>
        <v>1004.3319428744295</v>
      </c>
      <c r="F4" s="19" t="b">
        <f>(abs_btm = fat_oil + fuel_gas)</f>
        <v>1</v>
      </c>
      <c r="H4" s="17" t="s">
        <v>41</v>
      </c>
      <c r="I4" s="20">
        <f t="array" ref="I4">J4:L4</f>
        <v>94.864248705441156</v>
      </c>
      <c r="J4" s="20">
        <v>94.864248705441156</v>
      </c>
      <c r="K4" s="20"/>
      <c r="L4" s="20"/>
      <c r="Q4" s="21" t="s">
        <v>41</v>
      </c>
      <c r="R4" s="21">
        <v>94.883662505745136</v>
      </c>
      <c r="S4" s="21"/>
      <c r="T4" s="21"/>
    </row>
    <row r="5" spans="1:20">
      <c r="B5" s="16" t="s">
        <v>42</v>
      </c>
      <c r="C5" s="17">
        <f>abs_ovhd</f>
        <v>95.135751294558759</v>
      </c>
      <c r="D5" s="18" t="s">
        <v>22</v>
      </c>
      <c r="E5" s="19">
        <f>(bypass+treat_gas)</f>
        <v>95.135751294558702</v>
      </c>
      <c r="F5" s="19" t="b">
        <f>( abs_ovhd  - (bypass + treat_gas)  = 0)</f>
        <v>0</v>
      </c>
      <c r="H5" s="17" t="s">
        <v>43</v>
      </c>
      <c r="I5" s="20">
        <f t="array" ref="I5">J5:L5</f>
        <v>5.1357512945587125</v>
      </c>
      <c r="J5" s="20">
        <v>5.1357512945587125</v>
      </c>
      <c r="K5" s="20"/>
      <c r="L5" s="20"/>
      <c r="Q5" s="21" t="s">
        <v>43</v>
      </c>
      <c r="R5" s="21">
        <v>5.1163374942552302</v>
      </c>
      <c r="S5" s="21"/>
      <c r="T5" s="21"/>
    </row>
    <row r="6" spans="1:20">
      <c r="B6" s="16" t="s">
        <v>44</v>
      </c>
      <c r="C6" s="19">
        <f>D15</f>
        <v>1504.3319428744344</v>
      </c>
      <c r="D6" s="18" t="s">
        <v>22</v>
      </c>
      <c r="E6" s="19">
        <f>I7</f>
        <v>1504.3319428744342</v>
      </c>
      <c r="F6" s="19" t="b">
        <f>(condensate + fat_oil = recycle )</f>
        <v>1</v>
      </c>
      <c r="H6" s="17" t="s">
        <v>45</v>
      </c>
      <c r="I6" s="20">
        <f t="array" ref="I6">J6:L6</f>
        <v>1004.3319428744293</v>
      </c>
      <c r="J6" s="20">
        <v>1004.3319428744293</v>
      </c>
      <c r="K6" s="20"/>
      <c r="L6" s="20"/>
      <c r="Q6" s="21" t="s">
        <v>45</v>
      </c>
      <c r="R6" s="21">
        <v>1004.4274817617007</v>
      </c>
      <c r="S6" s="21"/>
      <c r="T6" s="21"/>
    </row>
    <row r="7" spans="1:20">
      <c r="B7" s="16" t="s">
        <v>46</v>
      </c>
      <c r="C7" s="19">
        <f>I8+ I11</f>
        <v>1504.3319428744342</v>
      </c>
      <c r="D7" s="18" t="s">
        <v>22</v>
      </c>
      <c r="E7" s="19">
        <f>I7</f>
        <v>1504.3319428744342</v>
      </c>
      <c r="F7" s="19" t="b">
        <f>(  lean_oil + sep_ovhd = recycle)</f>
        <v>1</v>
      </c>
      <c r="H7" s="17" t="s">
        <v>47</v>
      </c>
      <c r="I7" s="20">
        <f t="array" ref="I7">J7:L7</f>
        <v>1504.3319428744342</v>
      </c>
      <c r="J7" s="20">
        <v>1504.3319428744342</v>
      </c>
      <c r="K7" s="20">
        <v>140</v>
      </c>
      <c r="L7" s="20">
        <v>1400</v>
      </c>
      <c r="Q7" s="21" t="s">
        <v>47</v>
      </c>
      <c r="R7" s="21">
        <v>1504.4274817617058</v>
      </c>
      <c r="S7" s="21">
        <v>151.30000000000001</v>
      </c>
      <c r="T7" s="21">
        <v>1400</v>
      </c>
    </row>
    <row r="8" spans="1:20">
      <c r="B8" s="16" t="s">
        <v>48</v>
      </c>
      <c r="C8" s="19">
        <f>-(I8 + I12)</f>
        <v>-1099.4676941689881</v>
      </c>
      <c r="D8" s="18" t="s">
        <v>22</v>
      </c>
      <c r="E8" s="19">
        <f xml:space="preserve"> -(I6 + I9)</f>
        <v>-1099.4676941689881</v>
      </c>
      <c r="F8" s="19" t="b">
        <f>( lean_oil + sour_gas = (abs_btm + abs_ovhd) )</f>
        <v>1</v>
      </c>
      <c r="H8" s="17" t="s">
        <v>49</v>
      </c>
      <c r="I8" s="20">
        <f t="array" ref="I8">J8:L8</f>
        <v>999.46769416898803</v>
      </c>
      <c r="J8" s="20">
        <v>999.46769416898803</v>
      </c>
      <c r="K8" s="20">
        <v>10</v>
      </c>
      <c r="L8" s="20">
        <v>1000</v>
      </c>
      <c r="Q8" s="21" t="s">
        <v>49</v>
      </c>
      <c r="R8" s="21">
        <v>999.54381925595578</v>
      </c>
      <c r="S8" s="21">
        <v>10</v>
      </c>
      <c r="T8" s="21">
        <v>1000</v>
      </c>
    </row>
    <row r="9" spans="1:20">
      <c r="B9" s="16" t="s">
        <v>50</v>
      </c>
      <c r="C9" s="19">
        <f>I15 + I11</f>
        <v>594.86424870544613</v>
      </c>
      <c r="D9" s="18" t="s">
        <v>22</v>
      </c>
      <c r="E9" s="19">
        <f>D14</f>
        <v>594.86424870544613</v>
      </c>
      <c r="F9" s="19" t="b">
        <f>( bypass + sep_ovhd = acid_gas + condensate )</f>
        <v>1</v>
      </c>
      <c r="H9" s="17" t="s">
        <v>51</v>
      </c>
      <c r="I9" s="20">
        <f t="array" ref="I9">J9:L9</f>
        <v>95.135751294558759</v>
      </c>
      <c r="J9" s="20">
        <v>95.135751294558759</v>
      </c>
      <c r="K9" s="20"/>
      <c r="L9" s="20"/>
      <c r="Q9" s="21" t="s">
        <v>51</v>
      </c>
      <c r="R9" s="21">
        <v>95.116337494255234</v>
      </c>
      <c r="S9" s="21"/>
      <c r="T9" s="21"/>
    </row>
    <row r="10" spans="1:20">
      <c r="B10" s="16" t="s">
        <v>52</v>
      </c>
      <c r="C10" s="19">
        <f>sour_gas</f>
        <v>100</v>
      </c>
      <c r="D10" s="18" t="s">
        <v>22</v>
      </c>
      <c r="E10" s="17">
        <f xml:space="preserve"> (treat_gas + (acid_gas + fuel_gas))</f>
        <v>99.999999999999872</v>
      </c>
      <c r="F10" s="19" t="b">
        <f>(sour_gas= (treat_gas + acid_gas + fuel_gas))</f>
        <v>0</v>
      </c>
      <c r="H10" s="17" t="s">
        <v>53</v>
      </c>
      <c r="I10" s="20">
        <f t="array" ref="I10">J10:L10</f>
        <v>1004.3319428744295</v>
      </c>
      <c r="J10" s="20">
        <v>1004.3319428744295</v>
      </c>
      <c r="K10" s="20"/>
      <c r="L10" s="20"/>
      <c r="Q10" s="21" t="s">
        <v>53</v>
      </c>
      <c r="R10" s="21">
        <v>1004.4274817617007</v>
      </c>
      <c r="S10" s="21"/>
      <c r="T10" s="21"/>
    </row>
    <row r="11" spans="1:20">
      <c r="B11" s="22"/>
      <c r="H11" s="17" t="s">
        <v>54</v>
      </c>
      <c r="I11" s="20">
        <f t="array" ref="I11">J11:L11</f>
        <v>504.86424870544619</v>
      </c>
      <c r="J11" s="20">
        <v>504.86424870544619</v>
      </c>
      <c r="K11" s="20">
        <v>5.05</v>
      </c>
      <c r="L11" s="20">
        <v>505</v>
      </c>
      <c r="Q11" s="21" t="s">
        <v>54</v>
      </c>
      <c r="R11" s="21">
        <v>504.88366250575012</v>
      </c>
      <c r="S11" s="21">
        <v>5.05</v>
      </c>
      <c r="T11" s="21">
        <v>505</v>
      </c>
    </row>
    <row r="12" spans="1:20">
      <c r="B12" s="2" t="s">
        <v>55</v>
      </c>
      <c r="H12" s="17" t="s">
        <v>56</v>
      </c>
      <c r="I12" s="20">
        <f t="array" ref="I12">J12:L12</f>
        <v>100</v>
      </c>
      <c r="J12" s="20">
        <v>100</v>
      </c>
      <c r="K12" s="20">
        <v>1</v>
      </c>
      <c r="L12" s="20">
        <v>100</v>
      </c>
      <c r="Q12" s="21" t="s">
        <v>56</v>
      </c>
      <c r="R12" s="21">
        <v>99.999999999999986</v>
      </c>
      <c r="S12" s="21">
        <v>1</v>
      </c>
      <c r="T12" s="21">
        <v>100</v>
      </c>
    </row>
    <row r="13" spans="1:20">
      <c r="B13" s="22"/>
      <c r="C13" s="23"/>
      <c r="D13">
        <f>I14 + I10 -D16</f>
        <v>1485.3319428744344</v>
      </c>
      <c r="H13" s="17" t="s">
        <v>57</v>
      </c>
      <c r="I13" s="20">
        <f t="array" ref="I13">J13:L13</f>
        <v>0</v>
      </c>
      <c r="J13" s="20">
        <v>0</v>
      </c>
      <c r="K13" s="20">
        <v>1</v>
      </c>
      <c r="L13" s="20">
        <v>0</v>
      </c>
      <c r="Q13" s="21" t="s">
        <v>57</v>
      </c>
      <c r="R13" s="21">
        <v>0</v>
      </c>
      <c r="S13" s="21"/>
      <c r="T13" s="21"/>
    </row>
    <row r="14" spans="1:20">
      <c r="C14" s="23"/>
      <c r="D14">
        <f xml:space="preserve"> I4 + I14</f>
        <v>594.86424870544613</v>
      </c>
      <c r="H14" s="17" t="s">
        <v>58</v>
      </c>
      <c r="I14" s="20">
        <f t="array" ref="I14">J14:L14</f>
        <v>500.000000000005</v>
      </c>
      <c r="J14" s="20">
        <v>500.000000000005</v>
      </c>
      <c r="K14" s="20">
        <v>5</v>
      </c>
      <c r="L14" s="20">
        <v>500</v>
      </c>
      <c r="Q14" s="21" t="s">
        <v>58</v>
      </c>
      <c r="R14" s="21">
        <v>500.000000000005</v>
      </c>
      <c r="S14" s="21">
        <v>5</v>
      </c>
      <c r="T14" s="21">
        <v>500</v>
      </c>
    </row>
    <row r="15" spans="1:20">
      <c r="C15" s="23"/>
      <c r="D15">
        <f>D13 +D16</f>
        <v>1504.3319428744344</v>
      </c>
      <c r="H15" s="17" t="s">
        <v>59</v>
      </c>
      <c r="I15" s="20">
        <f t="array" ref="I15">J15:L15</f>
        <v>89.999999999999986</v>
      </c>
      <c r="J15" s="20">
        <v>89.999999999999986</v>
      </c>
      <c r="K15" s="20">
        <v>0.9</v>
      </c>
      <c r="L15" s="20">
        <v>90</v>
      </c>
      <c r="Q15" s="21" t="s">
        <v>59</v>
      </c>
      <c r="R15" s="21">
        <v>89.999999999999986</v>
      </c>
      <c r="S15" s="21">
        <v>0.9</v>
      </c>
      <c r="T15" s="21">
        <v>90</v>
      </c>
    </row>
    <row r="16" spans="1:20">
      <c r="C16" s="23"/>
      <c r="D16" s="22">
        <v>19</v>
      </c>
      <c r="L16" s="14"/>
      <c r="Q16" s="20"/>
      <c r="R16" s="20"/>
      <c r="S16" s="20"/>
      <c r="T16" s="20"/>
    </row>
    <row r="17" spans="1:19" ht="18.75">
      <c r="C17" s="24"/>
      <c r="M17" s="64" t="s">
        <v>60</v>
      </c>
      <c r="N17" s="66"/>
      <c r="P17" s="14"/>
    </row>
    <row r="18" spans="1:19">
      <c r="A18" s="14"/>
      <c r="C18" s="24"/>
      <c r="M18" s="2" t="s">
        <v>61</v>
      </c>
      <c r="N18" t="e">
        <f ca="1">MIN($N$22)</f>
        <v>#NAME?</v>
      </c>
    </row>
    <row r="19" spans="1:19">
      <c r="A19" s="14"/>
      <c r="C19" s="25"/>
      <c r="M19" s="2" t="s">
        <v>1</v>
      </c>
      <c r="N19">
        <f>COUNT($I$4:$I$15)</f>
        <v>12</v>
      </c>
      <c r="S19" s="14"/>
    </row>
    <row r="20" spans="1:19">
      <c r="A20" s="14"/>
      <c r="C20" s="25"/>
      <c r="M20" s="2" t="s">
        <v>20</v>
      </c>
      <c r="N20" t="b">
        <f t="array" ref="N20">$C$4:$C$9=$E$4:$E$9</f>
        <v>1</v>
      </c>
      <c r="P20" s="14"/>
      <c r="Q20" s="14"/>
    </row>
    <row r="21" spans="1:19">
      <c r="C21" s="24"/>
      <c r="M21" s="2" t="s">
        <v>62</v>
      </c>
      <c r="N21">
        <f>{100,100,0.000001,5,TRUE,TRUE,TRUE,1,1,1,0.0001,FALSE,FALSE}</f>
        <v>100</v>
      </c>
    </row>
    <row r="22" spans="1:19">
      <c r="C22" s="24"/>
      <c r="M22" s="2" t="s">
        <v>63</v>
      </c>
      <c r="N22" s="14" t="e">
        <f ca="1">[1]!Gaussian($I$4:$I$15)</f>
        <v>#NAME?</v>
      </c>
    </row>
    <row r="23" spans="1:19">
      <c r="C23" s="24"/>
    </row>
    <row r="24" spans="1:19">
      <c r="C24" s="25"/>
    </row>
    <row r="39" spans="11:11">
      <c r="K39" t="e">
        <f ca="1">[1]!Gaussian(K26:K37)</f>
        <v>#NAME?</v>
      </c>
    </row>
  </sheetData>
  <mergeCells count="3">
    <mergeCell ref="B2:F2"/>
    <mergeCell ref="H2:L2"/>
    <mergeCell ref="M17:N17"/>
  </mergeCells>
  <hyperlinks>
    <hyperlink ref="B4" r:id="rId1" display="mass_balance@D_2"/>
    <hyperlink ref="B5" r:id="rId2" display="mass_balance@J_4"/>
    <hyperlink ref="B6" r:id="rId3" display="mass_balance@J_6"/>
    <hyperlink ref="B7" r:id="rId4" display="mass_balance@T_5"/>
    <hyperlink ref="B8" r:id="rId5" display="mass_balance@T_3"/>
    <hyperlink ref="B9" r:id="rId6" display="mass_balance@D_7"/>
    <hyperlink ref="B10" r:id="rId7" display="mass_balance@world"/>
  </hyperlinks>
  <pageMargins left="0.7" right="0.7" top="0.75" bottom="0.75" header="0.3" footer="0.3"/>
  <pageSetup orientation="portrait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K516"/>
  <sheetViews>
    <sheetView topLeftCell="A10" workbookViewId="0">
      <selection activeCell="I5" sqref="I5"/>
    </sheetView>
  </sheetViews>
  <sheetFormatPr defaultRowHeight="15"/>
  <cols>
    <col min="1" max="1" width="62.7109375" customWidth="1"/>
    <col min="2" max="2" width="36" customWidth="1"/>
    <col min="3" max="3" width="9.7109375" customWidth="1"/>
    <col min="4" max="4" width="8.42578125" bestFit="1" customWidth="1"/>
    <col min="5" max="5" width="14.42578125" customWidth="1"/>
    <col min="6" max="6" width="13.5703125" bestFit="1" customWidth="1"/>
    <col min="7" max="7" width="12" bestFit="1" customWidth="1"/>
  </cols>
  <sheetData>
    <row r="1" spans="1:7">
      <c r="A1" t="s">
        <v>64</v>
      </c>
      <c r="B1" s="26" t="s">
        <v>65</v>
      </c>
      <c r="C1" s="2" t="s">
        <v>66</v>
      </c>
      <c r="D1" s="2" t="s">
        <v>32</v>
      </c>
      <c r="E1" s="2" t="s">
        <v>66</v>
      </c>
      <c r="F1" s="2"/>
      <c r="G1" s="2" t="s">
        <v>67</v>
      </c>
    </row>
    <row r="2" spans="1:7" ht="33.75">
      <c r="A2" s="27" t="s">
        <v>68</v>
      </c>
      <c r="B2" s="27" t="s">
        <v>69</v>
      </c>
      <c r="C2">
        <f>0</f>
        <v>0</v>
      </c>
      <c r="D2" s="14" t="s">
        <v>22</v>
      </c>
      <c r="E2">
        <f xml:space="preserve"> +ConcStorageTank1UnderflowStream_Mass+ConcStorageTank2UnderflowStream_Mass-PressureFilterFeedStream_Mass-SpillageReturnStream_Mass</f>
        <v>0</v>
      </c>
      <c r="G2" t="e">
        <f ca="1">MIN($G$8)</f>
        <v>#NAME?</v>
      </c>
    </row>
    <row r="3" spans="1:7" ht="56.25">
      <c r="A3" s="28" t="s">
        <v>70</v>
      </c>
      <c r="B3" s="28" t="s">
        <v>71</v>
      </c>
      <c r="C3">
        <f>0</f>
        <v>0</v>
      </c>
      <c r="D3" s="14" t="s">
        <v>22</v>
      </c>
      <c r="E3">
        <f xml:space="preserve"> ConcStorageTank1UnderflowStream_Mass * ConcStorageTank1UnderflowStream_Ag+ConcStorageTank2UnderflowStream_Mass * ConcStorageTank2UnderflowStream_Ag-PressureFilterFeedStream_Mass * PressureFilterFeedStream_Ag-SpillageReturnStream_Mass * SpillageReturnStream_Ag</f>
        <v>0</v>
      </c>
      <c r="G3">
        <f>COUNT($C$316:$C$507,$C$510:$C$516)</f>
        <v>199</v>
      </c>
    </row>
    <row r="4" spans="1:7" ht="56.25">
      <c r="A4" s="28" t="s">
        <v>72</v>
      </c>
      <c r="B4" s="28" t="s">
        <v>73</v>
      </c>
      <c r="C4">
        <f>0</f>
        <v>0</v>
      </c>
      <c r="D4" s="14" t="s">
        <v>22</v>
      </c>
      <c r="E4">
        <f>ConcStorageTank1UnderflowStream_Mass * ConcStorageTank1UnderflowStream_Au+ConcStorageTank2UnderflowStream_Mass * ConcStorageTank2UnderflowStream_Au-PressureFilterFeedStream_Mass * PressureFilterFeedStream_Au-SpillageReturnStream_Mass * SpillageReturnStream_Au</f>
        <v>-1.1102230246251565E-16</v>
      </c>
      <c r="G4" t="b">
        <f t="array" ref="G4">$C$2:$C$97=$E$2:$E$97</f>
        <v>1</v>
      </c>
    </row>
    <row r="5" spans="1:7" ht="56.25">
      <c r="A5" s="28" t="s">
        <v>74</v>
      </c>
      <c r="B5" s="28" t="s">
        <v>75</v>
      </c>
      <c r="C5">
        <f>0</f>
        <v>0</v>
      </c>
      <c r="D5" s="14" t="s">
        <v>22</v>
      </c>
      <c r="E5">
        <f>ConcStorageTank1UnderflowStream_Mass * ConcStorageTank1UnderflowStream_Cu+ConcStorageTank2UnderflowStream_Mass * ConcStorageTank2UnderflowStream_Cu-PressureFilterFeedStream_Mass * PressureFilterFeedStream_Cu-SpillageReturnStream_Mass * SpillageReturnStream_Cu</f>
        <v>0</v>
      </c>
      <c r="G5" t="b">
        <f t="array" ref="G5">$C$100:$C$134=$E$100:$E$134</f>
        <v>1</v>
      </c>
    </row>
    <row r="6" spans="1:7" ht="45">
      <c r="A6" s="28" t="s">
        <v>76</v>
      </c>
      <c r="B6" s="28" t="s">
        <v>77</v>
      </c>
      <c r="C6">
        <f>0</f>
        <v>0</v>
      </c>
      <c r="D6" s="14" t="s">
        <v>22</v>
      </c>
      <c r="E6">
        <f>ConcStorageTank1UnderflowStream_Mass * ConcStorageTank1UnderflowStream_F+ConcStorageTank2UnderflowStream_Mass * ConcStorageTank2UnderflowStream_F-PressureFilterFeedStream_Mass * PressureFilterFeedStream_F-SpillageReturnStream_Mass * SpillageReturnStream_F</f>
        <v>0</v>
      </c>
      <c r="G6" t="b">
        <f t="array" ref="G6">$C$139:$C$313&gt;=$E$139:$E$313</f>
        <v>1</v>
      </c>
    </row>
    <row r="7" spans="1:7" ht="56.25">
      <c r="A7" s="28" t="s">
        <v>78</v>
      </c>
      <c r="B7" s="28" t="s">
        <v>79</v>
      </c>
      <c r="C7">
        <f>0</f>
        <v>0</v>
      </c>
      <c r="D7" s="14" t="s">
        <v>22</v>
      </c>
      <c r="E7">
        <f>ConcStorageTank1UnderflowStream_Mass * ConcStorageTank1UnderflowStream_Fe+ConcStorageTank2UnderflowStream_Mass * ConcStorageTank2UnderflowStream_Fe-PressureFilterFeedStream_Mass * PressureFilterFeedStream_Fe-SpillageReturnStream_Mass * SpillageReturnStream_Fe</f>
        <v>0</v>
      </c>
      <c r="G7">
        <f>{1000,100,0.000001,5,TRUE,TRUE,TRUE,1,1,1,0.00000001,FALSE,FALSE}</f>
        <v>1000</v>
      </c>
    </row>
    <row r="8" spans="1:7" ht="56.25">
      <c r="A8" s="28" t="s">
        <v>80</v>
      </c>
      <c r="B8" s="28" t="s">
        <v>81</v>
      </c>
      <c r="C8">
        <f>0</f>
        <v>0</v>
      </c>
      <c r="D8" s="14" t="s">
        <v>22</v>
      </c>
      <c r="E8">
        <f>ConcStorageTank1UnderflowStream_Mass * ConcStorageTank1UnderflowStream_S+ConcStorageTank2UnderflowStream_Mass * ConcStorageTank2UnderflowStream_S-PressureFilterFeedStream_Mass * PressureFilterFeedStream_S-SpillageReturnStream_Mass * SpillageReturnStream_S</f>
        <v>0</v>
      </c>
      <c r="G8" t="e">
        <f ca="1">[1]!Gaussian($C$316:$C$507,$C$510:$C$516)</f>
        <v>#NAME?</v>
      </c>
    </row>
    <row r="9" spans="1:7" ht="56.25">
      <c r="A9" s="28" t="s">
        <v>82</v>
      </c>
      <c r="B9" s="28" t="s">
        <v>83</v>
      </c>
      <c r="C9">
        <f>0</f>
        <v>0</v>
      </c>
      <c r="D9" s="14" t="s">
        <v>22</v>
      </c>
      <c r="E9">
        <f>ConcStorageTank1UnderflowStream_Mass * ConcStorageTank1UnderflowStream_U+ConcStorageTank2UnderflowStream_Mass * ConcStorageTank2UnderflowStream_U-PressureFilterFeedStream_Mass * PressureFilterFeedStream_U-SpillageReturnStream_Mass * SpillageReturnStream_U</f>
        <v>0</v>
      </c>
    </row>
    <row r="10" spans="1:7" ht="22.5">
      <c r="A10" s="27" t="s">
        <v>84</v>
      </c>
      <c r="B10" s="27" t="s">
        <v>85</v>
      </c>
      <c r="C10">
        <f>0</f>
        <v>0</v>
      </c>
      <c r="D10" s="14" t="s">
        <v>22</v>
      </c>
      <c r="E10">
        <f xml:space="preserve"> +PressureFilterFeedStream_Mass-PressureFilterUnderflowStream_Mass</f>
        <v>0</v>
      </c>
    </row>
    <row r="11" spans="1:7" ht="33.75">
      <c r="A11" s="27" t="s">
        <v>86</v>
      </c>
      <c r="B11" s="27" t="s">
        <v>87</v>
      </c>
      <c r="C11">
        <f>0</f>
        <v>0</v>
      </c>
      <c r="D11" s="14" t="s">
        <v>22</v>
      </c>
      <c r="E11">
        <f xml:space="preserve"> +(PressureFilterFeedStream_Mass * PressureFilterFeedStream_Ag)-(PressureFilterUnderflowStream_Mass * PressureFilterUnderflowStream_Ag)</f>
        <v>0</v>
      </c>
    </row>
    <row r="12" spans="1:7" ht="33.75">
      <c r="A12" s="27" t="s">
        <v>88</v>
      </c>
      <c r="B12" s="27" t="s">
        <v>89</v>
      </c>
      <c r="C12">
        <f>0</f>
        <v>0</v>
      </c>
      <c r="D12" s="14" t="s">
        <v>22</v>
      </c>
      <c r="E12">
        <f xml:space="preserve"> +(PressureFilterFeedStream_Mass * PressureFilterFeedStream_Au)-(PressureFilterUnderflowStream_Mass * PressureFilterUnderflowStream_Au)</f>
        <v>0</v>
      </c>
    </row>
    <row r="13" spans="1:7" ht="33.75">
      <c r="A13" s="27" t="s">
        <v>90</v>
      </c>
      <c r="B13" s="27" t="s">
        <v>91</v>
      </c>
      <c r="C13">
        <f>0</f>
        <v>0</v>
      </c>
      <c r="D13" s="14" t="s">
        <v>22</v>
      </c>
      <c r="E13">
        <f xml:space="preserve"> +(PressureFilterFeedStream_Mass * PressureFilterFeedStream_Cu)-(PressureFilterUnderflowStream_Mass * PressureFilterUnderflowStream_Cu)</f>
        <v>0</v>
      </c>
    </row>
    <row r="14" spans="1:7" ht="33.75">
      <c r="A14" s="27" t="s">
        <v>92</v>
      </c>
      <c r="B14" s="27" t="s">
        <v>93</v>
      </c>
      <c r="C14">
        <f>0</f>
        <v>0</v>
      </c>
      <c r="D14" s="14" t="s">
        <v>22</v>
      </c>
      <c r="E14">
        <f xml:space="preserve"> +(PressureFilterFeedStream_Mass * PressureFilterFeedStream_F)-(PressureFilterUnderflowStream_Mass * PressureFilterUnderflowStream_F)</f>
        <v>0</v>
      </c>
    </row>
    <row r="15" spans="1:7" ht="33.75">
      <c r="A15" s="27" t="s">
        <v>94</v>
      </c>
      <c r="B15" s="27" t="s">
        <v>95</v>
      </c>
      <c r="C15">
        <f>0</f>
        <v>0</v>
      </c>
      <c r="D15" s="14" t="s">
        <v>22</v>
      </c>
      <c r="E15">
        <f xml:space="preserve"> +(PressureFilterFeedStream_Mass * PressureFilterFeedStream_Fe)-(PressureFilterUnderflowStream_Mass * PressureFilterUnderflowStream_Fe)</f>
        <v>0</v>
      </c>
    </row>
    <row r="16" spans="1:7" ht="33.75">
      <c r="A16" s="27" t="s">
        <v>96</v>
      </c>
      <c r="B16" s="27" t="s">
        <v>97</v>
      </c>
      <c r="C16">
        <f>0</f>
        <v>0</v>
      </c>
      <c r="D16" s="14" t="s">
        <v>22</v>
      </c>
      <c r="E16">
        <f xml:space="preserve"> +(PressureFilterFeedStream_Mass * PressureFilterFeedStream_S)-(PressureFilterUnderflowStream_Mass * PressureFilterUnderflowStream_S)</f>
        <v>0</v>
      </c>
    </row>
    <row r="17" spans="1:5" ht="33.75">
      <c r="A17" s="27" t="s">
        <v>98</v>
      </c>
      <c r="B17" s="27" t="s">
        <v>99</v>
      </c>
      <c r="C17">
        <f>0</f>
        <v>0</v>
      </c>
      <c r="D17" s="14" t="s">
        <v>22</v>
      </c>
      <c r="E17">
        <f xml:space="preserve"> +(PressureFilterFeedStream_Mass * PressureFilterFeedStream_U)-(PressureFilterUnderflowStream_Mass * PressureFilterUnderflowStream_U)</f>
        <v>0</v>
      </c>
    </row>
    <row r="18" spans="1:5" ht="33.75">
      <c r="A18" s="27" t="s">
        <v>100</v>
      </c>
      <c r="B18" s="27" t="s">
        <v>101</v>
      </c>
      <c r="C18">
        <f>ConcStorageTank1_close_Mass - ConcStorageTank1_open_Mass+0</f>
        <v>-424.76517702792688</v>
      </c>
      <c r="D18" s="14" t="s">
        <v>22</v>
      </c>
      <c r="E18">
        <f xml:space="preserve"> +ConcStorageTank1FeedStream_Mass-ConcStorageTank1UnderflowStream_Mass</f>
        <v>-424.76517702792688</v>
      </c>
    </row>
    <row r="19" spans="1:5" ht="56.25">
      <c r="A19" s="28" t="s">
        <v>102</v>
      </c>
      <c r="B19" s="28" t="s">
        <v>103</v>
      </c>
      <c r="C19">
        <f>(ConcStorageTank1_close_Mass * ConcStorageTank1_close_Ag) - (ConcStorageTank1_open_Mass * ConcStorageTank1_open_Ag)+0</f>
        <v>-6.1953079973072791</v>
      </c>
      <c r="D19" s="14" t="s">
        <v>22</v>
      </c>
      <c r="E19">
        <f xml:space="preserve"> +(ConcStorageTank1FeedStream_Mass * ConcStorageTank1FeedStream_Ag)-(ConcStorageTank1UnderflowStream_Mass * ConcStorageTank1UnderflowStream_Ag)</f>
        <v>-6.1953079973072791</v>
      </c>
    </row>
    <row r="20" spans="1:5" ht="56.25">
      <c r="A20" s="28" t="s">
        <v>104</v>
      </c>
      <c r="B20" s="28" t="s">
        <v>105</v>
      </c>
      <c r="C20">
        <f>(ConcStorageTank1_close_Mass * ConcStorageTank1_close_Au) - (ConcStorageTank1_open_Mass * ConcStorageTank1_open_Au)+0</f>
        <v>-0.55810206688278508</v>
      </c>
      <c r="D20" s="14" t="s">
        <v>22</v>
      </c>
      <c r="E20">
        <f xml:space="preserve"> +(ConcStorageTank1FeedStream_Mass * ConcStorageTank1FeedStream_Au)-(ConcStorageTank1UnderflowStream_Mass * ConcStorageTank1UnderflowStream_Au)</f>
        <v>-0.55810206688278541</v>
      </c>
    </row>
    <row r="21" spans="1:5" ht="56.25">
      <c r="A21" s="28" t="s">
        <v>106</v>
      </c>
      <c r="B21" s="28" t="s">
        <v>107</v>
      </c>
      <c r="C21">
        <f>(ConcStorageTank1_close_Mass * ConcStorageTank1_close_Cu) - (ConcStorageTank1_open_Mass * ConcStorageTank1_open_Cu)+0</f>
        <v>-19880.287978559478</v>
      </c>
      <c r="D21" s="14" t="s">
        <v>22</v>
      </c>
      <c r="E21">
        <f xml:space="preserve"> +(ConcStorageTank1FeedStream_Mass * ConcStorageTank1FeedStream_Cu)-(ConcStorageTank1UnderflowStream_Mass * ConcStorageTank1UnderflowStream_Cu)</f>
        <v>-19880.287978559478</v>
      </c>
    </row>
    <row r="22" spans="1:5" ht="56.25">
      <c r="A22" s="28" t="s">
        <v>108</v>
      </c>
      <c r="B22" s="28" t="s">
        <v>109</v>
      </c>
      <c r="C22">
        <f>(ConcStorageTank1_close_Mass * ConcStorageTank1_close_F) - (ConcStorageTank1_open_Mass * ConcStorageTank1_open_F)+0</f>
        <v>-28.46002013943604</v>
      </c>
      <c r="D22" s="14" t="s">
        <v>22</v>
      </c>
      <c r="E22">
        <f xml:space="preserve"> +(ConcStorageTank1FeedStream_Mass * ConcStorageTank1FeedStream_F)-(ConcStorageTank1UnderflowStream_Mass * ConcStorageTank1UnderflowStream_F)</f>
        <v>-28.460020139436043</v>
      </c>
    </row>
    <row r="23" spans="1:5" ht="56.25">
      <c r="A23" s="28" t="s">
        <v>110</v>
      </c>
      <c r="B23" s="28" t="s">
        <v>111</v>
      </c>
      <c r="C23">
        <f>(ConcStorageTank1_close_Mass * ConcStorageTank1_close_Fe) - (ConcStorageTank1_open_Mass * ConcStorageTank1_open_Fe)+0</f>
        <v>-6590.2002889651849</v>
      </c>
      <c r="D23" s="14" t="s">
        <v>22</v>
      </c>
      <c r="E23">
        <f xml:space="preserve"> +(ConcStorageTank1FeedStream_Mass * ConcStorageTank1FeedStream_Fe)-(ConcStorageTank1UnderflowStream_Mass * ConcStorageTank1UnderflowStream_Fe)</f>
        <v>-6590.2002889651858</v>
      </c>
    </row>
    <row r="24" spans="1:5" ht="56.25">
      <c r="A24" s="28" t="s">
        <v>112</v>
      </c>
      <c r="B24" s="28" t="s">
        <v>113</v>
      </c>
      <c r="C24">
        <f>(ConcStorageTank1_close_Mass * ConcStorageTank1_close_S) - (ConcStorageTank1_open_Mass * ConcStorageTank1_open_S)+0</f>
        <v>-7539.9399692899351</v>
      </c>
      <c r="D24" s="14" t="s">
        <v>22</v>
      </c>
      <c r="E24">
        <f xml:space="preserve"> +(ConcStorageTank1FeedStream_Mass * ConcStorageTank1FeedStream_S)-(ConcStorageTank1UnderflowStream_Mass * ConcStorageTank1UnderflowStream_S)</f>
        <v>-7539.9399692899369</v>
      </c>
    </row>
    <row r="25" spans="1:5" ht="56.25">
      <c r="A25" s="28" t="s">
        <v>114</v>
      </c>
      <c r="B25" s="28" t="s">
        <v>115</v>
      </c>
      <c r="C25">
        <f>(ConcStorageTank1_close_Mass * ConcStorageTank1_close_U) - (ConcStorageTank1_open_Mass * ConcStorageTank1_open_U)+0</f>
        <v>-2.1700264890555014</v>
      </c>
      <c r="D25" s="14" t="s">
        <v>22</v>
      </c>
      <c r="E25">
        <f xml:space="preserve"> +(ConcStorageTank1FeedStream_Mass * ConcStorageTank1FeedStream_U)-(ConcStorageTank1UnderflowStream_Mass * ConcStorageTank1UnderflowStream_U)</f>
        <v>-2.1700264890555019</v>
      </c>
    </row>
    <row r="26" spans="1:5" ht="33.75">
      <c r="A26" s="27" t="s">
        <v>116</v>
      </c>
      <c r="B26" s="27" t="s">
        <v>117</v>
      </c>
      <c r="C26">
        <f>ConcStorageTank2_close_Mass - ConcStorageTank2_open_Mass+0</f>
        <v>299.8000382737593</v>
      </c>
      <c r="D26" s="14" t="s">
        <v>22</v>
      </c>
      <c r="E26">
        <f xml:space="preserve"> +ConcStorageTank2FeedStream_Mass-ConcStorageTank2UnderflowStream_Mass</f>
        <v>299.8000382737593</v>
      </c>
    </row>
    <row r="27" spans="1:5" ht="56.25">
      <c r="A27" s="28" t="s">
        <v>118</v>
      </c>
      <c r="B27" s="28" t="s">
        <v>119</v>
      </c>
      <c r="C27">
        <f>(ConcStorageTank2_close_Mass * ConcStorageTank2_close_Ag) - (ConcStorageTank2_open_Mass * ConcStorageTank2_open_Ag)+0</f>
        <v>4.3622764084334893</v>
      </c>
      <c r="D27" s="14" t="s">
        <v>22</v>
      </c>
      <c r="E27">
        <f xml:space="preserve"> +(ConcStorageTank2FeedStream_Mass * ConcStorageTank2FeedStream_Ag)-(ConcStorageTank2UnderflowStream_Mass * ConcStorageTank2UnderflowStream_Ag)</f>
        <v>4.3622764083837309</v>
      </c>
    </row>
    <row r="28" spans="1:5" ht="56.25">
      <c r="A28" s="28" t="s">
        <v>120</v>
      </c>
      <c r="B28" s="28" t="s">
        <v>121</v>
      </c>
      <c r="C28">
        <f>(ConcStorageTank2_close_Mass * ConcStorageTank2_close_Au) - (ConcStorageTank2_open_Mass * ConcStorageTank2_open_Au)+0</f>
        <v>0.40107021611343757</v>
      </c>
      <c r="D28" s="14" t="s">
        <v>22</v>
      </c>
      <c r="E28">
        <f xml:space="preserve"> +(ConcStorageTank2FeedStream_Mass * ConcStorageTank2FeedStream_Au)-(ConcStorageTank2UnderflowStream_Mass * ConcStorageTank2UnderflowStream_Au)</f>
        <v>0.40107021583090802</v>
      </c>
    </row>
    <row r="29" spans="1:5" ht="56.25">
      <c r="A29" s="28" t="s">
        <v>122</v>
      </c>
      <c r="B29" s="28" t="s">
        <v>123</v>
      </c>
      <c r="C29">
        <f>(ConcStorageTank2_close_Mass * ConcStorageTank2_close_Cu) - (ConcStorageTank2_open_Mass * ConcStorageTank2_open_Cu)+0</f>
        <v>14219.948073013786</v>
      </c>
      <c r="D29" s="14" t="s">
        <v>22</v>
      </c>
      <c r="E29">
        <f xml:space="preserve"> +(ConcStorageTank2FeedStream_Mass * ConcStorageTank2FeedStream_Cu)-(ConcStorageTank2UnderflowStream_Mass * ConcStorageTank2UnderflowStream_Cu)</f>
        <v>14219.948073222067</v>
      </c>
    </row>
    <row r="30" spans="1:5" ht="56.25">
      <c r="A30" s="28" t="s">
        <v>124</v>
      </c>
      <c r="B30" s="28" t="s">
        <v>125</v>
      </c>
      <c r="C30">
        <f>(ConcStorageTank2_close_Mass * ConcStorageTank2_close_F) - (ConcStorageTank2_open_Mass * ConcStorageTank2_open_F)+0</f>
        <v>20.973039336819049</v>
      </c>
      <c r="D30" s="14" t="s">
        <v>22</v>
      </c>
      <c r="E30">
        <f xml:space="preserve"> +(ConcStorageTank2FeedStream_Mass * ConcStorageTank2FeedStream_F)-(ConcStorageTank2UnderflowStream_Mass * ConcStorageTank2UnderflowStream_F)</f>
        <v>20.973039336741731</v>
      </c>
    </row>
    <row r="31" spans="1:5" ht="56.25">
      <c r="A31" s="28" t="s">
        <v>126</v>
      </c>
      <c r="B31" s="28" t="s">
        <v>127</v>
      </c>
      <c r="C31">
        <f>(ConcStorageTank2_close_Mass * ConcStorageTank2_close_Fe) - (ConcStorageTank2_open_Mass * ConcStorageTank2_open_Fe)+0</f>
        <v>4579.7156576863117</v>
      </c>
      <c r="D31" s="14" t="s">
        <v>22</v>
      </c>
      <c r="E31">
        <f xml:space="preserve"> +(ConcStorageTank2FeedStream_Mass * ConcStorageTank2FeedStream_Fe)-(ConcStorageTank2UnderflowStream_Mass * ConcStorageTank2UnderflowStream_Fe)</f>
        <v>4579.7156576864472</v>
      </c>
    </row>
    <row r="32" spans="1:5" ht="56.25">
      <c r="A32" s="28" t="s">
        <v>128</v>
      </c>
      <c r="B32" s="28" t="s">
        <v>129</v>
      </c>
      <c r="C32">
        <f>(ConcStorageTank2_close_Mass * ConcStorageTank2_close_S) - (ConcStorageTank2_open_Mass * ConcStorageTank2_open_S)+0</f>
        <v>5393.4802615360204</v>
      </c>
      <c r="D32" s="14" t="s">
        <v>22</v>
      </c>
      <c r="E32">
        <f xml:space="preserve"> +(ConcStorageTank2FeedStream_Mass * ConcStorageTank2FeedStream_S)-(ConcStorageTank2UnderflowStream_Mass * ConcStorageTank2UnderflowStream_S)</f>
        <v>5393.4802614278415</v>
      </c>
    </row>
    <row r="33" spans="1:5" ht="56.25">
      <c r="A33" s="28" t="s">
        <v>130</v>
      </c>
      <c r="B33" s="28" t="s">
        <v>131</v>
      </c>
      <c r="C33">
        <f>(ConcStorageTank2_close_Mass * ConcStorageTank2_close_U) - (ConcStorageTank2_open_Mass * ConcStorageTank2_open_U)+0</f>
        <v>1.6979875473490185</v>
      </c>
      <c r="D33" s="14" t="s">
        <v>22</v>
      </c>
      <c r="E33">
        <f xml:space="preserve"> +(ConcStorageTank2FeedStream_Mass * ConcStorageTank2FeedStream_U)-(ConcStorageTank2UnderflowStream_Mass * ConcStorageTank2UnderflowStream_U)</f>
        <v>1.6979875473104151</v>
      </c>
    </row>
    <row r="34" spans="1:5" ht="45">
      <c r="A34" s="27" t="s">
        <v>132</v>
      </c>
      <c r="B34" s="27" t="s">
        <v>133</v>
      </c>
      <c r="C34">
        <f>ConcThickener_close_Mass - ConcThickener_open_Mass+0</f>
        <v>-3.1760878055688408</v>
      </c>
      <c r="D34" s="14" t="s">
        <v>22</v>
      </c>
      <c r="E34">
        <f xml:space="preserve"> +CCLASStreamConcThickenerFeedStream_Mass+SpillageReturnStream_Mass-ConcThickenerUnderflowStream_Mass</f>
        <v>-3.1760878055689545</v>
      </c>
    </row>
    <row r="35" spans="1:5" ht="33.75">
      <c r="A35" s="27" t="s">
        <v>134</v>
      </c>
      <c r="B35" s="27" t="s">
        <v>135</v>
      </c>
      <c r="C35">
        <f>0</f>
        <v>0</v>
      </c>
      <c r="D35" s="14" t="s">
        <v>22</v>
      </c>
      <c r="E35">
        <f xml:space="preserve"> +OSAStreamConcThickenerFeedStream_Mass-CCLASStreamConcThickenerFeedStream_Mass</f>
        <v>0</v>
      </c>
    </row>
    <row r="36" spans="1:5" ht="56.25">
      <c r="A36" s="27" t="s">
        <v>136</v>
      </c>
      <c r="B36" s="27" t="s">
        <v>137</v>
      </c>
      <c r="C36">
        <f>0</f>
        <v>0</v>
      </c>
      <c r="D36" s="14" t="s">
        <v>22</v>
      </c>
      <c r="E36">
        <f xml:space="preserve"> +(OSAStreamConcThickenerFeedStream_Mass * OSAStreamConcThickenerFeedStream_Ag)-(CCLASStreamConcThickenerFeedStream_Mass * CCLASStreamConcThickenerFeedStream_Ag)</f>
        <v>1.4151133598261367E-8</v>
      </c>
    </row>
    <row r="37" spans="1:5" ht="56.25">
      <c r="A37" s="27" t="s">
        <v>138</v>
      </c>
      <c r="B37" s="27" t="s">
        <v>139</v>
      </c>
      <c r="C37">
        <f>0</f>
        <v>0</v>
      </c>
      <c r="D37" s="14" t="s">
        <v>22</v>
      </c>
      <c r="E37">
        <f xml:space="preserve"> +(OSAStreamConcThickenerFeedStream_Mass * OSAStreamConcThickenerFeedStream_Au)-(CCLASStreamConcThickenerFeedStream_Mass * CCLASStreamConcThickenerFeedStream_Au)</f>
        <v>3.3458186221579922E-10</v>
      </c>
    </row>
    <row r="38" spans="1:5" ht="56.25">
      <c r="A38" s="27" t="s">
        <v>140</v>
      </c>
      <c r="B38" s="27" t="s">
        <v>141</v>
      </c>
      <c r="C38">
        <f>0</f>
        <v>0</v>
      </c>
      <c r="D38" s="14" t="s">
        <v>22</v>
      </c>
      <c r="E38">
        <f xml:space="preserve"> +(OSAStreamConcThickenerFeedStream_Mass * OSAStreamConcThickenerFeedStream_Cu)-(CCLASStreamConcThickenerFeedStream_Mass * CCLASStreamConcThickenerFeedStream_Cu)</f>
        <v>3.1231364118866622E-5</v>
      </c>
    </row>
    <row r="39" spans="1:5" ht="56.25">
      <c r="A39" s="27" t="s">
        <v>142</v>
      </c>
      <c r="B39" s="27" t="s">
        <v>143</v>
      </c>
      <c r="C39">
        <f>0</f>
        <v>0</v>
      </c>
      <c r="D39" s="14" t="s">
        <v>22</v>
      </c>
      <c r="E39">
        <f xml:space="preserve"> +(OSAStreamConcThickenerFeedStream_Mass * OSAStreamConcThickenerFeedStream_F)-(CCLASStreamConcThickenerFeedStream_Mass * CCLASStreamConcThickenerFeedStream_F)</f>
        <v>-1.1002021693684583E-7</v>
      </c>
    </row>
    <row r="40" spans="1:5" ht="56.25">
      <c r="A40" s="27" t="s">
        <v>144</v>
      </c>
      <c r="B40" s="27" t="s">
        <v>145</v>
      </c>
      <c r="C40">
        <f>0</f>
        <v>0</v>
      </c>
      <c r="D40" s="14" t="s">
        <v>22</v>
      </c>
      <c r="E40">
        <f xml:space="preserve"> +(OSAStreamConcThickenerFeedStream_Mass * OSAStreamConcThickenerFeedStream_Fe)-(CCLASStreamConcThickenerFeedStream_Mass * CCLASStreamConcThickenerFeedStream_Fe)</f>
        <v>2.6981228074873798E-5</v>
      </c>
    </row>
    <row r="41" spans="1:5" ht="56.25">
      <c r="A41" s="27" t="s">
        <v>146</v>
      </c>
      <c r="B41" s="27" t="s">
        <v>147</v>
      </c>
      <c r="C41">
        <f>0</f>
        <v>0</v>
      </c>
      <c r="D41" s="14" t="s">
        <v>22</v>
      </c>
      <c r="E41">
        <f xml:space="preserve"> +(OSAStreamConcThickenerFeedStream_Mass * OSAStreamConcThickenerFeedStream_S)-(CCLASStreamConcThickenerFeedStream_Mass * CCLASStreamConcThickenerFeedStream_S)</f>
        <v>8.1805201261886396E-6</v>
      </c>
    </row>
    <row r="42" spans="1:5" ht="56.25">
      <c r="A42" s="27" t="s">
        <v>148</v>
      </c>
      <c r="B42" s="27" t="s">
        <v>149</v>
      </c>
      <c r="C42">
        <f>0</f>
        <v>0</v>
      </c>
      <c r="D42" s="14" t="s">
        <v>22</v>
      </c>
      <c r="E42">
        <f xml:space="preserve"> +(OSAStreamConcThickenerFeedStream_Mass * OSAStreamConcThickenerFeedStream_U)-(CCLASStreamConcThickenerFeedStream_Mass * CCLASStreamConcThickenerFeedStream_U)</f>
        <v>-2.3301184981505685E-8</v>
      </c>
    </row>
    <row r="43" spans="1:5" ht="33.75">
      <c r="A43" s="27" t="s">
        <v>150</v>
      </c>
      <c r="B43" s="27" t="s">
        <v>151</v>
      </c>
      <c r="C43">
        <f>0</f>
        <v>0</v>
      </c>
      <c r="D43" s="14" t="s">
        <v>22</v>
      </c>
      <c r="E43">
        <f xml:space="preserve"> +ConcThickenerUnderflowStream_Mass-ConcStorageTank1FeedStream_Mass-ConcStorageTank2FeedStream_Mass</f>
        <v>0</v>
      </c>
    </row>
    <row r="44" spans="1:5" ht="45">
      <c r="A44" s="27" t="s">
        <v>152</v>
      </c>
      <c r="B44" s="27" t="s">
        <v>153</v>
      </c>
      <c r="C44">
        <f>0</f>
        <v>0</v>
      </c>
      <c r="D44" s="14" t="s">
        <v>22</v>
      </c>
      <c r="E44">
        <f xml:space="preserve"> +(ConcThickenerUnderflowStream_Mass * ConcThickenerUnderflowStream_Ag)-(ConcStorageTank1FeedStream_Mass * ConcStorageTank1FeedStream_Ag)-(ConcStorageTank2FeedStream_Mass * ConcStorageTank2FeedStream_Ag)</f>
        <v>-1.3028689238581137E-11</v>
      </c>
    </row>
    <row r="45" spans="1:5" ht="45">
      <c r="A45" s="27" t="s">
        <v>154</v>
      </c>
      <c r="B45" s="27" t="s">
        <v>155</v>
      </c>
      <c r="C45">
        <f>0</f>
        <v>0</v>
      </c>
      <c r="D45" s="14" t="s">
        <v>22</v>
      </c>
      <c r="E45">
        <f xml:space="preserve"> +(ConcThickenerUnderflowStream_Mass * ConcThickenerUnderflowStream_Au)-(ConcStorageTank1FeedStream_Mass * ConcStorageTank1FeedStream_Au)-(ConcStorageTank2FeedStream_Mass * ConcStorageTank2FeedStream_Au)</f>
        <v>-2.7610380648468436E-10</v>
      </c>
    </row>
    <row r="46" spans="1:5" ht="45">
      <c r="A46" s="27" t="s">
        <v>156</v>
      </c>
      <c r="B46" s="27" t="s">
        <v>157</v>
      </c>
      <c r="C46">
        <f>0</f>
        <v>0</v>
      </c>
      <c r="D46" s="14" t="s">
        <v>22</v>
      </c>
      <c r="E46">
        <f xml:space="preserve"> +(ConcThickenerUnderflowStream_Mass * ConcThickenerUnderflowStream_Cu)-(ConcStorageTank1FeedStream_Mass * ConcStorageTank1FeedStream_Cu)-(ConcStorageTank2FeedStream_Mass * ConcStorageTank2FeedStream_Cu)</f>
        <v>-3.4742697607725859E-10</v>
      </c>
    </row>
    <row r="47" spans="1:5" ht="45">
      <c r="A47" s="27" t="s">
        <v>158</v>
      </c>
      <c r="B47" s="27" t="s">
        <v>159</v>
      </c>
      <c r="C47">
        <f>0</f>
        <v>0</v>
      </c>
      <c r="D47" s="14" t="s">
        <v>22</v>
      </c>
      <c r="E47">
        <f xml:space="preserve"> +(ConcThickenerUnderflowStream_Mass * ConcThickenerUnderflowStream_F)-(ConcStorageTank1FeedStream_Mass * ConcStorageTank1FeedStream_F)-(ConcStorageTank2FeedStream_Mass * ConcStorageTank2FeedStream_F)</f>
        <v>-2.4904522888391512E-12</v>
      </c>
    </row>
    <row r="48" spans="1:5" ht="45">
      <c r="A48" s="27" t="s">
        <v>160</v>
      </c>
      <c r="B48" s="27" t="s">
        <v>161</v>
      </c>
      <c r="C48">
        <f>0</f>
        <v>0</v>
      </c>
      <c r="D48" s="14" t="s">
        <v>22</v>
      </c>
      <c r="E48">
        <f xml:space="preserve"> +(ConcThickenerUnderflowStream_Mass * ConcThickenerUnderflowStream_Fe)-(ConcStorageTank1FeedStream_Mass * ConcStorageTank1FeedStream_Fe)-(ConcStorageTank2FeedStream_Mass * ConcStorageTank2FeedStream_Fe)</f>
        <v>-2.801243681460619E-10</v>
      </c>
    </row>
    <row r="49" spans="1:5" ht="45">
      <c r="A49" s="27" t="s">
        <v>162</v>
      </c>
      <c r="B49" s="27" t="s">
        <v>163</v>
      </c>
      <c r="C49">
        <f>0</f>
        <v>0</v>
      </c>
      <c r="D49" s="14" t="s">
        <v>22</v>
      </c>
      <c r="E49">
        <f xml:space="preserve"> +(ConcThickenerUnderflowStream_Mass * ConcThickenerUnderflowStream_S)-(ConcStorageTank1FeedStream_Mass * ConcStorageTank1FeedStream_S)-(ConcStorageTank2FeedStream_Mass * ConcStorageTank2FeedStream_S)</f>
        <v>-2.0554580260068178E-10</v>
      </c>
    </row>
    <row r="50" spans="1:5" ht="45">
      <c r="A50" s="27" t="s">
        <v>164</v>
      </c>
      <c r="B50" s="27" t="s">
        <v>165</v>
      </c>
      <c r="C50">
        <f>0</f>
        <v>0</v>
      </c>
      <c r="D50" s="14" t="s">
        <v>22</v>
      </c>
      <c r="E50">
        <f xml:space="preserve"> +(ConcThickenerUnderflowStream_Mass * ConcThickenerUnderflowStream_U)-(ConcStorageTank1FeedStream_Mass * ConcStorageTank1FeedStream_U)-(ConcStorageTank2FeedStream_Mass * ConcStorageTank2FeedStream_U)</f>
        <v>-2.719890979108186E-11</v>
      </c>
    </row>
    <row r="51" spans="1:5" ht="67.5">
      <c r="A51" s="28" t="s">
        <v>166</v>
      </c>
      <c r="B51" s="28" t="s">
        <v>167</v>
      </c>
      <c r="C51">
        <f>(ConcThickener_close_Mass * ConcThickener_close_Ag) - (ConcThickener_open_Mass * ConcThickener_open_Ag)+0</f>
        <v>-3.968915804561135E-2</v>
      </c>
      <c r="D51" s="14" t="s">
        <v>22</v>
      </c>
      <c r="E51">
        <f xml:space="preserve"> +(CCLASStreamConcThickenerFeedStream_Mass * CCLASStreamConcThickenerFeedStream_Ag)+(SpillageReturnStream_Mass * SpillageReturnStream_Ag)-(ConcThickenerUnderflowStream_Mass * ConcThickenerUnderflowStream_Ag)</f>
        <v>-3.9689102255582753E-2</v>
      </c>
    </row>
    <row r="52" spans="1:5" ht="67.5">
      <c r="A52" s="28" t="s">
        <v>168</v>
      </c>
      <c r="B52" s="28" t="s">
        <v>169</v>
      </c>
      <c r="C52">
        <f>(ConcThickener_close_Mass * ConcThickener_close_Au) - (ConcThickener_open_Mass * ConcThickener_open_Au)+0</f>
        <v>-1.3646446943105239E-3</v>
      </c>
      <c r="D52" s="14" t="s">
        <v>22</v>
      </c>
      <c r="E52">
        <f xml:space="preserve"> +(CCLASStreamConcThickenerFeedStream_Mass * CCLASStreamConcThickenerFeedStream_Au)+(SpillageReturnStream_Mass * SpillageReturnStream_Au)-(ConcThickenerUnderflowStream_Mass * ConcThickenerUnderflowStream_Au)</f>
        <v>-1.3646331218228336E-3</v>
      </c>
    </row>
    <row r="53" spans="1:5" ht="67.5">
      <c r="A53" s="28" t="s">
        <v>170</v>
      </c>
      <c r="B53" s="28" t="s">
        <v>171</v>
      </c>
      <c r="C53">
        <f>(ConcThickener_close_Mass * ConcThickener_close_Cu) - (ConcThickener_open_Mass * ConcThickener_open_Cu)+0</f>
        <v>-59.637853200707468</v>
      </c>
      <c r="D53" s="14" t="s">
        <v>22</v>
      </c>
      <c r="E53">
        <f xml:space="preserve"> +(CCLASStreamConcThickenerFeedStream_Mass * CCLASStreamConcThickenerFeedStream_Cu)+(SpillageReturnStream_Mass * SpillageReturnStream_Cu)-(ConcThickenerUnderflowStream_Mass * ConcThickenerUnderflowStream_Cu)</f>
        <v>-59.638249365802039</v>
      </c>
    </row>
    <row r="54" spans="1:5" ht="67.5">
      <c r="A54" s="28" t="s">
        <v>172</v>
      </c>
      <c r="B54" s="28" t="s">
        <v>173</v>
      </c>
      <c r="C54">
        <f>(ConcThickener_close_Mass * ConcThickener_close_F) - (ConcThickener_open_Mass * ConcThickener_open_F)+0</f>
        <v>0.29663835131549376</v>
      </c>
      <c r="D54" s="14" t="s">
        <v>22</v>
      </c>
      <c r="E54">
        <f xml:space="preserve"> +(CCLASStreamConcThickenerFeedStream_Mass * CCLASStreamConcThickenerFeedStream_F)+(SpillageReturnStream_Mass * SpillageReturnStream_F)-(ConcThickenerUnderflowStream_Mass * ConcThickenerUnderflowStream_F)</f>
        <v>0.29663861302845973</v>
      </c>
    </row>
    <row r="55" spans="1:5" ht="67.5">
      <c r="A55" s="28" t="s">
        <v>174</v>
      </c>
      <c r="B55" s="28" t="s">
        <v>175</v>
      </c>
      <c r="C55">
        <f>(ConcThickener_close_Mass * ConcThickener_close_Fe) - (ConcThickener_open_Mass * ConcThickener_open_Fe)+0</f>
        <v>-69.422498698102572</v>
      </c>
      <c r="D55" s="14" t="s">
        <v>22</v>
      </c>
      <c r="E55">
        <f xml:space="preserve"> +(CCLASStreamConcThickenerFeedStream_Mass * CCLASStreamConcThickenerFeedStream_Fe)+(SpillageReturnStream_Mass * SpillageReturnStream_Fe)-(ConcThickenerUnderflowStream_Mass * ConcThickenerUnderflowStream_Fe)</f>
        <v>-69.422522046213999</v>
      </c>
    </row>
    <row r="56" spans="1:5" ht="67.5">
      <c r="A56" s="28" t="s">
        <v>176</v>
      </c>
      <c r="B56" s="28" t="s">
        <v>177</v>
      </c>
      <c r="C56">
        <f>(ConcThickener_close_Mass * ConcThickener_close_S) - (ConcThickener_open_Mass * ConcThickener_open_S)+0</f>
        <v>-22.459089474792563</v>
      </c>
      <c r="D56" s="14" t="s">
        <v>22</v>
      </c>
      <c r="E56">
        <f xml:space="preserve"> +(CCLASStreamConcThickenerFeedStream_Mass * CCLASStreamConcThickenerFeedStream_S)+(SpillageReturnStream_Mass * SpillageReturnStream_S)-(ConcThickenerUnderflowStream_Mass * ConcThickenerUnderflowStream_S)</f>
        <v>-22.458897707035248</v>
      </c>
    </row>
    <row r="57" spans="1:5" ht="67.5">
      <c r="A57" s="28" t="s">
        <v>178</v>
      </c>
      <c r="B57" s="28" t="s">
        <v>179</v>
      </c>
      <c r="C57">
        <f>(ConcThickener_close_Mass * ConcThickener_close_U) - (ConcThickener_open_Mass * ConcThickener_open_U)+0</f>
        <v>6.6085144949852292E-2</v>
      </c>
      <c r="D57" s="14" t="s">
        <v>22</v>
      </c>
      <c r="E57">
        <f xml:space="preserve"> +(CCLASStreamConcThickenerFeedStream_Mass * CCLASStreamConcThickenerFeedStream_U)+(SpillageReturnStream_Mass * SpillageReturnStream_U)-(ConcThickenerUnderflowStream_Mass * ConcThickenerUnderflowStream_U)</f>
        <v>6.608519029659754E-2</v>
      </c>
    </row>
    <row r="58" spans="1:5" ht="22.5">
      <c r="A58" s="27" t="s">
        <v>180</v>
      </c>
      <c r="B58" s="27" t="s">
        <v>181</v>
      </c>
      <c r="C58">
        <f>0</f>
        <v>0</v>
      </c>
      <c r="D58" s="14" t="s">
        <v>22</v>
      </c>
      <c r="E58">
        <f xml:space="preserve"> +CCLASStreamRougherFeedStream_Mass-OSAStreamConcThickenerFeedStream_Mass-OSAStreamFlotationTailsStream_Mass</f>
        <v>0</v>
      </c>
    </row>
    <row r="59" spans="1:5" ht="22.5">
      <c r="A59" s="27" t="s">
        <v>182</v>
      </c>
      <c r="B59" s="27" t="s">
        <v>183</v>
      </c>
      <c r="C59">
        <f>0</f>
        <v>0</v>
      </c>
      <c r="D59" s="14" t="s">
        <v>22</v>
      </c>
      <c r="E59">
        <f xml:space="preserve"> +OSAStreamFlotationTailsStream_Mass-CCLASStreamFlotationTailsStream_Mass</f>
        <v>0</v>
      </c>
    </row>
    <row r="60" spans="1:5" ht="33.75">
      <c r="A60" s="27" t="s">
        <v>184</v>
      </c>
      <c r="B60" s="27" t="s">
        <v>185</v>
      </c>
      <c r="C60">
        <f>0</f>
        <v>0</v>
      </c>
      <c r="D60" s="14" t="s">
        <v>22</v>
      </c>
      <c r="E60">
        <f xml:space="preserve"> +(OSAStreamFlotationTailsStream_Mass * OSAStreamFlotationTailsStream_Ag)-(CCLASStreamFlotationTailsStream_Mass * CCLASStreamFlotationTailsStream_Ag)</f>
        <v>4.9630743959028223E-9</v>
      </c>
    </row>
    <row r="61" spans="1:5" ht="33.75">
      <c r="A61" s="27" t="s">
        <v>186</v>
      </c>
      <c r="B61" s="27" t="s">
        <v>187</v>
      </c>
      <c r="C61">
        <f>0</f>
        <v>0</v>
      </c>
      <c r="D61" s="14" t="s">
        <v>22</v>
      </c>
      <c r="E61">
        <f xml:space="preserve"> +(OSAStreamFlotationTailsStream_Mass * OSAStreamFlotationTailsStream_Au)-(CCLASStreamFlotationTailsStream_Mass * CCLASStreamFlotationTailsStream_Au)</f>
        <v>-4.3605527522139198E-10</v>
      </c>
    </row>
    <row r="62" spans="1:5" ht="33.75">
      <c r="A62" s="27" t="s">
        <v>188</v>
      </c>
      <c r="B62" s="27" t="s">
        <v>189</v>
      </c>
      <c r="C62">
        <f>0</f>
        <v>0</v>
      </c>
      <c r="D62" s="14" t="s">
        <v>22</v>
      </c>
      <c r="E62">
        <f xml:space="preserve"> +(OSAStreamFlotationTailsStream_Mass * OSAStreamFlotationTailsStream_Cu)-(CCLASStreamFlotationTailsStream_Mass * CCLASStreamFlotationTailsStream_Cu)</f>
        <v>1.7371348803862929E-9</v>
      </c>
    </row>
    <row r="63" spans="1:5" ht="33.75">
      <c r="A63" s="27" t="s">
        <v>190</v>
      </c>
      <c r="B63" s="27" t="s">
        <v>191</v>
      </c>
      <c r="C63">
        <f>0</f>
        <v>0</v>
      </c>
      <c r="D63" s="14" t="s">
        <v>22</v>
      </c>
      <c r="E63">
        <f xml:space="preserve"> +(OSAStreamFlotationTailsStream_Mass * OSAStreamFlotationTailsStream_F)-(CCLASStreamFlotationTailsStream_Mass * CCLASStreamFlotationTailsStream_F)</f>
        <v>1.7893225958687253E-6</v>
      </c>
    </row>
    <row r="64" spans="1:5" ht="33.75">
      <c r="A64" s="27" t="s">
        <v>192</v>
      </c>
      <c r="B64" s="27" t="s">
        <v>193</v>
      </c>
      <c r="C64">
        <f>0</f>
        <v>0</v>
      </c>
      <c r="D64" s="14" t="s">
        <v>22</v>
      </c>
      <c r="E64">
        <f xml:space="preserve"> +(OSAStreamFlotationTailsStream_Mass * OSAStreamFlotationTailsStream_Fe)-(CCLASStreamFlotationTailsStream_Mass * CCLASStreamFlotationTailsStream_Fe)</f>
        <v>-4.3452018871903419E-8</v>
      </c>
    </row>
    <row r="65" spans="1:5" ht="33.75">
      <c r="A65" s="27" t="s">
        <v>194</v>
      </c>
      <c r="B65" s="27" t="s">
        <v>195</v>
      </c>
      <c r="C65">
        <f>0</f>
        <v>0</v>
      </c>
      <c r="D65" s="14" t="s">
        <v>22</v>
      </c>
      <c r="E65">
        <f xml:space="preserve"> +(OSAStreamFlotationTailsStream_Mass * OSAStreamFlotationTailsStream_S)-(CCLASStreamFlotationTailsStream_Mass * CCLASStreamFlotationTailsStream_S)</f>
        <v>9.1225649521220475E-4</v>
      </c>
    </row>
    <row r="66" spans="1:5" ht="33.75">
      <c r="A66" s="27" t="s">
        <v>196</v>
      </c>
      <c r="B66" s="27" t="s">
        <v>197</v>
      </c>
      <c r="C66">
        <f>0</f>
        <v>0</v>
      </c>
      <c r="D66" s="14" t="s">
        <v>22</v>
      </c>
      <c r="E66">
        <f xml:space="preserve"> +(OSAStreamFlotationTailsStream_Mass * OSAStreamFlotationTailsStream_U)-(CCLASStreamFlotationTailsStream_Mass * CCLASStreamFlotationTailsStream_U)</f>
        <v>6.0150945557779778E-7</v>
      </c>
    </row>
    <row r="67" spans="1:5" ht="45">
      <c r="A67" s="27" t="s">
        <v>198</v>
      </c>
      <c r="B67" s="27" t="s">
        <v>199</v>
      </c>
      <c r="C67">
        <f>0</f>
        <v>0</v>
      </c>
      <c r="D67" s="14" t="s">
        <v>22</v>
      </c>
      <c r="E67">
        <f xml:space="preserve"> +(CCLASStreamRougherFeedStream_Mass * CCLASStreamRougherFeedStream_Ag)-(OSAStreamConcThickenerFeedStream_Mass * OSAStreamConcThickenerFeedStream_Ag)-(OSAStreamFlotationTailsStream_Mass * OSAStreamFlotationTailsStream_Ag)</f>
        <v>-2.371452367810889E-8</v>
      </c>
    </row>
    <row r="68" spans="1:5" ht="45">
      <c r="A68" s="27" t="s">
        <v>200</v>
      </c>
      <c r="B68" s="27" t="s">
        <v>201</v>
      </c>
      <c r="C68">
        <f>0</f>
        <v>0</v>
      </c>
      <c r="D68" s="14" t="s">
        <v>22</v>
      </c>
      <c r="E68">
        <f xml:space="preserve"> +(CCLASStreamRougherFeedStream_Mass * CCLASStreamRougherFeedStream_Au)-(OSAStreamConcThickenerFeedStream_Mass * OSAStreamConcThickenerFeedStream_Au)-(OSAStreamFlotationTailsStream_Mass * OSAStreamFlotationTailsStream_Au)</f>
        <v>-9.4253023302792727E-9</v>
      </c>
    </row>
    <row r="69" spans="1:5" ht="45">
      <c r="A69" s="27" t="s">
        <v>202</v>
      </c>
      <c r="B69" s="27" t="s">
        <v>203</v>
      </c>
      <c r="C69">
        <f>0</f>
        <v>0</v>
      </c>
      <c r="D69" s="14" t="s">
        <v>22</v>
      </c>
      <c r="E69">
        <f xml:space="preserve"> +(CCLASStreamRougherFeedStream_Mass * CCLASStreamRougherFeedStream_Cu)-(OSAStreamConcThickenerFeedStream_Mass * OSAStreamConcThickenerFeedStream_Cu)-(OSAStreamFlotationTailsStream_Mass * OSAStreamFlotationTailsStream_Cu)</f>
        <v>3.4201258586108452E-4</v>
      </c>
    </row>
    <row r="70" spans="1:5" ht="45">
      <c r="A70" s="27" t="s">
        <v>204</v>
      </c>
      <c r="B70" s="27" t="s">
        <v>205</v>
      </c>
      <c r="C70">
        <f>0</f>
        <v>0</v>
      </c>
      <c r="D70" s="14" t="s">
        <v>22</v>
      </c>
      <c r="E70">
        <f xml:space="preserve"> +(CCLASStreamRougherFeedStream_Mass * CCLASStreamRougherFeedStream_F)-(OSAStreamConcThickenerFeedStream_Mass * OSAStreamConcThickenerFeedStream_F)-(OSAStreamFlotationTailsStream_Mass * OSAStreamFlotationTailsStream_F)</f>
        <v>1.0705607792260707E-5</v>
      </c>
    </row>
    <row r="71" spans="1:5" ht="45">
      <c r="A71" s="27" t="s">
        <v>206</v>
      </c>
      <c r="B71" s="27" t="s">
        <v>207</v>
      </c>
      <c r="C71">
        <f>0</f>
        <v>0</v>
      </c>
      <c r="D71" s="14" t="s">
        <v>22</v>
      </c>
      <c r="E71">
        <f xml:space="preserve"> +(CCLASStreamRougherFeedStream_Mass * CCLASStreamRougherFeedStream_Fe)-(OSAStreamConcThickenerFeedStream_Mass * OSAStreamConcThickenerFeedStream_Fe)-(OSAStreamFlotationTailsStream_Mass * OSAStreamFlotationTailsStream_Fe)</f>
        <v>-9.5067662186920643E-7</v>
      </c>
    </row>
    <row r="72" spans="1:5" ht="45">
      <c r="A72" s="27" t="s">
        <v>208</v>
      </c>
      <c r="B72" s="27" t="s">
        <v>209</v>
      </c>
      <c r="C72">
        <f>0</f>
        <v>0</v>
      </c>
      <c r="D72" s="14" t="s">
        <v>22</v>
      </c>
      <c r="E72">
        <f xml:space="preserve"> +(CCLASStreamRougherFeedStream_Mass * CCLASStreamRougherFeedStream_S)-(OSAStreamConcThickenerFeedStream_Mass * OSAStreamConcThickenerFeedStream_S)-(OSAStreamFlotationTailsStream_Mass * OSAStreamFlotationTailsStream_S)</f>
        <v>1.1505307484185323E-3</v>
      </c>
    </row>
    <row r="73" spans="1:5" ht="45">
      <c r="A73" s="27" t="s">
        <v>210</v>
      </c>
      <c r="B73" s="27" t="s">
        <v>211</v>
      </c>
      <c r="C73">
        <f>0</f>
        <v>0</v>
      </c>
      <c r="D73" s="14" t="s">
        <v>22</v>
      </c>
      <c r="E73">
        <f xml:space="preserve"> +(CCLASStreamRougherFeedStream_Mass * CCLASStreamRougherFeedStream_U)-(OSAStreamConcThickenerFeedStream_Mass * OSAStreamConcThickenerFeedStream_U)-(OSAStreamFlotationTailsStream_Mass * OSAStreamFlotationTailsStream_U)</f>
        <v>1.3231774858013523E-6</v>
      </c>
    </row>
    <row r="74" spans="1:5" ht="22.5">
      <c r="A74" s="27" t="s">
        <v>212</v>
      </c>
      <c r="B74" s="27" t="s">
        <v>213</v>
      </c>
      <c r="C74">
        <f>0</f>
        <v>0</v>
      </c>
      <c r="D74" s="14" t="s">
        <v>22</v>
      </c>
      <c r="E74">
        <f xml:space="preserve"> +SAGMillFeedStream_Mass-OSAStreamRougherFeedStream_Mass</f>
        <v>0</v>
      </c>
    </row>
    <row r="75" spans="1:5" ht="22.5">
      <c r="A75" s="27" t="s">
        <v>214</v>
      </c>
      <c r="B75" s="27" t="s">
        <v>215</v>
      </c>
      <c r="C75">
        <f>0</f>
        <v>0</v>
      </c>
      <c r="D75" s="14" t="s">
        <v>22</v>
      </c>
      <c r="E75">
        <f xml:space="preserve"> +(SAGMillFeedStream_Mass * SAGMillFeedStream_Ag)-(OSAStreamRougherFeedStream_Mass * OSAStreamRougherFeedStream_Ag)</f>
        <v>0</v>
      </c>
    </row>
    <row r="76" spans="1:5" ht="22.5">
      <c r="A76" s="27" t="s">
        <v>216</v>
      </c>
      <c r="B76" s="27" t="s">
        <v>217</v>
      </c>
      <c r="C76">
        <f>0</f>
        <v>0</v>
      </c>
      <c r="D76" s="14" t="s">
        <v>22</v>
      </c>
      <c r="E76">
        <f xml:space="preserve"> +(SAGMillFeedStream_Mass * SAGMillFeedStream_Au)-(OSAStreamRougherFeedStream_Mass * OSAStreamRougherFeedStream_Au)</f>
        <v>0</v>
      </c>
    </row>
    <row r="77" spans="1:5" ht="22.5">
      <c r="A77" s="27" t="s">
        <v>218</v>
      </c>
      <c r="B77" s="27" t="s">
        <v>219</v>
      </c>
      <c r="C77">
        <f>0</f>
        <v>0</v>
      </c>
      <c r="D77" s="14" t="s">
        <v>22</v>
      </c>
      <c r="E77">
        <f xml:space="preserve"> +(SAGMillFeedStream_Mass * SAGMillFeedStream_Cu)-(OSAStreamRougherFeedStream_Mass * OSAStreamRougherFeedStream_Cu)</f>
        <v>-3.3160176826640964E-9</v>
      </c>
    </row>
    <row r="78" spans="1:5" ht="22.5">
      <c r="A78" s="27" t="s">
        <v>220</v>
      </c>
      <c r="B78" s="27" t="s">
        <v>221</v>
      </c>
      <c r="C78">
        <f>0</f>
        <v>0</v>
      </c>
      <c r="D78" s="14" t="s">
        <v>22</v>
      </c>
      <c r="E78">
        <f xml:space="preserve"> +(SAGMillFeedStream_Mass * SAGMillFeedStream_F)-(OSAStreamRougherFeedStream_Mass * OSAStreamRougherFeedStream_F)</f>
        <v>-3.3287506084889174E-10</v>
      </c>
    </row>
    <row r="79" spans="1:5" ht="22.5">
      <c r="A79" s="27" t="s">
        <v>222</v>
      </c>
      <c r="B79" s="27" t="s">
        <v>223</v>
      </c>
      <c r="C79">
        <f>0</f>
        <v>0</v>
      </c>
      <c r="D79" s="14" t="s">
        <v>22</v>
      </c>
      <c r="E79">
        <f xml:space="preserve"> +(SAGMillFeedStream_Mass * SAGMillFeedStream_Fe)-(OSAStreamRougherFeedStream_Mass * OSAStreamRougherFeedStream_Fe)</f>
        <v>-1.5264959074556828E-8</v>
      </c>
    </row>
    <row r="80" spans="1:5" ht="22.5">
      <c r="A80" s="27" t="s">
        <v>224</v>
      </c>
      <c r="B80" s="27" t="s">
        <v>225</v>
      </c>
      <c r="C80">
        <f>0</f>
        <v>0</v>
      </c>
      <c r="D80" s="14" t="s">
        <v>22</v>
      </c>
      <c r="E80">
        <f xml:space="preserve"> +(SAGMillFeedStream_Mass * SAGMillFeedStream_S)-(OSAStreamRougherFeedStream_Mass * OSAStreamRougherFeedStream_S)</f>
        <v>-4.5212800614535809E-8</v>
      </c>
    </row>
    <row r="81" spans="1:5" ht="22.5">
      <c r="A81" s="27" t="s">
        <v>226</v>
      </c>
      <c r="B81" s="27" t="s">
        <v>227</v>
      </c>
      <c r="C81">
        <f>0</f>
        <v>0</v>
      </c>
      <c r="D81" s="14" t="s">
        <v>22</v>
      </c>
      <c r="E81">
        <f xml:space="preserve"> +(SAGMillFeedStream_Mass * SAGMillFeedStream_U)-(OSAStreamRougherFeedStream_Mass * OSAStreamRougherFeedStream_U)</f>
        <v>-4.3044678932346869E-11</v>
      </c>
    </row>
    <row r="82" spans="1:5" ht="22.5">
      <c r="A82" s="27" t="s">
        <v>228</v>
      </c>
      <c r="B82" s="27" t="s">
        <v>229</v>
      </c>
      <c r="C82">
        <f>0</f>
        <v>0</v>
      </c>
      <c r="D82" s="14" t="s">
        <v>22</v>
      </c>
      <c r="E82">
        <f xml:space="preserve"> +OSAStreamRougherFeedStream_Mass-CCLASStreamRougherFeedStream_Mass</f>
        <v>0</v>
      </c>
    </row>
    <row r="83" spans="1:5" ht="33.75">
      <c r="A83" s="27" t="s">
        <v>230</v>
      </c>
      <c r="B83" s="27" t="s">
        <v>231</v>
      </c>
      <c r="C83">
        <f>0</f>
        <v>0</v>
      </c>
      <c r="D83" s="14" t="s">
        <v>22</v>
      </c>
      <c r="E83">
        <f xml:space="preserve"> +(OSAStreamRougherFeedStream_Mass * OSAStreamRougherFeedStream_Ag)-(CCLASStreamRougherFeedStream_Mass * CCLASStreamRougherFeedStream_Ag)</f>
        <v>-1.4059864383852982E-12</v>
      </c>
    </row>
    <row r="84" spans="1:5" ht="33.75">
      <c r="A84" s="27" t="s">
        <v>232</v>
      </c>
      <c r="B84" s="27" t="s">
        <v>233</v>
      </c>
      <c r="C84">
        <f>0</f>
        <v>0</v>
      </c>
      <c r="D84" s="14" t="s">
        <v>22</v>
      </c>
      <c r="E84">
        <f xml:space="preserve"> +(OSAStreamRougherFeedStream_Mass * OSAStreamRougherFeedStream_Au)-(CCLASStreamRougherFeedStream_Mass * CCLASStreamRougherFeedStream_Au)</f>
        <v>-1.0591527654923993E-13</v>
      </c>
    </row>
    <row r="85" spans="1:5" ht="33.75">
      <c r="A85" s="27" t="s">
        <v>234</v>
      </c>
      <c r="B85" s="27" t="s">
        <v>235</v>
      </c>
      <c r="C85">
        <f>0</f>
        <v>0</v>
      </c>
      <c r="D85" s="14" t="s">
        <v>22</v>
      </c>
      <c r="E85">
        <f xml:space="preserve"> +(OSAStreamRougherFeedStream_Mass * OSAStreamRougherFeedStream_Cu)-(CCLASStreamRougherFeedStream_Mass * CCLASStreamRougherFeedStream_Cu)</f>
        <v>7.0758687797933817E-10</v>
      </c>
    </row>
    <row r="86" spans="1:5" ht="33.75">
      <c r="A86" s="27" t="s">
        <v>236</v>
      </c>
      <c r="B86" s="27" t="s">
        <v>237</v>
      </c>
      <c r="C86">
        <f>0</f>
        <v>0</v>
      </c>
      <c r="D86" s="14" t="s">
        <v>22</v>
      </c>
      <c r="E86">
        <f xml:space="preserve"> +(OSAStreamRougherFeedStream_Mass * OSAStreamRougherFeedStream_F)-(CCLASStreamRougherFeedStream_Mass * CCLASStreamRougherFeedStream_F)</f>
        <v>-1.1129941412946209E-10</v>
      </c>
    </row>
    <row r="87" spans="1:5" ht="33.75">
      <c r="A87" s="27" t="s">
        <v>238</v>
      </c>
      <c r="B87" s="27" t="s">
        <v>239</v>
      </c>
      <c r="C87">
        <f>0</f>
        <v>0</v>
      </c>
      <c r="D87" s="14" t="s">
        <v>22</v>
      </c>
      <c r="E87">
        <f xml:space="preserve"> +(OSAStreamRougherFeedStream_Mass * OSAStreamRougherFeedStream_Fe)-(CCLASStreamRougherFeedStream_Mass * CCLASStreamRougherFeedStream_Fe)</f>
        <v>-5.1804818212985992E-9</v>
      </c>
    </row>
    <row r="88" spans="1:5" ht="33.75">
      <c r="A88" s="27" t="s">
        <v>240</v>
      </c>
      <c r="B88" s="27" t="s">
        <v>241</v>
      </c>
      <c r="C88">
        <f>0</f>
        <v>0</v>
      </c>
      <c r="D88" s="14" t="s">
        <v>22</v>
      </c>
      <c r="E88">
        <f xml:space="preserve"> +(OSAStreamRougherFeedStream_Mass * OSAStreamRougherFeedStream_S)-(CCLASStreamRougherFeedStream_Mass * CCLASStreamRougherFeedStream_S)</f>
        <v>-1.5061232261359692E-8</v>
      </c>
    </row>
    <row r="89" spans="1:5" ht="33.75">
      <c r="A89" s="27" t="s">
        <v>242</v>
      </c>
      <c r="B89" s="27" t="s">
        <v>243</v>
      </c>
      <c r="C89">
        <f>0</f>
        <v>0</v>
      </c>
      <c r="D89" s="14" t="s">
        <v>22</v>
      </c>
      <c r="E89">
        <f xml:space="preserve"> +(OSAStreamRougherFeedStream_Mass * OSAStreamRougherFeedStream_U)-(CCLASStreamRougherFeedStream_Mass * CCLASStreamRougherFeedStream_U)</f>
        <v>-1.439559582649963E-11</v>
      </c>
    </row>
    <row r="90" spans="1:5" ht="33.75">
      <c r="A90" s="27" t="s">
        <v>244</v>
      </c>
      <c r="B90" s="27" t="s">
        <v>245</v>
      </c>
      <c r="C90">
        <f>TailsThickening_close_Mass - TailsThickening_open_Mass+0</f>
        <v>-10.460518808227789</v>
      </c>
      <c r="D90" s="14" t="s">
        <v>22</v>
      </c>
      <c r="E90">
        <f xml:space="preserve"> +CCLASStreamFlotationTailsStream_Mass-TailsThickenerUnderflowStream_Mass</f>
        <v>-10.460518808229608</v>
      </c>
    </row>
    <row r="91" spans="1:5" ht="45">
      <c r="A91" s="28" t="s">
        <v>246</v>
      </c>
      <c r="B91" s="28" t="s">
        <v>247</v>
      </c>
      <c r="C91">
        <f>(TailsThickening_close_Mass * TailsThickening_close_Ag) - (TailsThickening_open_Mass * TailsThickening_open_Ag)+0</f>
        <v>2.4483737390608384E-2</v>
      </c>
      <c r="D91" s="14" t="s">
        <v>22</v>
      </c>
      <c r="E91">
        <f xml:space="preserve"> +(CCLASStreamFlotationTailsStream_Mass * CCLASStreamFlotationTailsStream_Ag)-(TailsThickenerUnderflowStream_Mass * TailsThickenerUnderflowStream_Ag)</f>
        <v>2.448357212116159E-2</v>
      </c>
    </row>
    <row r="92" spans="1:5" ht="45">
      <c r="A92" s="28" t="s">
        <v>248</v>
      </c>
      <c r="B92" s="28" t="s">
        <v>249</v>
      </c>
      <c r="C92">
        <f>(TailsThickening_close_Mass * TailsThickening_close_Au) - (TailsThickening_open_Mass * TailsThickening_open_Au)+0</f>
        <v>3.8349944416391293E-4</v>
      </c>
      <c r="D92" s="14" t="s">
        <v>22</v>
      </c>
      <c r="E92">
        <f xml:space="preserve"> +(CCLASStreamFlotationTailsStream_Mass * CCLASStreamFlotationTailsStream_Au)-(TailsThickenerUnderflowStream_Mass * TailsThickenerUnderflowStream_Au)</f>
        <v>3.8349157085725005E-4</v>
      </c>
    </row>
    <row r="93" spans="1:5" ht="45">
      <c r="A93" s="28" t="s">
        <v>250</v>
      </c>
      <c r="B93" s="28" t="s">
        <v>251</v>
      </c>
      <c r="C93">
        <f>(TailsThickening_close_Mass * TailsThickening_close_Cu) - (TailsThickening_open_Mass * TailsThickening_open_Cu)+0</f>
        <v>-30.962394825101569</v>
      </c>
      <c r="D93" s="14" t="s">
        <v>22</v>
      </c>
      <c r="E93">
        <f xml:space="preserve"> +(CCLASStreamFlotationTailsStream_Mass * CCLASStreamFlotationTailsStream_Cu)-(TailsThickenerUnderflowStream_Mass * TailsThickenerUnderflowStream_Cu)</f>
        <v>-30.962535796179964</v>
      </c>
    </row>
    <row r="94" spans="1:5" ht="45">
      <c r="A94" s="28" t="s">
        <v>252</v>
      </c>
      <c r="B94" s="28" t="s">
        <v>253</v>
      </c>
      <c r="C94">
        <f>(TailsThickening_close_Mass * TailsThickening_close_F) - (TailsThickening_open_Mass * TailsThickening_open_F)+0</f>
        <v>1.5698491959959995</v>
      </c>
      <c r="D94" s="14" t="s">
        <v>22</v>
      </c>
      <c r="E94">
        <f xml:space="preserve"> +(CCLASStreamFlotationTailsStream_Mass * CCLASStreamFlotationTailsStream_F)-(TailsThickenerUnderflowStream_Mass * TailsThickenerUnderflowStream_F)</f>
        <v>1.569815398438891</v>
      </c>
    </row>
    <row r="95" spans="1:5" ht="45">
      <c r="A95" s="28" t="s">
        <v>254</v>
      </c>
      <c r="B95" s="28" t="s">
        <v>255</v>
      </c>
      <c r="C95">
        <f>(TailsThickening_close_Mass * TailsThickening_close_Fe) - (TailsThickening_open_Mass * TailsThickening_open_Fe)+0</f>
        <v>50.299665850146994</v>
      </c>
      <c r="D95" s="14" t="s">
        <v>22</v>
      </c>
      <c r="E95">
        <f xml:space="preserve"> +(CCLASStreamFlotationTailsStream_Mass * CCLASStreamFlotationTailsStream_Fe)-(TailsThickenerUnderflowStream_Mass * TailsThickenerUnderflowStream_Fe)</f>
        <v>50.294911582808709</v>
      </c>
    </row>
    <row r="96" spans="1:5" ht="45">
      <c r="A96" s="28" t="s">
        <v>256</v>
      </c>
      <c r="B96" s="28" t="s">
        <v>257</v>
      </c>
      <c r="C96">
        <f>(TailsThickening_close_Mass * TailsThickening_close_S) - (TailsThickening_open_Mass * TailsThickening_open_S)+0</f>
        <v>-301.02312734512452</v>
      </c>
      <c r="D96" s="14" t="s">
        <v>22</v>
      </c>
      <c r="E96">
        <f xml:space="preserve"> +(CCLASStreamFlotationTailsStream_Mass * CCLASStreamFlotationTailsStream_S)-(TailsThickenerUnderflowStream_Mass * TailsThickenerUnderflowStream_S)</f>
        <v>-301.02767530725396</v>
      </c>
    </row>
    <row r="97" spans="1:7" ht="45">
      <c r="A97" s="28" t="s">
        <v>258</v>
      </c>
      <c r="B97" s="28" t="s">
        <v>259</v>
      </c>
      <c r="C97">
        <f>(TailsThickening_close_Mass * TailsThickening_close_U) - (TailsThickening_open_Mass * TailsThickening_open_U)+0</f>
        <v>0.24702451831052841</v>
      </c>
      <c r="D97" s="14" t="s">
        <v>22</v>
      </c>
      <c r="E97">
        <f xml:space="preserve"> +(CCLASStreamFlotationTailsStream_Mass * CCLASStreamFlotationTailsStream_U)-(TailsThickenerUnderflowStream_Mass * TailsThickenerUnderflowStream_U)</f>
        <v>0.24702001242647498</v>
      </c>
    </row>
    <row r="98" spans="1:7">
      <c r="A98" s="27"/>
      <c r="B98" s="27"/>
    </row>
    <row r="99" spans="1:7" s="2" customFormat="1">
      <c r="A99" s="26" t="s">
        <v>260</v>
      </c>
      <c r="B99" s="26" t="s">
        <v>65</v>
      </c>
      <c r="C99" s="2" t="s">
        <v>66</v>
      </c>
      <c r="D99" s="2" t="s">
        <v>32</v>
      </c>
      <c r="E99" s="2" t="s">
        <v>66</v>
      </c>
    </row>
    <row r="100" spans="1:7" ht="22.5">
      <c r="A100" s="27" t="s">
        <v>261</v>
      </c>
      <c r="B100" s="27" t="s">
        <v>262</v>
      </c>
      <c r="C100">
        <f>(3*ConcThickenerUnderflowStream_Cu)-(ConcThickener_open_Cu)-(2*OSAStreamConcThickenerFeedStream_Cu)</f>
        <v>0</v>
      </c>
      <c r="D100" s="14" t="s">
        <v>22</v>
      </c>
      <c r="E100" s="29">
        <v>0</v>
      </c>
      <c r="F100" s="29"/>
      <c r="G100" s="29"/>
    </row>
    <row r="101" spans="1:7" ht="22.5">
      <c r="A101" s="27" t="s">
        <v>263</v>
      </c>
      <c r="B101" s="27" t="s">
        <v>264</v>
      </c>
      <c r="C101">
        <f>(3*ConcThickenerUnderflowStream_Fe)-(ConcThickener_open_Fe)-(2*OSAStreamConcThickenerFeedStream_Fe)</f>
        <v>0</v>
      </c>
      <c r="D101" s="14" t="s">
        <v>22</v>
      </c>
      <c r="E101" s="29">
        <v>0</v>
      </c>
      <c r="F101" s="29"/>
      <c r="G101" s="29"/>
    </row>
    <row r="102" spans="1:7" ht="22.5">
      <c r="A102" s="27" t="s">
        <v>265</v>
      </c>
      <c r="B102" s="27" t="s">
        <v>266</v>
      </c>
      <c r="C102">
        <f>(3*ConcThickenerUnderflowStream_Au)-(ConcThickener_open_Au)-(2*OSAStreamConcThickenerFeedStream_Au)</f>
        <v>0</v>
      </c>
      <c r="D102" s="14" t="s">
        <v>22</v>
      </c>
      <c r="E102" s="29">
        <v>0</v>
      </c>
      <c r="F102" s="29"/>
      <c r="G102" s="29"/>
    </row>
    <row r="103" spans="1:7" ht="22.5">
      <c r="A103" s="27" t="s">
        <v>267</v>
      </c>
      <c r="B103" s="27" t="s">
        <v>268</v>
      </c>
      <c r="C103">
        <f>(3*ConcThickenerUnderflowStream_Ag)-(ConcThickener_open_Ag)-(2*OSAStreamConcThickenerFeedStream_Ag)</f>
        <v>0</v>
      </c>
      <c r="D103" s="14" t="s">
        <v>22</v>
      </c>
      <c r="E103" s="29">
        <v>0</v>
      </c>
      <c r="F103" s="29"/>
      <c r="G103" s="29"/>
    </row>
    <row r="104" spans="1:7" ht="22.5">
      <c r="A104" s="27" t="s">
        <v>269</v>
      </c>
      <c r="B104" s="27" t="s">
        <v>270</v>
      </c>
      <c r="C104">
        <f>(3*ConcThickenerUnderflowStream_S)-(ConcThickener_open_S)-(2*OSAStreamConcThickenerFeedStream_S)</f>
        <v>0</v>
      </c>
      <c r="D104" s="14" t="s">
        <v>22</v>
      </c>
      <c r="E104" s="29">
        <v>0</v>
      </c>
      <c r="F104" s="29"/>
      <c r="G104" s="29"/>
    </row>
    <row r="105" spans="1:7" ht="22.5">
      <c r="A105" s="27" t="s">
        <v>271</v>
      </c>
      <c r="B105" s="27" t="s">
        <v>272</v>
      </c>
      <c r="C105">
        <f>(3*ConcThickenerUnderflowStream_U)-(ConcThickener_open_U)-(2*OSAStreamConcThickenerFeedStream_U)</f>
        <v>0</v>
      </c>
      <c r="D105" s="14" t="s">
        <v>22</v>
      </c>
      <c r="E105" s="29">
        <v>0</v>
      </c>
      <c r="F105" s="29"/>
      <c r="G105" s="29"/>
    </row>
    <row r="106" spans="1:7" ht="22.5">
      <c r="A106" s="27" t="s">
        <v>273</v>
      </c>
      <c r="B106" s="27" t="s">
        <v>274</v>
      </c>
      <c r="C106">
        <f>(3*ConcThickenerUnderflowStream_F)-(ConcThickener_open_F)-(2*OSAStreamConcThickenerFeedStream_F)</f>
        <v>0</v>
      </c>
      <c r="D106" s="14" t="s">
        <v>22</v>
      </c>
      <c r="E106" s="29">
        <v>0</v>
      </c>
      <c r="F106" s="29"/>
      <c r="G106" s="29"/>
    </row>
    <row r="107" spans="1:7" ht="22.5">
      <c r="A107" s="27" t="s">
        <v>275</v>
      </c>
      <c r="B107" s="27" t="s">
        <v>276</v>
      </c>
      <c r="C107">
        <f>(4*TailsThickenerUnderflowStream_Cu)-(TailsThickening_open_Cu)-(3*OSAStreamFlotationTailsStream_Cu)</f>
        <v>0</v>
      </c>
      <c r="D107" s="14" t="s">
        <v>22</v>
      </c>
      <c r="E107" s="29">
        <v>0</v>
      </c>
      <c r="F107" s="29"/>
      <c r="G107" s="29"/>
    </row>
    <row r="108" spans="1:7" ht="22.5">
      <c r="A108" s="27" t="s">
        <v>277</v>
      </c>
      <c r="B108" s="27" t="s">
        <v>278</v>
      </c>
      <c r="C108">
        <f>(4*TailsThickenerUnderflowStream_Fe)-(TailsThickening_open_Fe)-(3*OSAStreamFlotationTailsStream_Fe)</f>
        <v>0</v>
      </c>
      <c r="D108" s="14" t="s">
        <v>22</v>
      </c>
      <c r="E108" s="29">
        <v>0</v>
      </c>
      <c r="F108" s="29"/>
      <c r="G108" s="29"/>
    </row>
    <row r="109" spans="1:7" ht="22.5">
      <c r="A109" s="27" t="s">
        <v>279</v>
      </c>
      <c r="B109" s="27" t="s">
        <v>280</v>
      </c>
      <c r="C109">
        <f>(4*TailsThickenerUnderflowStream_Au)-(TailsThickening_open_Au)-(3*OSAStreamFlotationTailsStream_Au)</f>
        <v>0</v>
      </c>
      <c r="D109" s="14" t="s">
        <v>22</v>
      </c>
      <c r="E109" s="29">
        <v>0</v>
      </c>
      <c r="F109" s="29"/>
      <c r="G109" s="29"/>
    </row>
    <row r="110" spans="1:7" ht="22.5">
      <c r="A110" s="27" t="s">
        <v>281</v>
      </c>
      <c r="B110" s="27" t="s">
        <v>282</v>
      </c>
      <c r="C110">
        <f>(4*TailsThickenerUnderflowStream_Ag)-(TailsThickening_open_Ag)-(3*OSAStreamFlotationTailsStream_Ag)</f>
        <v>0</v>
      </c>
      <c r="D110" s="14" t="s">
        <v>22</v>
      </c>
      <c r="E110" s="29">
        <v>0</v>
      </c>
      <c r="F110" s="29"/>
      <c r="G110" s="29"/>
    </row>
    <row r="111" spans="1:7" ht="22.5">
      <c r="A111" s="27" t="s">
        <v>283</v>
      </c>
      <c r="B111" s="27" t="s">
        <v>284</v>
      </c>
      <c r="C111">
        <f>(4*TailsThickenerUnderflowStream_S)-(TailsThickening_open_S)-(3*OSAStreamFlotationTailsStream_S)</f>
        <v>0</v>
      </c>
      <c r="D111" s="14" t="s">
        <v>22</v>
      </c>
      <c r="E111" s="29">
        <v>0</v>
      </c>
      <c r="F111" s="29"/>
      <c r="G111" s="29"/>
    </row>
    <row r="112" spans="1:7" ht="22.5">
      <c r="A112" s="27" t="s">
        <v>285</v>
      </c>
      <c r="B112" s="27" t="s">
        <v>286</v>
      </c>
      <c r="C112">
        <f>(4*TailsThickenerUnderflowStream_U)-(TailsThickening_open_U)-(3*OSAStreamFlotationTailsStream_U)</f>
        <v>0</v>
      </c>
      <c r="D112" s="14" t="s">
        <v>22</v>
      </c>
      <c r="E112" s="29">
        <v>0</v>
      </c>
      <c r="F112" s="29"/>
      <c r="G112" s="29"/>
    </row>
    <row r="113" spans="1:7" ht="22.5">
      <c r="A113" s="27" t="s">
        <v>287</v>
      </c>
      <c r="B113" s="27" t="s">
        <v>288</v>
      </c>
      <c r="C113">
        <f>(4*TailsThickenerUnderflowStream_F)-(TailsThickening_open_F)-(3*OSAStreamFlotationTailsStream_F)</f>
        <v>0</v>
      </c>
      <c r="D113" s="14" t="s">
        <v>22</v>
      </c>
      <c r="E113" s="29">
        <v>0</v>
      </c>
      <c r="F113" s="29"/>
      <c r="G113" s="29"/>
    </row>
    <row r="114" spans="1:7" ht="22.5">
      <c r="A114" s="27" t="s">
        <v>289</v>
      </c>
      <c r="B114" s="27" t="s">
        <v>290</v>
      </c>
      <c r="C114">
        <f>(ConcStorageTank1UnderflowStream_Cu)-(ConcStorageTank1_open_Cu)</f>
        <v>0</v>
      </c>
      <c r="D114" s="14" t="s">
        <v>22</v>
      </c>
      <c r="E114" s="29">
        <v>0</v>
      </c>
      <c r="F114" s="29"/>
      <c r="G114" s="29"/>
    </row>
    <row r="115" spans="1:7" ht="22.5">
      <c r="A115" s="27" t="s">
        <v>291</v>
      </c>
      <c r="B115" s="27" t="s">
        <v>292</v>
      </c>
      <c r="C115">
        <f>(ConcStorageTank1UnderflowStream_Fe)-(ConcStorageTank1_open_Fe)</f>
        <v>0</v>
      </c>
      <c r="D115" s="14" t="s">
        <v>22</v>
      </c>
      <c r="E115" s="29">
        <v>0</v>
      </c>
      <c r="F115" s="29"/>
      <c r="G115" s="29"/>
    </row>
    <row r="116" spans="1:7" ht="22.5">
      <c r="A116" s="27" t="s">
        <v>293</v>
      </c>
      <c r="B116" s="27" t="s">
        <v>294</v>
      </c>
      <c r="C116">
        <f>(ConcStorageTank1UnderflowStream_Au)-(ConcStorageTank1_open_Au)</f>
        <v>0</v>
      </c>
      <c r="D116" s="14" t="s">
        <v>22</v>
      </c>
      <c r="E116" s="29">
        <v>0</v>
      </c>
      <c r="F116" s="29"/>
      <c r="G116" s="29"/>
    </row>
    <row r="117" spans="1:7" ht="22.5">
      <c r="A117" s="27" t="s">
        <v>295</v>
      </c>
      <c r="B117" s="27" t="s">
        <v>296</v>
      </c>
      <c r="C117">
        <f>(ConcStorageTank1UnderflowStream_Ag)-(ConcStorageTank1_open_Ag)</f>
        <v>0</v>
      </c>
      <c r="D117" s="14" t="s">
        <v>22</v>
      </c>
      <c r="E117" s="29">
        <v>0</v>
      </c>
      <c r="F117" s="29"/>
      <c r="G117" s="29"/>
    </row>
    <row r="118" spans="1:7" ht="22.5">
      <c r="A118" s="27" t="s">
        <v>297</v>
      </c>
      <c r="B118" s="27" t="s">
        <v>298</v>
      </c>
      <c r="C118">
        <f>(ConcStorageTank1UnderflowStream_S)-(ConcStorageTank1_open_S)</f>
        <v>0</v>
      </c>
      <c r="D118" s="14" t="s">
        <v>22</v>
      </c>
      <c r="E118" s="29">
        <v>0</v>
      </c>
      <c r="F118" s="29"/>
      <c r="G118" s="29"/>
    </row>
    <row r="119" spans="1:7" ht="22.5">
      <c r="A119" s="27" t="s">
        <v>299</v>
      </c>
      <c r="B119" s="27" t="s">
        <v>300</v>
      </c>
      <c r="C119">
        <f>(ConcStorageTank1UnderflowStream_U)-(ConcStorageTank1_open_U)</f>
        <v>0</v>
      </c>
      <c r="D119" s="14" t="s">
        <v>22</v>
      </c>
      <c r="E119" s="29">
        <v>0</v>
      </c>
      <c r="F119" s="29"/>
      <c r="G119" s="29"/>
    </row>
    <row r="120" spans="1:7" ht="22.5">
      <c r="A120" s="27" t="s">
        <v>301</v>
      </c>
      <c r="B120" s="27" t="s">
        <v>302</v>
      </c>
      <c r="C120">
        <f>(ConcStorageTank1UnderflowStream_F)-(ConcStorageTank1_open_F)</f>
        <v>0</v>
      </c>
      <c r="D120" s="14" t="s">
        <v>22</v>
      </c>
      <c r="E120" s="29">
        <v>0</v>
      </c>
      <c r="F120" s="29"/>
      <c r="G120" s="29"/>
    </row>
    <row r="121" spans="1:7" ht="22.5">
      <c r="A121" s="27" t="s">
        <v>303</v>
      </c>
      <c r="B121" s="27" t="s">
        <v>304</v>
      </c>
      <c r="C121">
        <f>(ConcStorageTank2UnderflowStream_Cu)-(ConcStorageTank2_open_Cu)</f>
        <v>0</v>
      </c>
      <c r="D121" s="14" t="s">
        <v>22</v>
      </c>
      <c r="E121" s="29">
        <v>0</v>
      </c>
      <c r="F121" s="29"/>
      <c r="G121" s="29"/>
    </row>
    <row r="122" spans="1:7" ht="22.5">
      <c r="A122" s="27" t="s">
        <v>305</v>
      </c>
      <c r="B122" s="27" t="s">
        <v>306</v>
      </c>
      <c r="C122">
        <f>(ConcStorageTank2UnderflowStream_Fe)-(ConcStorageTank2_open_Fe)</f>
        <v>0</v>
      </c>
      <c r="D122" s="14" t="s">
        <v>22</v>
      </c>
      <c r="E122" s="29">
        <v>0</v>
      </c>
      <c r="F122" s="29"/>
      <c r="G122" s="29"/>
    </row>
    <row r="123" spans="1:7" ht="22.5">
      <c r="A123" s="27" t="s">
        <v>307</v>
      </c>
      <c r="B123" s="27" t="s">
        <v>308</v>
      </c>
      <c r="C123">
        <f>(ConcStorageTank2UnderflowStream_Au)-(ConcStorageTank2_open_Au)</f>
        <v>0</v>
      </c>
      <c r="D123" s="14" t="s">
        <v>22</v>
      </c>
      <c r="E123" s="29">
        <v>0</v>
      </c>
      <c r="F123" s="29"/>
      <c r="G123" s="29"/>
    </row>
    <row r="124" spans="1:7" ht="22.5">
      <c r="A124" s="27" t="s">
        <v>309</v>
      </c>
      <c r="B124" s="27" t="s">
        <v>310</v>
      </c>
      <c r="C124">
        <f>(ConcStorageTank2UnderflowStream_Ag)-(ConcStorageTank2_open_Ag)</f>
        <v>0</v>
      </c>
      <c r="D124" s="14" t="s">
        <v>22</v>
      </c>
      <c r="E124" s="29">
        <v>0</v>
      </c>
      <c r="F124" s="29"/>
      <c r="G124" s="29"/>
    </row>
    <row r="125" spans="1:7" ht="22.5">
      <c r="A125" s="27" t="s">
        <v>311</v>
      </c>
      <c r="B125" s="27" t="s">
        <v>312</v>
      </c>
      <c r="C125">
        <f>(ConcStorageTank2UnderflowStream_S)-(ConcStorageTank2_open_S)</f>
        <v>0</v>
      </c>
      <c r="D125" s="14" t="s">
        <v>22</v>
      </c>
      <c r="E125" s="29">
        <v>0</v>
      </c>
      <c r="F125" s="29"/>
      <c r="G125" s="29"/>
    </row>
    <row r="126" spans="1:7" ht="22.5">
      <c r="A126" s="27" t="s">
        <v>313</v>
      </c>
      <c r="B126" s="27" t="s">
        <v>314</v>
      </c>
      <c r="C126">
        <f>(ConcStorageTank2UnderflowStream_U)-(ConcStorageTank2_open_U)</f>
        <v>0</v>
      </c>
      <c r="D126" s="14" t="s">
        <v>22</v>
      </c>
      <c r="E126" s="29">
        <v>0</v>
      </c>
      <c r="F126" s="29"/>
      <c r="G126" s="29"/>
    </row>
    <row r="127" spans="1:7" ht="22.5">
      <c r="A127" s="27" t="s">
        <v>315</v>
      </c>
      <c r="B127" s="27" t="s">
        <v>316</v>
      </c>
      <c r="C127">
        <f>(ConcStorageTank2UnderflowStream_F)-(ConcStorageTank2_open_F)</f>
        <v>0</v>
      </c>
      <c r="D127" s="14" t="s">
        <v>22</v>
      </c>
      <c r="E127" s="29">
        <v>0</v>
      </c>
      <c r="F127" s="29"/>
      <c r="G127" s="29"/>
    </row>
    <row r="128" spans="1:7" ht="22.5">
      <c r="A128" s="27" t="s">
        <v>317</v>
      </c>
      <c r="B128" s="27" t="s">
        <v>318</v>
      </c>
      <c r="C128">
        <f>(SpillageReturnStream_Cu)-(PressureFilterFeedStream_Cu)</f>
        <v>0</v>
      </c>
      <c r="D128" s="14" t="s">
        <v>22</v>
      </c>
      <c r="E128" s="29">
        <v>0</v>
      </c>
      <c r="F128" s="29"/>
      <c r="G128" s="29"/>
    </row>
    <row r="129" spans="1:7" ht="22.5">
      <c r="A129" s="27" t="s">
        <v>319</v>
      </c>
      <c r="B129" s="27" t="s">
        <v>320</v>
      </c>
      <c r="C129">
        <f>(SpillageReturnStream_Fe)-(PressureFilterFeedStream_Fe)</f>
        <v>0</v>
      </c>
      <c r="D129" s="14" t="s">
        <v>22</v>
      </c>
      <c r="E129" s="29">
        <v>0</v>
      </c>
      <c r="F129" s="29"/>
      <c r="G129" s="29"/>
    </row>
    <row r="130" spans="1:7" ht="22.5">
      <c r="A130" s="27" t="s">
        <v>321</v>
      </c>
      <c r="B130" s="27" t="s">
        <v>322</v>
      </c>
      <c r="C130">
        <f>(SpillageReturnStream_Au)-(PressureFilterFeedStream_Au)</f>
        <v>0</v>
      </c>
      <c r="D130" s="14" t="s">
        <v>22</v>
      </c>
      <c r="E130" s="29">
        <v>0</v>
      </c>
      <c r="F130" s="29"/>
      <c r="G130" s="29"/>
    </row>
    <row r="131" spans="1:7" ht="22.5">
      <c r="A131" s="27" t="s">
        <v>323</v>
      </c>
      <c r="B131" s="27" t="s">
        <v>324</v>
      </c>
      <c r="C131">
        <f>(SpillageReturnStream_Ag)-(PressureFilterFeedStream_Ag)</f>
        <v>0</v>
      </c>
      <c r="D131" s="14" t="s">
        <v>22</v>
      </c>
      <c r="E131" s="29">
        <v>0</v>
      </c>
      <c r="F131" s="29"/>
      <c r="G131" s="29"/>
    </row>
    <row r="132" spans="1:7">
      <c r="A132" s="27" t="s">
        <v>325</v>
      </c>
      <c r="B132" s="27" t="s">
        <v>326</v>
      </c>
      <c r="C132">
        <f>(SpillageReturnStream_S)-(PressureFilterFeedStream_S)</f>
        <v>0</v>
      </c>
      <c r="D132" s="14" t="s">
        <v>22</v>
      </c>
      <c r="E132" s="29">
        <v>0</v>
      </c>
      <c r="F132" s="29"/>
      <c r="G132" s="29"/>
    </row>
    <row r="133" spans="1:7">
      <c r="A133" s="27" t="s">
        <v>327</v>
      </c>
      <c r="B133" s="27" t="s">
        <v>328</v>
      </c>
      <c r="C133">
        <f>(SpillageReturnStream_U)-(PressureFilterFeedStream_U)</f>
        <v>0</v>
      </c>
      <c r="D133" s="14" t="s">
        <v>22</v>
      </c>
      <c r="E133" s="29">
        <v>0</v>
      </c>
      <c r="F133" s="29"/>
      <c r="G133" s="29"/>
    </row>
    <row r="134" spans="1:7">
      <c r="A134" s="27" t="s">
        <v>329</v>
      </c>
      <c r="B134" s="27" t="s">
        <v>330</v>
      </c>
      <c r="C134">
        <f>(SpillageReturnStream_F)-(PressureFilterFeedStream_F)</f>
        <v>0</v>
      </c>
      <c r="D134" s="14" t="s">
        <v>22</v>
      </c>
      <c r="E134" s="29">
        <v>0</v>
      </c>
      <c r="F134" s="29"/>
      <c r="G134" s="29"/>
    </row>
    <row r="135" spans="1:7">
      <c r="A135" s="27"/>
      <c r="B135" s="27"/>
    </row>
    <row r="136" spans="1:7">
      <c r="A136" s="27" t="s">
        <v>331</v>
      </c>
      <c r="B136" s="27"/>
    </row>
    <row r="137" spans="1:7">
      <c r="A137" s="27"/>
      <c r="B137" s="27"/>
    </row>
    <row r="138" spans="1:7" s="2" customFormat="1">
      <c r="A138" s="26" t="s">
        <v>332</v>
      </c>
      <c r="B138" s="26" t="s">
        <v>65</v>
      </c>
      <c r="C138" s="2" t="s">
        <v>66</v>
      </c>
      <c r="D138" s="2" t="s">
        <v>32</v>
      </c>
      <c r="E138" s="2" t="s">
        <v>66</v>
      </c>
    </row>
    <row r="139" spans="1:7">
      <c r="A139" s="27" t="s">
        <v>333</v>
      </c>
      <c r="B139" s="27" t="s">
        <v>334</v>
      </c>
      <c r="C139">
        <f>ConcStorageTank1_close_Cu</f>
        <v>46.803008000000005</v>
      </c>
      <c r="D139" s="14" t="s">
        <v>335</v>
      </c>
      <c r="E139">
        <v>0</v>
      </c>
    </row>
    <row r="140" spans="1:7">
      <c r="A140" s="27" t="s">
        <v>336</v>
      </c>
      <c r="B140" s="27" t="s">
        <v>337</v>
      </c>
      <c r="C140">
        <f>ConcStorageTank1_close_Fe</f>
        <v>15.514926000000001</v>
      </c>
      <c r="D140" s="14" t="s">
        <v>335</v>
      </c>
      <c r="E140">
        <v>0</v>
      </c>
    </row>
    <row r="141" spans="1:7">
      <c r="A141" s="27" t="s">
        <v>338</v>
      </c>
      <c r="B141" s="27" t="s">
        <v>339</v>
      </c>
      <c r="C141">
        <f>ConcStorageTank1_close_Au</f>
        <v>1.3139073000000008E-3</v>
      </c>
      <c r="D141" s="14" t="s">
        <v>335</v>
      </c>
      <c r="E141">
        <v>0</v>
      </c>
    </row>
    <row r="142" spans="1:7">
      <c r="A142" s="27" t="s">
        <v>340</v>
      </c>
      <c r="B142" s="27" t="s">
        <v>341</v>
      </c>
      <c r="C142">
        <f>ConcStorageTank1_close_Ag</f>
        <v>1.4585253999999999E-2</v>
      </c>
      <c r="D142" s="14" t="s">
        <v>335</v>
      </c>
      <c r="E142">
        <v>0</v>
      </c>
    </row>
    <row r="143" spans="1:7">
      <c r="A143" s="27" t="s">
        <v>342</v>
      </c>
      <c r="B143" s="27" t="s">
        <v>343</v>
      </c>
      <c r="C143">
        <f>ConcStorageTank1_close_S</f>
        <v>17.750843</v>
      </c>
      <c r="D143" s="14" t="s">
        <v>335</v>
      </c>
      <c r="E143">
        <v>0</v>
      </c>
    </row>
    <row r="144" spans="1:7">
      <c r="A144" s="27" t="s">
        <v>344</v>
      </c>
      <c r="B144" s="27" t="s">
        <v>345</v>
      </c>
      <c r="C144">
        <f>ConcStorageTank1_close_U</f>
        <v>5.1087674000000003E-3</v>
      </c>
      <c r="D144" s="14" t="s">
        <v>335</v>
      </c>
      <c r="E144">
        <v>0</v>
      </c>
    </row>
    <row r="145" spans="1:5">
      <c r="A145" s="27" t="s">
        <v>346</v>
      </c>
      <c r="B145" s="27" t="s">
        <v>347</v>
      </c>
      <c r="C145">
        <f>ConcStorageTank1_close_F</f>
        <v>6.7001773400000006E-2</v>
      </c>
      <c r="D145" s="14" t="s">
        <v>335</v>
      </c>
      <c r="E145">
        <v>0</v>
      </c>
    </row>
    <row r="146" spans="1:5">
      <c r="A146" s="27" t="s">
        <v>348</v>
      </c>
      <c r="B146" s="27" t="s">
        <v>349</v>
      </c>
      <c r="C146">
        <f>ConcStorageTank2_close_Cu</f>
        <v>47.482674909300783</v>
      </c>
      <c r="D146" s="14" t="s">
        <v>335</v>
      </c>
      <c r="E146">
        <v>0</v>
      </c>
    </row>
    <row r="147" spans="1:5">
      <c r="A147" s="27" t="s">
        <v>350</v>
      </c>
      <c r="B147" s="27" t="s">
        <v>351</v>
      </c>
      <c r="C147">
        <f>ConcStorageTank2_close_Fe</f>
        <v>15.161846752750108</v>
      </c>
      <c r="D147" s="14" t="s">
        <v>335</v>
      </c>
      <c r="E147">
        <v>0</v>
      </c>
    </row>
    <row r="148" spans="1:5">
      <c r="A148" s="27" t="s">
        <v>352</v>
      </c>
      <c r="B148" s="27" t="s">
        <v>353</v>
      </c>
      <c r="C148">
        <f>ConcStorageTank2_close_Au</f>
        <v>1.3179899776825669E-3</v>
      </c>
      <c r="D148" s="14" t="s">
        <v>335</v>
      </c>
      <c r="E148">
        <v>0</v>
      </c>
    </row>
    <row r="149" spans="1:5">
      <c r="A149" s="27" t="s">
        <v>354</v>
      </c>
      <c r="B149" s="27" t="s">
        <v>355</v>
      </c>
      <c r="C149">
        <f>ConcStorageTank2_close_Ag</f>
        <v>1.4536130147710031E-2</v>
      </c>
      <c r="D149" s="14" t="s">
        <v>335</v>
      </c>
      <c r="E149">
        <v>0</v>
      </c>
    </row>
    <row r="150" spans="1:5">
      <c r="A150" s="27" t="s">
        <v>356</v>
      </c>
      <c r="B150" s="27" t="s">
        <v>357</v>
      </c>
      <c r="C150">
        <f>ConcStorageTank2_close_S</f>
        <v>17.779619780926406</v>
      </c>
      <c r="D150" s="14" t="s">
        <v>335</v>
      </c>
      <c r="E150">
        <v>0</v>
      </c>
    </row>
    <row r="151" spans="1:5">
      <c r="A151" s="27" t="s">
        <v>358</v>
      </c>
      <c r="B151" s="27" t="s">
        <v>359</v>
      </c>
      <c r="C151">
        <f>ConcStorageTank2_close_U</f>
        <v>5.588839935260579E-3</v>
      </c>
      <c r="D151" s="14" t="s">
        <v>335</v>
      </c>
      <c r="E151">
        <v>0</v>
      </c>
    </row>
    <row r="152" spans="1:5">
      <c r="A152" s="27" t="s">
        <v>360</v>
      </c>
      <c r="B152" s="27" t="s">
        <v>361</v>
      </c>
      <c r="C152">
        <f>ConcStorageTank2_close_F</f>
        <v>6.9103167752328248E-2</v>
      </c>
      <c r="D152" s="14" t="s">
        <v>335</v>
      </c>
      <c r="E152">
        <v>0</v>
      </c>
    </row>
    <row r="153" spans="1:5">
      <c r="A153" s="27" t="s">
        <v>362</v>
      </c>
      <c r="B153" s="27" t="s">
        <v>363</v>
      </c>
      <c r="C153">
        <f>ConcThickener_close_Cu</f>
        <v>46.906952062004073</v>
      </c>
      <c r="D153" s="14" t="s">
        <v>335</v>
      </c>
      <c r="E153">
        <v>0</v>
      </c>
    </row>
    <row r="154" spans="1:5">
      <c r="A154" s="27" t="s">
        <v>364</v>
      </c>
      <c r="B154" s="27" t="s">
        <v>365</v>
      </c>
      <c r="C154">
        <f>ConcThickener_close_Fe</f>
        <v>15.3963779956535</v>
      </c>
      <c r="D154" s="14" t="s">
        <v>335</v>
      </c>
      <c r="E154">
        <v>0</v>
      </c>
    </row>
    <row r="155" spans="1:5">
      <c r="A155" s="27" t="s">
        <v>366</v>
      </c>
      <c r="B155" s="27" t="s">
        <v>367</v>
      </c>
      <c r="C155">
        <f>ConcThickener_close_Au</f>
        <v>1.3211697879155087E-3</v>
      </c>
      <c r="D155" s="14" t="s">
        <v>335</v>
      </c>
      <c r="E155">
        <v>0</v>
      </c>
    </row>
    <row r="156" spans="1:5">
      <c r="A156" s="27" t="s">
        <v>368</v>
      </c>
      <c r="B156" s="27" t="s">
        <v>369</v>
      </c>
      <c r="C156">
        <f>ConcThickener_close_Ag</f>
        <v>1.4513015807963808E-2</v>
      </c>
      <c r="D156" s="14" t="s">
        <v>335</v>
      </c>
      <c r="E156">
        <v>0</v>
      </c>
    </row>
    <row r="157" spans="1:5">
      <c r="A157" s="27" t="s">
        <v>370</v>
      </c>
      <c r="B157" s="27" t="s">
        <v>371</v>
      </c>
      <c r="C157">
        <f>ConcThickener_close_S</f>
        <v>17.790395391139498</v>
      </c>
      <c r="D157" s="14" t="s">
        <v>335</v>
      </c>
      <c r="E157">
        <v>0</v>
      </c>
    </row>
    <row r="158" spans="1:5">
      <c r="A158" s="27" t="s">
        <v>372</v>
      </c>
      <c r="B158" s="27" t="s">
        <v>373</v>
      </c>
      <c r="C158">
        <f>ConcThickener_close_U</f>
        <v>5.1792078538315149E-3</v>
      </c>
      <c r="D158" s="14" t="s">
        <v>335</v>
      </c>
      <c r="E158">
        <v>0</v>
      </c>
    </row>
    <row r="159" spans="1:5">
      <c r="A159" s="27" t="s">
        <v>374</v>
      </c>
      <c r="B159" s="27" t="s">
        <v>375</v>
      </c>
      <c r="C159">
        <f>ConcThickener_close_F</f>
        <v>6.6966702005616441E-2</v>
      </c>
      <c r="D159" s="14" t="s">
        <v>335</v>
      </c>
      <c r="E159">
        <v>0</v>
      </c>
    </row>
    <row r="160" spans="1:5">
      <c r="A160" s="27" t="s">
        <v>376</v>
      </c>
      <c r="B160" s="27" t="s">
        <v>377</v>
      </c>
      <c r="C160">
        <f>TailsThickening_close_Cu</f>
        <v>0.18531118521311699</v>
      </c>
      <c r="D160" s="14" t="s">
        <v>335</v>
      </c>
      <c r="E160">
        <v>0</v>
      </c>
    </row>
    <row r="161" spans="1:5">
      <c r="A161" s="27" t="s">
        <v>378</v>
      </c>
      <c r="B161" s="27" t="s">
        <v>379</v>
      </c>
      <c r="C161">
        <f>TailsThickening_close_Fe</f>
        <v>6.1991807380809787</v>
      </c>
      <c r="D161" s="14" t="s">
        <v>335</v>
      </c>
      <c r="E161">
        <v>0</v>
      </c>
    </row>
    <row r="162" spans="1:5">
      <c r="A162" s="27" t="s">
        <v>380</v>
      </c>
      <c r="B162" s="27" t="s">
        <v>381</v>
      </c>
      <c r="C162">
        <f>TailsThickening_close_Au</f>
        <v>1.0422228728033129E-5</v>
      </c>
      <c r="D162" s="14" t="s">
        <v>335</v>
      </c>
      <c r="E162">
        <v>0</v>
      </c>
    </row>
    <row r="163" spans="1:5">
      <c r="A163" s="27" t="s">
        <v>382</v>
      </c>
      <c r="B163" s="27" t="s">
        <v>383</v>
      </c>
      <c r="C163">
        <f>TailsThickening_close_Ag</f>
        <v>2.1911170463235572E-4</v>
      </c>
      <c r="D163" s="14" t="s">
        <v>335</v>
      </c>
      <c r="E163">
        <v>0</v>
      </c>
    </row>
    <row r="164" spans="1:5">
      <c r="A164" s="27" t="s">
        <v>384</v>
      </c>
      <c r="B164" s="27" t="s">
        <v>385</v>
      </c>
      <c r="C164">
        <f>TailsThickening_close_S</f>
        <v>5.9997236922551656</v>
      </c>
      <c r="D164" s="14" t="s">
        <v>335</v>
      </c>
      <c r="E164">
        <v>0</v>
      </c>
    </row>
    <row r="165" spans="1:5">
      <c r="A165" s="27" t="s">
        <v>386</v>
      </c>
      <c r="B165" s="27" t="s">
        <v>387</v>
      </c>
      <c r="C165">
        <f>TailsThickening_close_U</f>
        <v>5.9387532534014272E-3</v>
      </c>
      <c r="D165" s="14" t="s">
        <v>335</v>
      </c>
      <c r="E165">
        <v>0</v>
      </c>
    </row>
    <row r="166" spans="1:5">
      <c r="A166" s="27" t="s">
        <v>388</v>
      </c>
      <c r="B166" s="27" t="s">
        <v>389</v>
      </c>
      <c r="C166">
        <f>TailsThickening_close_F</f>
        <v>4.5039067583107349E-2</v>
      </c>
      <c r="D166" s="14" t="s">
        <v>335</v>
      </c>
      <c r="E166">
        <v>0</v>
      </c>
    </row>
    <row r="167" spans="1:5">
      <c r="A167" s="27" t="s">
        <v>390</v>
      </c>
      <c r="B167" s="27" t="s">
        <v>391</v>
      </c>
      <c r="C167">
        <f>ConcStorageTank1_open_Cu</f>
        <v>46.803007999999998</v>
      </c>
      <c r="D167" s="14" t="s">
        <v>335</v>
      </c>
      <c r="E167">
        <v>0</v>
      </c>
    </row>
    <row r="168" spans="1:5">
      <c r="A168" s="27" t="s">
        <v>392</v>
      </c>
      <c r="B168" s="27" t="s">
        <v>393</v>
      </c>
      <c r="C168">
        <f>ConcStorageTank1_open_Fe</f>
        <v>15.514926000000001</v>
      </c>
      <c r="D168" s="14" t="s">
        <v>335</v>
      </c>
      <c r="E168">
        <v>0</v>
      </c>
    </row>
    <row r="169" spans="1:5">
      <c r="A169" s="27" t="s">
        <v>394</v>
      </c>
      <c r="B169" s="27" t="s">
        <v>395</v>
      </c>
      <c r="C169">
        <f>ConcStorageTank1_open_Au</f>
        <v>1.3139072999999999E-3</v>
      </c>
      <c r="D169" s="14" t="s">
        <v>335</v>
      </c>
      <c r="E169">
        <v>0</v>
      </c>
    </row>
    <row r="170" spans="1:5">
      <c r="A170" s="27" t="s">
        <v>396</v>
      </c>
      <c r="B170" s="27" t="s">
        <v>397</v>
      </c>
      <c r="C170">
        <f>ConcStorageTank1_open_Ag</f>
        <v>1.4585254000000001E-2</v>
      </c>
      <c r="D170" s="14" t="s">
        <v>335</v>
      </c>
      <c r="E170">
        <v>0</v>
      </c>
    </row>
    <row r="171" spans="1:5">
      <c r="A171" s="27" t="s">
        <v>398</v>
      </c>
      <c r="B171" s="27" t="s">
        <v>399</v>
      </c>
      <c r="C171">
        <f>ConcStorageTank1_open_S</f>
        <v>17.750843</v>
      </c>
      <c r="D171" s="14" t="s">
        <v>335</v>
      </c>
      <c r="E171">
        <v>0</v>
      </c>
    </row>
    <row r="172" spans="1:5">
      <c r="A172" s="27" t="s">
        <v>400</v>
      </c>
      <c r="B172" s="27" t="s">
        <v>401</v>
      </c>
      <c r="C172">
        <f>ConcStorageTank1_open_U</f>
        <v>5.1087674000000003E-3</v>
      </c>
      <c r="D172" s="14" t="s">
        <v>335</v>
      </c>
      <c r="E172">
        <v>0</v>
      </c>
    </row>
    <row r="173" spans="1:5">
      <c r="A173" s="27" t="s">
        <v>402</v>
      </c>
      <c r="B173" s="27" t="s">
        <v>403</v>
      </c>
      <c r="C173">
        <f>ConcStorageTank1_open_F</f>
        <v>6.7001773400000006E-2</v>
      </c>
      <c r="D173" s="14" t="s">
        <v>335</v>
      </c>
      <c r="E173">
        <v>0</v>
      </c>
    </row>
    <row r="174" spans="1:5">
      <c r="A174" s="27" t="s">
        <v>404</v>
      </c>
      <c r="B174" s="27" t="s">
        <v>405</v>
      </c>
      <c r="C174">
        <f>ConcStorageTank2_open_Cu</f>
        <v>47.559142999999999</v>
      </c>
      <c r="D174" s="14" t="s">
        <v>335</v>
      </c>
      <c r="E174">
        <v>0</v>
      </c>
    </row>
    <row r="175" spans="1:5">
      <c r="A175" s="27" t="s">
        <v>406</v>
      </c>
      <c r="B175" s="27" t="s">
        <v>407</v>
      </c>
      <c r="C175">
        <f>ConcStorageTank2_open_Fe</f>
        <v>14.991614999999999</v>
      </c>
      <c r="D175" s="14" t="s">
        <v>335</v>
      </c>
      <c r="E175">
        <v>0</v>
      </c>
    </row>
    <row r="176" spans="1:5">
      <c r="A176" s="27" t="s">
        <v>408</v>
      </c>
      <c r="B176" s="27" t="s">
        <v>409</v>
      </c>
      <c r="C176">
        <f>ConcStorageTank2_open_Au</f>
        <v>1.2884337999999999E-3</v>
      </c>
      <c r="D176" s="14" t="s">
        <v>335</v>
      </c>
      <c r="E176">
        <v>0</v>
      </c>
    </row>
    <row r="177" spans="1:5">
      <c r="A177" s="27" t="s">
        <v>410</v>
      </c>
      <c r="B177" s="27" t="s">
        <v>411</v>
      </c>
      <c r="C177">
        <f>ConcStorageTank2_open_Ag</f>
        <v>1.45145034E-2</v>
      </c>
      <c r="D177" s="14" t="s">
        <v>335</v>
      </c>
      <c r="E177">
        <v>0</v>
      </c>
    </row>
    <row r="178" spans="1:5">
      <c r="A178" s="27" t="s">
        <v>412</v>
      </c>
      <c r="B178" s="27" t="s">
        <v>413</v>
      </c>
      <c r="C178">
        <f>ConcStorageTank2_open_S</f>
        <v>17.465229999999998</v>
      </c>
      <c r="D178" s="14" t="s">
        <v>335</v>
      </c>
      <c r="E178">
        <v>0</v>
      </c>
    </row>
    <row r="179" spans="1:5">
      <c r="A179" s="27" t="s">
        <v>414</v>
      </c>
      <c r="B179" s="27" t="s">
        <v>415</v>
      </c>
      <c r="C179">
        <f>ConcStorageTank2_open_U</f>
        <v>5.4770571999999997E-3</v>
      </c>
      <c r="D179" s="14" t="s">
        <v>335</v>
      </c>
      <c r="E179">
        <v>0</v>
      </c>
    </row>
    <row r="180" spans="1:5">
      <c r="A180" s="27" t="s">
        <v>416</v>
      </c>
      <c r="B180" s="27" t="s">
        <v>417</v>
      </c>
      <c r="C180">
        <f>ConcStorageTank2_open_F</f>
        <v>6.7829136200000001E-2</v>
      </c>
      <c r="D180" s="14" t="s">
        <v>335</v>
      </c>
      <c r="E180">
        <v>0</v>
      </c>
    </row>
    <row r="181" spans="1:5">
      <c r="A181" s="27" t="s">
        <v>418</v>
      </c>
      <c r="B181" s="27" t="s">
        <v>419</v>
      </c>
      <c r="C181">
        <f>ConcThickener_open_Cu</f>
        <v>46.817815000000003</v>
      </c>
      <c r="D181" s="14" t="s">
        <v>335</v>
      </c>
      <c r="E181">
        <v>0</v>
      </c>
    </row>
    <row r="182" spans="1:5">
      <c r="A182" s="27" t="s">
        <v>420</v>
      </c>
      <c r="B182" s="27" t="s">
        <v>421</v>
      </c>
      <c r="C182">
        <f>ConcThickener_open_Fe</f>
        <v>15.416853</v>
      </c>
      <c r="D182" s="14" t="s">
        <v>335</v>
      </c>
      <c r="E182">
        <v>0</v>
      </c>
    </row>
    <row r="183" spans="1:5">
      <c r="A183" s="27" t="s">
        <v>422</v>
      </c>
      <c r="B183" s="27" t="s">
        <v>423</v>
      </c>
      <c r="C183">
        <f>ConcThickener_open_Au</f>
        <v>1.3183448E-3</v>
      </c>
      <c r="D183" s="14" t="s">
        <v>335</v>
      </c>
      <c r="E183">
        <v>0</v>
      </c>
    </row>
    <row r="184" spans="1:5">
      <c r="A184" s="27" t="s">
        <v>424</v>
      </c>
      <c r="B184" s="27" t="s">
        <v>425</v>
      </c>
      <c r="C184">
        <f>ConcThickener_open_Ag</f>
        <v>1.45066251E-2</v>
      </c>
      <c r="D184" s="14" t="s">
        <v>335</v>
      </c>
      <c r="E184">
        <v>0</v>
      </c>
    </row>
    <row r="185" spans="1:5">
      <c r="A185" s="27" t="s">
        <v>426</v>
      </c>
      <c r="B185" s="27" t="s">
        <v>427</v>
      </c>
      <c r="C185">
        <f>ConcThickener_open_S</f>
        <v>17.756429000000001</v>
      </c>
      <c r="D185" s="14" t="s">
        <v>335</v>
      </c>
      <c r="E185">
        <v>0</v>
      </c>
    </row>
    <row r="186" spans="1:5">
      <c r="A186" s="27" t="s">
        <v>428</v>
      </c>
      <c r="B186" s="27" t="s">
        <v>429</v>
      </c>
      <c r="C186">
        <f>ConcThickener_open_U</f>
        <v>5.0968630999999997E-3</v>
      </c>
      <c r="D186" s="14" t="s">
        <v>335</v>
      </c>
      <c r="E186">
        <v>0</v>
      </c>
    </row>
    <row r="187" spans="1:5">
      <c r="A187" s="27" t="s">
        <v>430</v>
      </c>
      <c r="B187" s="27" t="s">
        <v>431</v>
      </c>
      <c r="C187">
        <f>ConcThickener_open_F</f>
        <v>6.6458544100000003E-2</v>
      </c>
      <c r="D187" s="14" t="s">
        <v>335</v>
      </c>
      <c r="E187">
        <v>0</v>
      </c>
    </row>
    <row r="188" spans="1:5">
      <c r="A188" s="27" t="s">
        <v>432</v>
      </c>
      <c r="B188" s="27" t="s">
        <v>433</v>
      </c>
      <c r="C188">
        <f>TailsThickening_open_Cu</f>
        <v>0.195048</v>
      </c>
      <c r="D188" s="14" t="s">
        <v>335</v>
      </c>
      <c r="E188">
        <v>0</v>
      </c>
    </row>
    <row r="189" spans="1:5">
      <c r="A189" s="27" t="s">
        <v>434</v>
      </c>
      <c r="B189" s="27" t="s">
        <v>435</v>
      </c>
      <c r="C189">
        <f>TailsThickening_open_Fe</f>
        <v>6.160552</v>
      </c>
      <c r="D189" s="14" t="s">
        <v>335</v>
      </c>
      <c r="E189">
        <v>0</v>
      </c>
    </row>
    <row r="190" spans="1:5">
      <c r="A190" s="27" t="s">
        <v>436</v>
      </c>
      <c r="B190" s="27" t="s">
        <v>437</v>
      </c>
      <c r="C190">
        <f>TailsThickening_open_Au</f>
        <v>1.0257E-5</v>
      </c>
      <c r="D190" s="14" t="s">
        <v>335</v>
      </c>
      <c r="E190">
        <v>0</v>
      </c>
    </row>
    <row r="191" spans="1:5">
      <c r="A191" s="27" t="s">
        <v>438</v>
      </c>
      <c r="B191" s="27" t="s">
        <v>439</v>
      </c>
      <c r="C191">
        <f>TailsThickening_open_Ag</f>
        <v>2.1012909999999999E-4</v>
      </c>
      <c r="D191" s="14" t="s">
        <v>335</v>
      </c>
      <c r="E191">
        <v>0</v>
      </c>
    </row>
    <row r="192" spans="1:5">
      <c r="A192" s="27" t="s">
        <v>440</v>
      </c>
      <c r="B192" s="27" t="s">
        <v>441</v>
      </c>
      <c r="C192">
        <f>TailsThickening_open_S</f>
        <v>6.0796549999999998</v>
      </c>
      <c r="D192" s="14" t="s">
        <v>335</v>
      </c>
      <c r="E192">
        <v>0</v>
      </c>
    </row>
    <row r="193" spans="1:5">
      <c r="A193" s="27" t="s">
        <v>442</v>
      </c>
      <c r="B193" s="27" t="s">
        <v>443</v>
      </c>
      <c r="C193">
        <f>TailsThickening_open_U</f>
        <v>5.8350421E-3</v>
      </c>
      <c r="D193" s="14" t="s">
        <v>335</v>
      </c>
      <c r="E193">
        <v>0</v>
      </c>
    </row>
    <row r="194" spans="1:5">
      <c r="A194" s="27" t="s">
        <v>444</v>
      </c>
      <c r="B194" s="27" t="s">
        <v>445</v>
      </c>
      <c r="C194">
        <f>TailsThickening_open_F</f>
        <v>4.4354368900000003E-2</v>
      </c>
      <c r="D194" s="14" t="s">
        <v>335</v>
      </c>
      <c r="E194">
        <v>0</v>
      </c>
    </row>
    <row r="195" spans="1:5">
      <c r="A195" s="27" t="s">
        <v>446</v>
      </c>
      <c r="B195" s="27" t="s">
        <v>447</v>
      </c>
      <c r="C195">
        <f>CrushedOreStream_Cu</f>
        <v>0</v>
      </c>
      <c r="D195" s="14" t="s">
        <v>335</v>
      </c>
      <c r="E195">
        <v>0</v>
      </c>
    </row>
    <row r="196" spans="1:5">
      <c r="A196" s="27" t="s">
        <v>448</v>
      </c>
      <c r="B196" s="27" t="s">
        <v>449</v>
      </c>
      <c r="C196">
        <f>CrushedOreStream_Fe</f>
        <v>0</v>
      </c>
      <c r="D196" s="14" t="s">
        <v>335</v>
      </c>
      <c r="E196">
        <v>0</v>
      </c>
    </row>
    <row r="197" spans="1:5">
      <c r="A197" s="27" t="s">
        <v>450</v>
      </c>
      <c r="B197" s="27" t="s">
        <v>451</v>
      </c>
      <c r="C197">
        <f>CrushedOreStream_Au</f>
        <v>0</v>
      </c>
      <c r="D197" s="14" t="s">
        <v>335</v>
      </c>
      <c r="E197">
        <v>0</v>
      </c>
    </row>
    <row r="198" spans="1:5">
      <c r="A198" s="27" t="s">
        <v>452</v>
      </c>
      <c r="B198" s="27" t="s">
        <v>453</v>
      </c>
      <c r="C198">
        <f>CrushedOreStream_Ag</f>
        <v>0</v>
      </c>
      <c r="D198" s="14" t="s">
        <v>335</v>
      </c>
      <c r="E198">
        <v>0</v>
      </c>
    </row>
    <row r="199" spans="1:5">
      <c r="A199" s="27" t="s">
        <v>454</v>
      </c>
      <c r="B199" s="27" t="s">
        <v>455</v>
      </c>
      <c r="C199">
        <f>CrushedOreStream_S</f>
        <v>0</v>
      </c>
      <c r="D199" s="14" t="s">
        <v>335</v>
      </c>
      <c r="E199">
        <v>0</v>
      </c>
    </row>
    <row r="200" spans="1:5">
      <c r="A200" s="27" t="s">
        <v>456</v>
      </c>
      <c r="B200" s="27" t="s">
        <v>457</v>
      </c>
      <c r="C200">
        <f>CrushedOreStream_U</f>
        <v>0</v>
      </c>
      <c r="D200" s="14" t="s">
        <v>335</v>
      </c>
      <c r="E200">
        <v>0</v>
      </c>
    </row>
    <row r="201" spans="1:5">
      <c r="A201" s="27" t="s">
        <v>458</v>
      </c>
      <c r="B201" s="27" t="s">
        <v>459</v>
      </c>
      <c r="C201">
        <f>CrushedOreStream_F</f>
        <v>0</v>
      </c>
      <c r="D201" s="14" t="s">
        <v>335</v>
      </c>
      <c r="E201">
        <v>0</v>
      </c>
    </row>
    <row r="202" spans="1:5" ht="22.5">
      <c r="A202" s="27" t="s">
        <v>460</v>
      </c>
      <c r="B202" s="27" t="s">
        <v>461</v>
      </c>
      <c r="C202">
        <f>CCLASStreamConcThickenerFeedStream_Cu</f>
        <v>47.738255125741965</v>
      </c>
      <c r="D202" s="14" t="s">
        <v>335</v>
      </c>
      <c r="E202">
        <v>0</v>
      </c>
    </row>
    <row r="203" spans="1:5" ht="22.5">
      <c r="A203" s="27" t="s">
        <v>462</v>
      </c>
      <c r="B203" s="27" t="s">
        <v>463</v>
      </c>
      <c r="C203">
        <f>CCLASStreamConcThickenerFeedStream_Fe</f>
        <v>15.205424674982988</v>
      </c>
      <c r="D203" s="14" t="s">
        <v>335</v>
      </c>
      <c r="E203">
        <v>0</v>
      </c>
    </row>
    <row r="204" spans="1:5" ht="22.5">
      <c r="A204" s="27" t="s">
        <v>464</v>
      </c>
      <c r="B204" s="27" t="s">
        <v>465</v>
      </c>
      <c r="C204">
        <f>CCLASStreamConcThickenerFeedStream_Au</f>
        <v>1.3475162130437792E-3</v>
      </c>
      <c r="D204" s="14" t="s">
        <v>335</v>
      </c>
      <c r="E204">
        <v>0</v>
      </c>
    </row>
    <row r="205" spans="1:5" ht="22.5">
      <c r="A205" s="27" t="s">
        <v>466</v>
      </c>
      <c r="B205" s="27" t="s">
        <v>467</v>
      </c>
      <c r="C205">
        <f>CCLASStreamConcThickenerFeedStream_Ag</f>
        <v>1.4572617279529724E-2</v>
      </c>
      <c r="D205" s="14" t="s">
        <v>335</v>
      </c>
      <c r="E205">
        <v>0</v>
      </c>
    </row>
    <row r="206" spans="1:5" ht="22.5">
      <c r="A206" s="27" t="s">
        <v>468</v>
      </c>
      <c r="B206" s="27" t="s">
        <v>469</v>
      </c>
      <c r="C206">
        <f>CCLASStreamConcThickenerFeedStream_S</f>
        <v>18.107173595533997</v>
      </c>
      <c r="D206" s="14" t="s">
        <v>335</v>
      </c>
      <c r="E206">
        <v>0</v>
      </c>
    </row>
    <row r="207" spans="1:5" ht="22.5">
      <c r="A207" s="27" t="s">
        <v>470</v>
      </c>
      <c r="B207" s="27" t="s">
        <v>471</v>
      </c>
      <c r="C207">
        <f>CCLASStreamConcThickenerFeedStream_U</f>
        <v>5.9471689146995939E-3</v>
      </c>
      <c r="D207" s="14" t="s">
        <v>335</v>
      </c>
      <c r="E207">
        <v>0</v>
      </c>
    </row>
    <row r="208" spans="1:5" ht="22.5">
      <c r="A208" s="27" t="s">
        <v>472</v>
      </c>
      <c r="B208" s="27" t="s">
        <v>473</v>
      </c>
      <c r="C208">
        <f>CCLASStreamConcThickenerFeedStream_F</f>
        <v>7.1705868377100718E-2</v>
      </c>
      <c r="D208" s="14" t="s">
        <v>335</v>
      </c>
      <c r="E208">
        <v>0</v>
      </c>
    </row>
    <row r="209" spans="1:5" ht="22.5">
      <c r="A209" s="27" t="s">
        <v>474</v>
      </c>
      <c r="B209" s="27" t="s">
        <v>475</v>
      </c>
      <c r="C209">
        <f>CCLASStreamFlotationTailsStream_Cu</f>
        <v>0.1850097535160958</v>
      </c>
      <c r="D209" s="14" t="s">
        <v>335</v>
      </c>
      <c r="E209">
        <v>0</v>
      </c>
    </row>
    <row r="210" spans="1:5" ht="22.5">
      <c r="A210" s="27" t="s">
        <v>476</v>
      </c>
      <c r="B210" s="27" t="s">
        <v>477</v>
      </c>
      <c r="C210">
        <f>CCLASStreamFlotationTailsStream_Fe</f>
        <v>6.2003747598960652</v>
      </c>
      <c r="D210" s="14" t="s">
        <v>335</v>
      </c>
      <c r="E210">
        <v>0</v>
      </c>
    </row>
    <row r="211" spans="1:5" ht="22.5">
      <c r="A211" s="27" t="s">
        <v>478</v>
      </c>
      <c r="B211" s="27" t="s">
        <v>479</v>
      </c>
      <c r="C211">
        <f>CCLASStreamFlotationTailsStream_Au</f>
        <v>1.0427340192027875E-5</v>
      </c>
      <c r="D211" s="14" t="s">
        <v>335</v>
      </c>
      <c r="E211">
        <v>0</v>
      </c>
    </row>
    <row r="212" spans="1:5" ht="22.5">
      <c r="A212" s="27" t="s">
        <v>480</v>
      </c>
      <c r="B212" s="27" t="s">
        <v>481</v>
      </c>
      <c r="C212">
        <f>CCLASStreamFlotationTailsStream_Ag</f>
        <v>2.1938968633341641E-4</v>
      </c>
      <c r="D212" s="14" t="s">
        <v>335</v>
      </c>
      <c r="E212">
        <v>0</v>
      </c>
    </row>
    <row r="213" spans="1:5" ht="22.5">
      <c r="A213" s="27" t="s">
        <v>482</v>
      </c>
      <c r="B213" s="27" t="s">
        <v>483</v>
      </c>
      <c r="C213">
        <f>CCLASStreamFlotationTailsStream_S</f>
        <v>5.9972482447225497</v>
      </c>
      <c r="D213" s="14" t="s">
        <v>335</v>
      </c>
      <c r="E213">
        <v>0</v>
      </c>
    </row>
    <row r="214" spans="1:5" ht="22.5">
      <c r="A214" s="27" t="s">
        <v>484</v>
      </c>
      <c r="B214" s="27" t="s">
        <v>485</v>
      </c>
      <c r="C214">
        <f>CCLASStreamFlotationTailsStream_U</f>
        <v>5.9419620084186654E-3</v>
      </c>
      <c r="D214" s="14" t="s">
        <v>335</v>
      </c>
      <c r="E214">
        <v>0</v>
      </c>
    </row>
    <row r="215" spans="1:5" ht="22.5">
      <c r="A215" s="27" t="s">
        <v>486</v>
      </c>
      <c r="B215" s="27" t="s">
        <v>487</v>
      </c>
      <c r="C215">
        <f>CCLASStreamFlotationTailsStream_F</f>
        <v>4.5060249736913735E-2</v>
      </c>
      <c r="D215" s="14" t="s">
        <v>335</v>
      </c>
      <c r="E215">
        <v>0</v>
      </c>
    </row>
    <row r="216" spans="1:5" ht="22.5">
      <c r="A216" s="27" t="s">
        <v>488</v>
      </c>
      <c r="B216" s="27" t="s">
        <v>489</v>
      </c>
      <c r="C216">
        <f>CCLASStreamRougherFeedStream_Cu</f>
        <v>1.3750583404500738</v>
      </c>
      <c r="D216" s="14" t="s">
        <v>335</v>
      </c>
      <c r="E216">
        <v>0</v>
      </c>
    </row>
    <row r="217" spans="1:5" ht="22.5">
      <c r="A217" s="27" t="s">
        <v>490</v>
      </c>
      <c r="B217" s="27" t="s">
        <v>491</v>
      </c>
      <c r="C217">
        <f>CCLASStreamRougherFeedStream_Fe</f>
        <v>6.4257315502376251</v>
      </c>
      <c r="D217" s="14" t="s">
        <v>335</v>
      </c>
      <c r="E217">
        <v>0</v>
      </c>
    </row>
    <row r="218" spans="1:5" ht="22.5">
      <c r="A218" s="27" t="s">
        <v>492</v>
      </c>
      <c r="B218" s="27" t="s">
        <v>493</v>
      </c>
      <c r="C218">
        <f>CCLASStreamRougherFeedStream_Au</f>
        <v>4.3888792317134675E-5</v>
      </c>
      <c r="D218" s="14" t="s">
        <v>335</v>
      </c>
      <c r="E218">
        <v>0</v>
      </c>
    </row>
    <row r="219" spans="1:5" ht="22.5">
      <c r="A219" s="27" t="s">
        <v>494</v>
      </c>
      <c r="B219" s="27" t="s">
        <v>495</v>
      </c>
      <c r="C219">
        <f>CCLASStreamRougherFeedStream_Ag</f>
        <v>5.7858783592514766E-4</v>
      </c>
      <c r="D219" s="14" t="s">
        <v>335</v>
      </c>
      <c r="E219">
        <v>0</v>
      </c>
    </row>
    <row r="220" spans="1:5" ht="22.5">
      <c r="A220" s="27" t="s">
        <v>496</v>
      </c>
      <c r="B220" s="27" t="s">
        <v>497</v>
      </c>
      <c r="C220">
        <f>CCLASStreamRougherFeedStream_S</f>
        <v>6.3003065820902027</v>
      </c>
      <c r="D220" s="14" t="s">
        <v>335</v>
      </c>
      <c r="E220">
        <v>0</v>
      </c>
    </row>
    <row r="221" spans="1:5" ht="22.5">
      <c r="A221" s="27" t="s">
        <v>498</v>
      </c>
      <c r="B221" s="27" t="s">
        <v>499</v>
      </c>
      <c r="C221">
        <f>CCLASStreamRougherFeedStream_U</f>
        <v>5.9420924747951636E-3</v>
      </c>
      <c r="D221" s="14" t="s">
        <v>335</v>
      </c>
      <c r="E221">
        <v>0</v>
      </c>
    </row>
    <row r="222" spans="1:5" ht="22.5">
      <c r="A222" s="27" t="s">
        <v>500</v>
      </c>
      <c r="B222" s="27" t="s">
        <v>501</v>
      </c>
      <c r="C222">
        <f>CCLASStreamRougherFeedStream_F</f>
        <v>4.5727073408178109E-2</v>
      </c>
      <c r="D222" s="14" t="s">
        <v>335</v>
      </c>
      <c r="E222">
        <v>0</v>
      </c>
    </row>
    <row r="223" spans="1:5">
      <c r="A223" s="27" t="s">
        <v>502</v>
      </c>
      <c r="B223" s="27" t="s">
        <v>503</v>
      </c>
      <c r="C223">
        <f>ConcStorageTank1FeedStream_Cu</f>
        <v>0</v>
      </c>
      <c r="D223" s="14" t="s">
        <v>335</v>
      </c>
      <c r="E223">
        <v>0</v>
      </c>
    </row>
    <row r="224" spans="1:5">
      <c r="A224" s="27" t="s">
        <v>504</v>
      </c>
      <c r="B224" s="27" t="s">
        <v>505</v>
      </c>
      <c r="C224">
        <f>ConcStorageTank1FeedStream_Fe</f>
        <v>0</v>
      </c>
      <c r="D224" s="14" t="s">
        <v>335</v>
      </c>
      <c r="E224">
        <v>0</v>
      </c>
    </row>
    <row r="225" spans="1:5">
      <c r="A225" s="27" t="s">
        <v>506</v>
      </c>
      <c r="B225" s="27" t="s">
        <v>507</v>
      </c>
      <c r="C225">
        <f>ConcStorageTank1FeedStream_Au</f>
        <v>0</v>
      </c>
      <c r="D225" s="14" t="s">
        <v>335</v>
      </c>
      <c r="E225">
        <v>0</v>
      </c>
    </row>
    <row r="226" spans="1:5">
      <c r="A226" s="27" t="s">
        <v>508</v>
      </c>
      <c r="B226" s="27" t="s">
        <v>509</v>
      </c>
      <c r="C226">
        <f>ConcStorageTank1FeedStream_Ag</f>
        <v>0</v>
      </c>
      <c r="D226" s="14" t="s">
        <v>335</v>
      </c>
      <c r="E226">
        <v>0</v>
      </c>
    </row>
    <row r="227" spans="1:5">
      <c r="A227" s="27" t="s">
        <v>510</v>
      </c>
      <c r="B227" s="27" t="s">
        <v>511</v>
      </c>
      <c r="C227">
        <f>ConcStorageTank1FeedStream_S</f>
        <v>0</v>
      </c>
      <c r="D227" s="14" t="s">
        <v>335</v>
      </c>
      <c r="E227">
        <v>0</v>
      </c>
    </row>
    <row r="228" spans="1:5">
      <c r="A228" s="27" t="s">
        <v>512</v>
      </c>
      <c r="B228" s="27" t="s">
        <v>513</v>
      </c>
      <c r="C228">
        <f>ConcStorageTank1FeedStream_U</f>
        <v>0</v>
      </c>
      <c r="D228" s="14" t="s">
        <v>335</v>
      </c>
      <c r="E228">
        <v>0</v>
      </c>
    </row>
    <row r="229" spans="1:5">
      <c r="A229" s="27" t="s">
        <v>514</v>
      </c>
      <c r="B229" s="27" t="s">
        <v>515</v>
      </c>
      <c r="C229">
        <f>ConcStorageTank1FeedStream_F</f>
        <v>0</v>
      </c>
      <c r="D229" s="14" t="s">
        <v>335</v>
      </c>
      <c r="E229">
        <v>0</v>
      </c>
    </row>
    <row r="230" spans="1:5" ht="22.5">
      <c r="A230" s="27" t="s">
        <v>516</v>
      </c>
      <c r="B230" s="27" t="s">
        <v>517</v>
      </c>
      <c r="C230">
        <f>ConcStorageTank1UnderflowStream_Cu</f>
        <v>46.803007999999998</v>
      </c>
      <c r="D230" s="14" t="s">
        <v>335</v>
      </c>
      <c r="E230">
        <v>0</v>
      </c>
    </row>
    <row r="231" spans="1:5" ht="22.5">
      <c r="A231" s="27" t="s">
        <v>518</v>
      </c>
      <c r="B231" s="27" t="s">
        <v>519</v>
      </c>
      <c r="C231">
        <f>ConcStorageTank1UnderflowStream_Fe</f>
        <v>15.514926000000001</v>
      </c>
      <c r="D231" s="14" t="s">
        <v>335</v>
      </c>
      <c r="E231">
        <v>0</v>
      </c>
    </row>
    <row r="232" spans="1:5" ht="22.5">
      <c r="A232" s="27" t="s">
        <v>520</v>
      </c>
      <c r="B232" s="27" t="s">
        <v>521</v>
      </c>
      <c r="C232">
        <f>ConcStorageTank1UnderflowStream_Au</f>
        <v>1.3139072999999999E-3</v>
      </c>
      <c r="D232" s="14" t="s">
        <v>335</v>
      </c>
      <c r="E232">
        <v>0</v>
      </c>
    </row>
    <row r="233" spans="1:5" ht="22.5">
      <c r="A233" s="27" t="s">
        <v>522</v>
      </c>
      <c r="B233" s="27" t="s">
        <v>523</v>
      </c>
      <c r="C233">
        <f>ConcStorageTank1UnderflowStream_Ag</f>
        <v>1.4585254000000001E-2</v>
      </c>
      <c r="D233" s="14" t="s">
        <v>335</v>
      </c>
      <c r="E233">
        <v>0</v>
      </c>
    </row>
    <row r="234" spans="1:5" ht="22.5">
      <c r="A234" s="27" t="s">
        <v>524</v>
      </c>
      <c r="B234" s="27" t="s">
        <v>525</v>
      </c>
      <c r="C234">
        <f>ConcStorageTank1UnderflowStream_S</f>
        <v>17.750843</v>
      </c>
      <c r="D234" s="14" t="s">
        <v>335</v>
      </c>
      <c r="E234">
        <v>0</v>
      </c>
    </row>
    <row r="235" spans="1:5" ht="22.5">
      <c r="A235" s="27" t="s">
        <v>526</v>
      </c>
      <c r="B235" s="27" t="s">
        <v>527</v>
      </c>
      <c r="C235">
        <f>ConcStorageTank1UnderflowStream_U</f>
        <v>5.1087674000000003E-3</v>
      </c>
      <c r="D235" s="14" t="s">
        <v>335</v>
      </c>
      <c r="E235">
        <v>0</v>
      </c>
    </row>
    <row r="236" spans="1:5" ht="22.5">
      <c r="A236" s="27" t="s">
        <v>528</v>
      </c>
      <c r="B236" s="27" t="s">
        <v>529</v>
      </c>
      <c r="C236">
        <f>ConcStorageTank1UnderflowStream_F</f>
        <v>6.7001773400000006E-2</v>
      </c>
      <c r="D236" s="14" t="s">
        <v>335</v>
      </c>
      <c r="E236">
        <v>0</v>
      </c>
    </row>
    <row r="237" spans="1:5">
      <c r="A237" s="27" t="s">
        <v>530</v>
      </c>
      <c r="B237" s="27" t="s">
        <v>531</v>
      </c>
      <c r="C237">
        <f>ConcStorageTank2FeedStream_Cu</f>
        <v>47.431441820688725</v>
      </c>
      <c r="D237" s="14" t="s">
        <v>335</v>
      </c>
      <c r="E237">
        <v>0</v>
      </c>
    </row>
    <row r="238" spans="1:5">
      <c r="A238" s="27" t="s">
        <v>532</v>
      </c>
      <c r="B238" s="27" t="s">
        <v>533</v>
      </c>
      <c r="C238">
        <f>ConcStorageTank2FeedStream_Fe</f>
        <v>15.275900843963626</v>
      </c>
      <c r="D238" s="14" t="s">
        <v>335</v>
      </c>
      <c r="E238">
        <v>0</v>
      </c>
    </row>
    <row r="239" spans="1:5">
      <c r="A239" s="27" t="s">
        <v>534</v>
      </c>
      <c r="B239" s="27" t="s">
        <v>535</v>
      </c>
      <c r="C239">
        <f>ConcStorageTank2FeedStream_Au</f>
        <v>1.3377924103687901E-3</v>
      </c>
      <c r="D239" s="14" t="s">
        <v>335</v>
      </c>
      <c r="E239">
        <v>0</v>
      </c>
    </row>
    <row r="240" spans="1:5">
      <c r="A240" s="27" t="s">
        <v>536</v>
      </c>
      <c r="B240" s="27" t="s">
        <v>537</v>
      </c>
      <c r="C240">
        <f>ConcStorageTank2FeedStream_Ag</f>
        <v>1.4550619918201488E-2</v>
      </c>
      <c r="D240" s="14" t="s">
        <v>335</v>
      </c>
      <c r="E240">
        <v>0</v>
      </c>
    </row>
    <row r="241" spans="1:5">
      <c r="A241" s="27" t="s">
        <v>538</v>
      </c>
      <c r="B241" s="27" t="s">
        <v>539</v>
      </c>
      <c r="C241">
        <f>ConcStorageTank2FeedStream_S</f>
        <v>17.990258748742523</v>
      </c>
      <c r="D241" s="14" t="s">
        <v>335</v>
      </c>
      <c r="E241">
        <v>0</v>
      </c>
    </row>
    <row r="242" spans="1:5">
      <c r="A242" s="27" t="s">
        <v>540</v>
      </c>
      <c r="B242" s="27" t="s">
        <v>541</v>
      </c>
      <c r="C242">
        <f>ConcStorageTank2FeedStream_U</f>
        <v>5.6637335908540322E-3</v>
      </c>
      <c r="D242" s="14" t="s">
        <v>335</v>
      </c>
      <c r="E242">
        <v>0</v>
      </c>
    </row>
    <row r="243" spans="1:5">
      <c r="A243" s="27" t="s">
        <v>542</v>
      </c>
      <c r="B243" s="27" t="s">
        <v>543</v>
      </c>
      <c r="C243">
        <f>ConcStorageTank2FeedStream_F</f>
        <v>6.9956760037470103E-2</v>
      </c>
      <c r="D243" s="14" t="s">
        <v>335</v>
      </c>
      <c r="E243">
        <v>0</v>
      </c>
    </row>
    <row r="244" spans="1:5" ht="22.5">
      <c r="A244" s="27" t="s">
        <v>544</v>
      </c>
      <c r="B244" s="27" t="s">
        <v>545</v>
      </c>
      <c r="C244">
        <f>ConcStorageTank2UnderflowStream_Cu</f>
        <v>47.559142999999999</v>
      </c>
      <c r="D244" s="14" t="s">
        <v>335</v>
      </c>
      <c r="E244">
        <v>0</v>
      </c>
    </row>
    <row r="245" spans="1:5" ht="22.5">
      <c r="A245" s="27" t="s">
        <v>546</v>
      </c>
      <c r="B245" s="27" t="s">
        <v>547</v>
      </c>
      <c r="C245">
        <f>ConcStorageTank2UnderflowStream_Fe</f>
        <v>14.991614999999999</v>
      </c>
      <c r="D245" s="14" t="s">
        <v>335</v>
      </c>
      <c r="E245">
        <v>0</v>
      </c>
    </row>
    <row r="246" spans="1:5" ht="22.5">
      <c r="A246" s="27" t="s">
        <v>548</v>
      </c>
      <c r="B246" s="27" t="s">
        <v>549</v>
      </c>
      <c r="C246">
        <f>ConcStorageTank2UnderflowStream_Au</f>
        <v>1.2884337999999999E-3</v>
      </c>
      <c r="D246" s="14" t="s">
        <v>335</v>
      </c>
      <c r="E246">
        <v>0</v>
      </c>
    </row>
    <row r="247" spans="1:5" ht="22.5">
      <c r="A247" s="27" t="s">
        <v>550</v>
      </c>
      <c r="B247" s="27" t="s">
        <v>551</v>
      </c>
      <c r="C247">
        <f>ConcStorageTank2UnderflowStream_Ag</f>
        <v>1.45145034E-2</v>
      </c>
      <c r="D247" s="14" t="s">
        <v>335</v>
      </c>
      <c r="E247">
        <v>0</v>
      </c>
    </row>
    <row r="248" spans="1:5" ht="22.5">
      <c r="A248" s="27" t="s">
        <v>552</v>
      </c>
      <c r="B248" s="27" t="s">
        <v>553</v>
      </c>
      <c r="C248">
        <f>ConcStorageTank2UnderflowStream_S</f>
        <v>17.465229999999998</v>
      </c>
      <c r="D248" s="14" t="s">
        <v>335</v>
      </c>
      <c r="E248">
        <v>0</v>
      </c>
    </row>
    <row r="249" spans="1:5" ht="22.5">
      <c r="A249" s="27" t="s">
        <v>554</v>
      </c>
      <c r="B249" s="27" t="s">
        <v>555</v>
      </c>
      <c r="C249">
        <f>ConcStorageTank2UnderflowStream_U</f>
        <v>5.4770571999999997E-3</v>
      </c>
      <c r="D249" s="14" t="s">
        <v>335</v>
      </c>
      <c r="E249">
        <v>0</v>
      </c>
    </row>
    <row r="250" spans="1:5" ht="22.5">
      <c r="A250" s="27" t="s">
        <v>556</v>
      </c>
      <c r="B250" s="27" t="s">
        <v>557</v>
      </c>
      <c r="C250">
        <f>ConcStorageTank2UnderflowStream_F</f>
        <v>6.7829136200000001E-2</v>
      </c>
      <c r="D250" s="14" t="s">
        <v>335</v>
      </c>
      <c r="E250">
        <v>0</v>
      </c>
    </row>
    <row r="251" spans="1:5" ht="22.5">
      <c r="A251" s="27" t="s">
        <v>558</v>
      </c>
      <c r="B251" s="27" t="s">
        <v>559</v>
      </c>
      <c r="C251">
        <f>ConcThickenerUnderflowStream_Cu</f>
        <v>47.431441820687567</v>
      </c>
      <c r="D251" s="14" t="s">
        <v>335</v>
      </c>
      <c r="E251">
        <v>0</v>
      </c>
    </row>
    <row r="252" spans="1:5" ht="22.5">
      <c r="A252" s="27" t="s">
        <v>560</v>
      </c>
      <c r="B252" s="27" t="s">
        <v>561</v>
      </c>
      <c r="C252">
        <f>ConcThickenerUnderflowStream_Fe</f>
        <v>15.275900843962694</v>
      </c>
      <c r="D252" s="14" t="s">
        <v>335</v>
      </c>
      <c r="E252">
        <v>0</v>
      </c>
    </row>
    <row r="253" spans="1:5" ht="22.5">
      <c r="A253" s="27" t="s">
        <v>562</v>
      </c>
      <c r="B253" s="27" t="s">
        <v>563</v>
      </c>
      <c r="C253">
        <f>ConcThickenerUnderflowStream_Au</f>
        <v>1.3377924094478304E-3</v>
      </c>
      <c r="D253" s="14" t="s">
        <v>335</v>
      </c>
      <c r="E253">
        <v>0</v>
      </c>
    </row>
    <row r="254" spans="1:5" ht="22.5">
      <c r="A254" s="27" t="s">
        <v>564</v>
      </c>
      <c r="B254" s="27" t="s">
        <v>565</v>
      </c>
      <c r="C254">
        <f>ConcThickenerUnderflowStream_Ag</f>
        <v>1.4550619918158031E-2</v>
      </c>
      <c r="D254" s="14" t="s">
        <v>335</v>
      </c>
      <c r="E254">
        <v>0</v>
      </c>
    </row>
    <row r="255" spans="1:5">
      <c r="A255" s="27" t="s">
        <v>566</v>
      </c>
      <c r="B255" s="27" t="s">
        <v>567</v>
      </c>
      <c r="C255">
        <f>ConcThickenerUnderflowStream_S</f>
        <v>17.990258748741837</v>
      </c>
      <c r="D255" s="14" t="s">
        <v>335</v>
      </c>
      <c r="E255">
        <v>0</v>
      </c>
    </row>
    <row r="256" spans="1:5">
      <c r="A256" s="27" t="s">
        <v>568</v>
      </c>
      <c r="B256" s="27" t="s">
        <v>569</v>
      </c>
      <c r="C256">
        <f>ConcThickenerUnderflowStream_U</f>
        <v>5.6637335907633087E-3</v>
      </c>
      <c r="D256" s="14" t="s">
        <v>335</v>
      </c>
      <c r="E256">
        <v>0</v>
      </c>
    </row>
    <row r="257" spans="1:5">
      <c r="A257" s="27" t="s">
        <v>570</v>
      </c>
      <c r="B257" s="27" t="s">
        <v>571</v>
      </c>
      <c r="C257">
        <f>ConcThickenerUnderflowStream_F</f>
        <v>6.995676003746179E-2</v>
      </c>
      <c r="D257" s="14" t="s">
        <v>335</v>
      </c>
      <c r="E257">
        <v>0</v>
      </c>
    </row>
    <row r="258" spans="1:5" ht="22.5">
      <c r="A258" s="27" t="s">
        <v>572</v>
      </c>
      <c r="B258" s="27" t="s">
        <v>573</v>
      </c>
      <c r="C258">
        <f>OSAStreamConcThickenerFeedStream_Cu</f>
        <v>47.738255231031374</v>
      </c>
      <c r="D258" s="14" t="s">
        <v>335</v>
      </c>
      <c r="E258">
        <v>0</v>
      </c>
    </row>
    <row r="259" spans="1:5" ht="22.5">
      <c r="A259" s="27" t="s">
        <v>574</v>
      </c>
      <c r="B259" s="27" t="s">
        <v>575</v>
      </c>
      <c r="C259">
        <f>OSAStreamConcThickenerFeedStream_Fe</f>
        <v>15.205424765944041</v>
      </c>
      <c r="D259" s="14" t="s">
        <v>335</v>
      </c>
      <c r="E259">
        <v>0</v>
      </c>
    </row>
    <row r="260" spans="1:5" ht="22.5">
      <c r="A260" s="27" t="s">
        <v>576</v>
      </c>
      <c r="B260" s="27" t="s">
        <v>577</v>
      </c>
      <c r="C260">
        <f>OSAStreamConcThickenerFeedStream_Au</f>
        <v>1.3475162141717454E-3</v>
      </c>
      <c r="D260" s="14" t="s">
        <v>335</v>
      </c>
      <c r="E260">
        <v>0</v>
      </c>
    </row>
    <row r="261" spans="1:5" ht="22.5">
      <c r="A261" s="27" t="s">
        <v>578</v>
      </c>
      <c r="B261" s="27" t="s">
        <v>579</v>
      </c>
      <c r="C261">
        <f>OSAStreamConcThickenerFeedStream_Ag</f>
        <v>1.4572617327237041E-2</v>
      </c>
      <c r="D261" s="14" t="s">
        <v>335</v>
      </c>
      <c r="E261">
        <v>0</v>
      </c>
    </row>
    <row r="262" spans="1:5" ht="22.5">
      <c r="A262" s="27" t="s">
        <v>580</v>
      </c>
      <c r="B262" s="27" t="s">
        <v>581</v>
      </c>
      <c r="C262">
        <f>OSAStreamConcThickenerFeedStream_S</f>
        <v>18.107173623112754</v>
      </c>
      <c r="D262" s="14" t="s">
        <v>335</v>
      </c>
      <c r="E262">
        <v>0</v>
      </c>
    </row>
    <row r="263" spans="1:5" ht="22.5">
      <c r="A263" s="27" t="s">
        <v>582</v>
      </c>
      <c r="B263" s="27" t="s">
        <v>583</v>
      </c>
      <c r="C263">
        <f>OSAStreamConcThickenerFeedStream_U</f>
        <v>5.9471688361449624E-3</v>
      </c>
      <c r="D263" s="14" t="s">
        <v>335</v>
      </c>
      <c r="E263">
        <v>0</v>
      </c>
    </row>
    <row r="264" spans="1:5" ht="22.5">
      <c r="A264" s="27" t="s">
        <v>584</v>
      </c>
      <c r="B264" s="27" t="s">
        <v>585</v>
      </c>
      <c r="C264">
        <f>OSAStreamConcThickenerFeedStream_F</f>
        <v>7.1705868006192636E-2</v>
      </c>
      <c r="D264" s="14" t="s">
        <v>335</v>
      </c>
      <c r="E264">
        <v>0</v>
      </c>
    </row>
    <row r="265" spans="1:5">
      <c r="A265" s="27" t="s">
        <v>586</v>
      </c>
      <c r="B265" s="27" t="s">
        <v>587</v>
      </c>
      <c r="C265">
        <f>OSAStreamFlotationTailsStream_Cu</f>
        <v>0.18500975351624613</v>
      </c>
      <c r="D265" s="14" t="s">
        <v>335</v>
      </c>
      <c r="E265">
        <v>0</v>
      </c>
    </row>
    <row r="266" spans="1:5">
      <c r="A266" s="27" t="s">
        <v>588</v>
      </c>
      <c r="B266" s="27" t="s">
        <v>589</v>
      </c>
      <c r="C266">
        <f>OSAStreamFlotationTailsStream_Fe</f>
        <v>6.2003747598923047</v>
      </c>
      <c r="D266" s="14" t="s">
        <v>335</v>
      </c>
      <c r="E266">
        <v>0</v>
      </c>
    </row>
    <row r="267" spans="1:5">
      <c r="A267" s="27" t="s">
        <v>590</v>
      </c>
      <c r="B267" s="27" t="s">
        <v>591</v>
      </c>
      <c r="C267">
        <f>OSAStreamFlotationTailsStream_Au</f>
        <v>1.0427340154294414E-5</v>
      </c>
      <c r="D267" s="14" t="s">
        <v>335</v>
      </c>
      <c r="E267">
        <v>0</v>
      </c>
    </row>
    <row r="268" spans="1:5">
      <c r="A268" s="27" t="s">
        <v>592</v>
      </c>
      <c r="B268" s="27" t="s">
        <v>593</v>
      </c>
      <c r="C268">
        <f>OSAStreamFlotationTailsStream_Ag</f>
        <v>2.1938968676288941E-4</v>
      </c>
      <c r="D268" s="14" t="s">
        <v>335</v>
      </c>
      <c r="E268">
        <v>0</v>
      </c>
    </row>
    <row r="269" spans="1:5">
      <c r="A269" s="27" t="s">
        <v>594</v>
      </c>
      <c r="B269" s="27" t="s">
        <v>595</v>
      </c>
      <c r="C269">
        <f>OSAStreamFlotationTailsStream_S</f>
        <v>5.9972483236634462</v>
      </c>
      <c r="D269" s="14" t="s">
        <v>335</v>
      </c>
      <c r="E269">
        <v>0</v>
      </c>
    </row>
    <row r="270" spans="1:5">
      <c r="A270" s="27" t="s">
        <v>596</v>
      </c>
      <c r="B270" s="27" t="s">
        <v>597</v>
      </c>
      <c r="C270">
        <f>OSAStreamFlotationTailsStream_U</f>
        <v>5.9419620604694821E-3</v>
      </c>
      <c r="D270" s="14" t="s">
        <v>335</v>
      </c>
      <c r="E270">
        <v>0</v>
      </c>
    </row>
    <row r="271" spans="1:5">
      <c r="A271" s="27" t="s">
        <v>598</v>
      </c>
      <c r="B271" s="27" t="s">
        <v>599</v>
      </c>
      <c r="C271">
        <f>OSAStreamFlotationTailsStream_F</f>
        <v>4.5060249891750379E-2</v>
      </c>
      <c r="D271" s="14" t="s">
        <v>335</v>
      </c>
      <c r="E271">
        <v>0</v>
      </c>
    </row>
    <row r="272" spans="1:5" ht="22.5">
      <c r="A272" s="27" t="s">
        <v>600</v>
      </c>
      <c r="B272" s="27" t="s">
        <v>601</v>
      </c>
      <c r="C272">
        <f>OSAStreamRougherFeedStream_Cu</f>
        <v>1.3750583404501335</v>
      </c>
      <c r="D272" s="14" t="s">
        <v>335</v>
      </c>
      <c r="E272">
        <v>0</v>
      </c>
    </row>
    <row r="273" spans="1:5" ht="22.5">
      <c r="A273" s="27" t="s">
        <v>602</v>
      </c>
      <c r="B273" s="27" t="s">
        <v>603</v>
      </c>
      <c r="C273">
        <f>OSAStreamRougherFeedStream_Fe</f>
        <v>6.4257315502371881</v>
      </c>
      <c r="D273" s="14" t="s">
        <v>335</v>
      </c>
      <c r="E273">
        <v>0</v>
      </c>
    </row>
    <row r="274" spans="1:5" ht="22.5">
      <c r="A274" s="27" t="s">
        <v>604</v>
      </c>
      <c r="B274" s="27" t="s">
        <v>605</v>
      </c>
      <c r="C274">
        <f>OSAStreamRougherFeedStream_Au</f>
        <v>4.3888792317125744E-5</v>
      </c>
      <c r="D274" s="14" t="s">
        <v>335</v>
      </c>
      <c r="E274">
        <v>0</v>
      </c>
    </row>
    <row r="275" spans="1:5" ht="22.5">
      <c r="A275" s="27" t="s">
        <v>606</v>
      </c>
      <c r="B275" s="27" t="s">
        <v>607</v>
      </c>
      <c r="C275">
        <f>OSAStreamRougherFeedStream_Ag</f>
        <v>5.7858783592502905E-4</v>
      </c>
      <c r="D275" s="14" t="s">
        <v>335</v>
      </c>
      <c r="E275">
        <v>0</v>
      </c>
    </row>
    <row r="276" spans="1:5">
      <c r="A276" s="27" t="s">
        <v>608</v>
      </c>
      <c r="B276" s="27" t="s">
        <v>609</v>
      </c>
      <c r="C276">
        <f>OSAStreamRougherFeedStream_S</f>
        <v>6.3003065820889326</v>
      </c>
      <c r="D276" s="14" t="s">
        <v>335</v>
      </c>
      <c r="E276">
        <v>0</v>
      </c>
    </row>
    <row r="277" spans="1:5">
      <c r="A277" s="27" t="s">
        <v>610</v>
      </c>
      <c r="B277" s="27" t="s">
        <v>611</v>
      </c>
      <c r="C277">
        <f>OSAStreamRougherFeedStream_U</f>
        <v>5.9420924747939485E-3</v>
      </c>
      <c r="D277" s="14" t="s">
        <v>335</v>
      </c>
      <c r="E277">
        <v>0</v>
      </c>
    </row>
    <row r="278" spans="1:5">
      <c r="A278" s="27" t="s">
        <v>612</v>
      </c>
      <c r="B278" s="27" t="s">
        <v>613</v>
      </c>
      <c r="C278">
        <f>OSAStreamRougherFeedStream_F</f>
        <v>4.5727073408168721E-2</v>
      </c>
      <c r="D278" s="14" t="s">
        <v>335</v>
      </c>
      <c r="E278">
        <v>0</v>
      </c>
    </row>
    <row r="279" spans="1:5">
      <c r="A279" s="27" t="s">
        <v>614</v>
      </c>
      <c r="B279" s="27" t="s">
        <v>615</v>
      </c>
      <c r="C279">
        <f>PressureFilterFeedStream_Cu</f>
        <v>46.803007999999998</v>
      </c>
      <c r="D279" s="14" t="s">
        <v>335</v>
      </c>
      <c r="E279">
        <v>0</v>
      </c>
    </row>
    <row r="280" spans="1:5">
      <c r="A280" s="27" t="s">
        <v>616</v>
      </c>
      <c r="B280" s="27" t="s">
        <v>617</v>
      </c>
      <c r="C280">
        <f>PressureFilterFeedStream_Fe</f>
        <v>15.514926000000001</v>
      </c>
      <c r="D280" s="14" t="s">
        <v>335</v>
      </c>
      <c r="E280">
        <v>0</v>
      </c>
    </row>
    <row r="281" spans="1:5">
      <c r="A281" s="27" t="s">
        <v>618</v>
      </c>
      <c r="B281" s="27" t="s">
        <v>619</v>
      </c>
      <c r="C281">
        <f>PressureFilterFeedStream_Au</f>
        <v>1.3139073000000001E-3</v>
      </c>
      <c r="D281" s="14" t="s">
        <v>335</v>
      </c>
      <c r="E281">
        <v>0</v>
      </c>
    </row>
    <row r="282" spans="1:5">
      <c r="A282" s="27" t="s">
        <v>620</v>
      </c>
      <c r="B282" s="27" t="s">
        <v>621</v>
      </c>
      <c r="C282">
        <f>PressureFilterFeedStream_Ag</f>
        <v>1.4585254000000001E-2</v>
      </c>
      <c r="D282" s="14" t="s">
        <v>335</v>
      </c>
      <c r="E282">
        <v>0</v>
      </c>
    </row>
    <row r="283" spans="1:5">
      <c r="A283" s="27" t="s">
        <v>622</v>
      </c>
      <c r="B283" s="27" t="s">
        <v>623</v>
      </c>
      <c r="C283">
        <f>PressureFilterFeedStream_S</f>
        <v>17.750843</v>
      </c>
      <c r="D283" s="14" t="s">
        <v>335</v>
      </c>
      <c r="E283">
        <v>0</v>
      </c>
    </row>
    <row r="284" spans="1:5">
      <c r="A284" s="27" t="s">
        <v>624</v>
      </c>
      <c r="B284" s="27" t="s">
        <v>625</v>
      </c>
      <c r="C284">
        <f>PressureFilterFeedStream_U</f>
        <v>5.1087674000000003E-3</v>
      </c>
      <c r="D284" s="14" t="s">
        <v>335</v>
      </c>
      <c r="E284">
        <v>0</v>
      </c>
    </row>
    <row r="285" spans="1:5">
      <c r="A285" s="27" t="s">
        <v>626</v>
      </c>
      <c r="B285" s="27" t="s">
        <v>627</v>
      </c>
      <c r="C285">
        <f>PressureFilterFeedStream_F</f>
        <v>6.7001773400000006E-2</v>
      </c>
      <c r="D285" s="14" t="s">
        <v>335</v>
      </c>
      <c r="E285">
        <v>0</v>
      </c>
    </row>
    <row r="286" spans="1:5">
      <c r="A286" s="27" t="s">
        <v>628</v>
      </c>
      <c r="B286" s="27" t="s">
        <v>629</v>
      </c>
      <c r="C286">
        <f>PressureFilterUnderflowStream_Cu</f>
        <v>46.803007999999998</v>
      </c>
      <c r="D286" s="14" t="s">
        <v>335</v>
      </c>
      <c r="E286">
        <v>0</v>
      </c>
    </row>
    <row r="287" spans="1:5">
      <c r="A287" s="27" t="s">
        <v>630</v>
      </c>
      <c r="B287" s="27" t="s">
        <v>631</v>
      </c>
      <c r="C287">
        <f>PressureFilterUnderflowStream_Fe</f>
        <v>15.514926000000001</v>
      </c>
      <c r="D287" s="14" t="s">
        <v>335</v>
      </c>
      <c r="E287">
        <v>0</v>
      </c>
    </row>
    <row r="288" spans="1:5">
      <c r="A288" s="27" t="s">
        <v>632</v>
      </c>
      <c r="B288" s="27" t="s">
        <v>633</v>
      </c>
      <c r="C288">
        <f>PressureFilterUnderflowStream_Au</f>
        <v>1.3139073000000003E-3</v>
      </c>
      <c r="D288" s="14" t="s">
        <v>335</v>
      </c>
      <c r="E288">
        <v>0</v>
      </c>
    </row>
    <row r="289" spans="1:5">
      <c r="A289" s="27" t="s">
        <v>634</v>
      </c>
      <c r="B289" s="27" t="s">
        <v>635</v>
      </c>
      <c r="C289">
        <f>PressureFilterUnderflowStream_Ag</f>
        <v>1.4585254000000001E-2</v>
      </c>
      <c r="D289" s="14" t="s">
        <v>335</v>
      </c>
      <c r="E289">
        <v>0</v>
      </c>
    </row>
    <row r="290" spans="1:5">
      <c r="A290" s="27" t="s">
        <v>636</v>
      </c>
      <c r="B290" s="27" t="s">
        <v>637</v>
      </c>
      <c r="C290">
        <f>PressureFilterUnderflowStream_S</f>
        <v>17.750843</v>
      </c>
      <c r="D290" s="14" t="s">
        <v>335</v>
      </c>
      <c r="E290">
        <v>0</v>
      </c>
    </row>
    <row r="291" spans="1:5">
      <c r="A291" s="27" t="s">
        <v>638</v>
      </c>
      <c r="B291" s="27" t="s">
        <v>639</v>
      </c>
      <c r="C291">
        <f>PressureFilterUnderflowStream_U</f>
        <v>5.1087674000000003E-3</v>
      </c>
      <c r="D291" s="14" t="s">
        <v>335</v>
      </c>
      <c r="E291">
        <v>0</v>
      </c>
    </row>
    <row r="292" spans="1:5">
      <c r="A292" s="27" t="s">
        <v>640</v>
      </c>
      <c r="B292" s="27" t="s">
        <v>641</v>
      </c>
      <c r="C292">
        <f>PressureFilterUnderflowStream_F</f>
        <v>6.7001773400000006E-2</v>
      </c>
      <c r="D292" s="14" t="s">
        <v>335</v>
      </c>
      <c r="E292">
        <v>0</v>
      </c>
    </row>
    <row r="293" spans="1:5">
      <c r="A293" s="27" t="s">
        <v>642</v>
      </c>
      <c r="B293" s="27" t="s">
        <v>643</v>
      </c>
      <c r="C293">
        <f>SAGMillFeedStream_Cu</f>
        <v>1.3750583404498538</v>
      </c>
      <c r="D293" s="14" t="s">
        <v>335</v>
      </c>
      <c r="E293">
        <v>0</v>
      </c>
    </row>
    <row r="294" spans="1:5">
      <c r="A294" s="27" t="s">
        <v>644</v>
      </c>
      <c r="B294" s="27" t="s">
        <v>645</v>
      </c>
      <c r="C294">
        <f>SAGMillFeedStream_Fe</f>
        <v>6.4257315502358994</v>
      </c>
      <c r="D294" s="14" t="s">
        <v>335</v>
      </c>
      <c r="E294">
        <v>0</v>
      </c>
    </row>
    <row r="295" spans="1:5">
      <c r="A295" s="27" t="s">
        <v>646</v>
      </c>
      <c r="B295" s="27" t="s">
        <v>647</v>
      </c>
      <c r="C295">
        <f>SAGMillFeedStream_Au</f>
        <v>4.3888792317125738E-5</v>
      </c>
      <c r="D295" s="14" t="s">
        <v>335</v>
      </c>
      <c r="E295">
        <v>0</v>
      </c>
    </row>
    <row r="296" spans="1:5">
      <c r="A296" s="27" t="s">
        <v>648</v>
      </c>
      <c r="B296" s="27" t="s">
        <v>649</v>
      </c>
      <c r="C296">
        <f>SAGMillFeedStream_Ag</f>
        <v>5.7858783592502905E-4</v>
      </c>
      <c r="D296" s="14" t="s">
        <v>335</v>
      </c>
      <c r="E296">
        <v>0</v>
      </c>
    </row>
    <row r="297" spans="1:5">
      <c r="A297" s="27" t="s">
        <v>650</v>
      </c>
      <c r="B297" s="27" t="s">
        <v>651</v>
      </c>
      <c r="C297">
        <f>SAGMillFeedStream_S</f>
        <v>6.3003065820851178</v>
      </c>
      <c r="D297" s="14" t="s">
        <v>335</v>
      </c>
      <c r="E297">
        <v>0</v>
      </c>
    </row>
    <row r="298" spans="1:5">
      <c r="A298" s="27" t="s">
        <v>652</v>
      </c>
      <c r="B298" s="27" t="s">
        <v>653</v>
      </c>
      <c r="C298">
        <f>SAGMillFeedStream_U</f>
        <v>5.9420924747903177E-3</v>
      </c>
      <c r="D298" s="14" t="s">
        <v>335</v>
      </c>
      <c r="E298">
        <v>0</v>
      </c>
    </row>
    <row r="299" spans="1:5">
      <c r="A299" s="27" t="s">
        <v>654</v>
      </c>
      <c r="B299" s="27" t="s">
        <v>655</v>
      </c>
      <c r="C299">
        <f>SAGMillFeedStream_F</f>
        <v>4.5727073408140639E-2</v>
      </c>
      <c r="D299" s="14" t="s">
        <v>335</v>
      </c>
      <c r="E299">
        <v>0</v>
      </c>
    </row>
    <row r="300" spans="1:5">
      <c r="A300" s="27" t="s">
        <v>656</v>
      </c>
      <c r="B300" s="27" t="s">
        <v>657</v>
      </c>
      <c r="C300">
        <f>SpillageReturnStream_Cu</f>
        <v>46.803007999999998</v>
      </c>
      <c r="D300" s="14" t="s">
        <v>335</v>
      </c>
      <c r="E300">
        <v>0</v>
      </c>
    </row>
    <row r="301" spans="1:5">
      <c r="A301" s="27" t="s">
        <v>658</v>
      </c>
      <c r="B301" s="27" t="s">
        <v>659</v>
      </c>
      <c r="C301">
        <f>SpillageReturnStream_Fe</f>
        <v>15.514926000000001</v>
      </c>
      <c r="D301" s="14" t="s">
        <v>335</v>
      </c>
      <c r="E301">
        <v>0</v>
      </c>
    </row>
    <row r="302" spans="1:5">
      <c r="A302" s="27" t="s">
        <v>660</v>
      </c>
      <c r="B302" s="27" t="s">
        <v>661</v>
      </c>
      <c r="C302">
        <f>SpillageReturnStream_Au</f>
        <v>1.3139073000000001E-3</v>
      </c>
      <c r="D302" s="14" t="s">
        <v>335</v>
      </c>
      <c r="E302">
        <v>0</v>
      </c>
    </row>
    <row r="303" spans="1:5">
      <c r="A303" s="27" t="s">
        <v>662</v>
      </c>
      <c r="B303" s="27" t="s">
        <v>663</v>
      </c>
      <c r="C303">
        <f>SpillageReturnStream_Ag</f>
        <v>1.4585254000000001E-2</v>
      </c>
      <c r="D303" s="14" t="s">
        <v>335</v>
      </c>
      <c r="E303">
        <v>0</v>
      </c>
    </row>
    <row r="304" spans="1:5">
      <c r="A304" s="27" t="s">
        <v>664</v>
      </c>
      <c r="B304" s="27" t="s">
        <v>665</v>
      </c>
      <c r="C304">
        <f>SpillageReturnStream_S</f>
        <v>17.750843</v>
      </c>
      <c r="D304" s="14" t="s">
        <v>335</v>
      </c>
      <c r="E304">
        <v>0</v>
      </c>
    </row>
    <row r="305" spans="1:11">
      <c r="A305" s="27" t="s">
        <v>666</v>
      </c>
      <c r="B305" s="27" t="s">
        <v>667</v>
      </c>
      <c r="C305">
        <f>SpillageReturnStream_U</f>
        <v>5.1087674000000003E-3</v>
      </c>
      <c r="D305" s="14" t="s">
        <v>335</v>
      </c>
      <c r="E305">
        <v>0</v>
      </c>
    </row>
    <row r="306" spans="1:11">
      <c r="A306" s="27" t="s">
        <v>668</v>
      </c>
      <c r="B306" s="27" t="s">
        <v>669</v>
      </c>
      <c r="C306">
        <f>SpillageReturnStream_F</f>
        <v>6.7001773400000006E-2</v>
      </c>
      <c r="D306" s="14" t="s">
        <v>335</v>
      </c>
      <c r="E306">
        <v>0</v>
      </c>
    </row>
    <row r="307" spans="1:11">
      <c r="A307" s="27" t="s">
        <v>670</v>
      </c>
      <c r="B307" s="27" t="s">
        <v>671</v>
      </c>
      <c r="C307">
        <f>TailsThickenerUnderflowStream_Cu</f>
        <v>0.18751931513718464</v>
      </c>
      <c r="D307" s="14" t="s">
        <v>335</v>
      </c>
      <c r="E307">
        <v>0</v>
      </c>
    </row>
    <row r="308" spans="1:11">
      <c r="A308" s="27" t="s">
        <v>672</v>
      </c>
      <c r="B308" s="27" t="s">
        <v>673</v>
      </c>
      <c r="C308">
        <f>TailsThickenerUnderflowStream_Fe</f>
        <v>6.1904190699192281</v>
      </c>
      <c r="D308" s="14" t="s">
        <v>335</v>
      </c>
      <c r="E308">
        <v>0</v>
      </c>
    </row>
    <row r="309" spans="1:11" ht="22.5">
      <c r="A309" s="27" t="s">
        <v>674</v>
      </c>
      <c r="B309" s="27" t="s">
        <v>675</v>
      </c>
      <c r="C309">
        <f>TailsThickenerUnderflowStream_Au</f>
        <v>1.0384755115720809E-5</v>
      </c>
      <c r="D309" s="14" t="s">
        <v>335</v>
      </c>
      <c r="E309">
        <v>0</v>
      </c>
    </row>
    <row r="310" spans="1:11" ht="22.5">
      <c r="A310" s="27" t="s">
        <v>676</v>
      </c>
      <c r="B310" s="27" t="s">
        <v>677</v>
      </c>
      <c r="C310">
        <f>TailsThickenerUnderflowStream_Ag</f>
        <v>2.1707454007216696E-4</v>
      </c>
      <c r="D310" s="14" t="s">
        <v>335</v>
      </c>
      <c r="E310">
        <v>0</v>
      </c>
    </row>
    <row r="311" spans="1:11">
      <c r="A311" s="27" t="s">
        <v>678</v>
      </c>
      <c r="B311" s="27" t="s">
        <v>679</v>
      </c>
      <c r="C311">
        <f>TailsThickenerUnderflowStream_S</f>
        <v>6.0178499927475846</v>
      </c>
      <c r="D311" s="14" t="s">
        <v>335</v>
      </c>
      <c r="E311">
        <v>0</v>
      </c>
    </row>
    <row r="312" spans="1:11">
      <c r="A312" s="27" t="s">
        <v>680</v>
      </c>
      <c r="B312" s="27" t="s">
        <v>681</v>
      </c>
      <c r="C312">
        <f>TailsThickenerUnderflowStream_U</f>
        <v>5.9152320703521107E-3</v>
      </c>
      <c r="D312" s="14" t="s">
        <v>335</v>
      </c>
      <c r="E312">
        <v>0</v>
      </c>
    </row>
    <row r="313" spans="1:11">
      <c r="A313" s="27" t="s">
        <v>682</v>
      </c>
      <c r="B313" s="27" t="s">
        <v>683</v>
      </c>
      <c r="C313">
        <f>TailsThickenerUnderflowStream_F</f>
        <v>4.488377964381278E-2</v>
      </c>
      <c r="D313" s="14" t="s">
        <v>335</v>
      </c>
      <c r="E313">
        <v>0</v>
      </c>
    </row>
    <row r="314" spans="1:11">
      <c r="A314" s="27"/>
      <c r="B314" s="27"/>
    </row>
    <row r="315" spans="1:11" s="2" customFormat="1">
      <c r="A315" s="26" t="s">
        <v>684</v>
      </c>
      <c r="B315" s="26" t="s">
        <v>685</v>
      </c>
      <c r="C315" s="2" t="s">
        <v>7</v>
      </c>
      <c r="D315" s="2" t="s">
        <v>37</v>
      </c>
      <c r="E315" s="2" t="s">
        <v>38</v>
      </c>
      <c r="F315" s="2" t="s">
        <v>686</v>
      </c>
      <c r="I315" s="2">
        <v>0</v>
      </c>
      <c r="J315" s="2" t="s">
        <v>687</v>
      </c>
      <c r="K315" s="15"/>
    </row>
    <row r="316" spans="1:11">
      <c r="A316" s="27" t="s">
        <v>688</v>
      </c>
      <c r="B316" s="27" t="s">
        <v>689</v>
      </c>
      <c r="C316">
        <f t="array" ref="C316">D316:F316</f>
        <v>296.62395046819034</v>
      </c>
      <c r="D316">
        <v>296.62395046819034</v>
      </c>
      <c r="E316" s="29"/>
      <c r="F316" s="30"/>
      <c r="G316" s="30"/>
      <c r="I316">
        <v>268.92501270632107</v>
      </c>
      <c r="J316">
        <v>296.75877625028426</v>
      </c>
      <c r="K316" s="20">
        <f>I316-J316</f>
        <v>-27.833763543963187</v>
      </c>
    </row>
    <row r="317" spans="1:11">
      <c r="A317" s="27" t="s">
        <v>690</v>
      </c>
      <c r="B317" s="27" t="s">
        <v>691</v>
      </c>
      <c r="C317">
        <f t="array" ref="C317">D317:F317</f>
        <v>47.738255125741965</v>
      </c>
      <c r="D317">
        <v>47.738255125741965</v>
      </c>
      <c r="E317" s="29"/>
      <c r="F317" s="30"/>
      <c r="G317" s="30"/>
      <c r="I317">
        <v>45.844703076093452</v>
      </c>
      <c r="J317">
        <v>47.725840330984774</v>
      </c>
      <c r="K317" s="20">
        <f t="shared" ref="K317:K380" si="0">I317-J317</f>
        <v>-1.8811372548913212</v>
      </c>
    </row>
    <row r="318" spans="1:11">
      <c r="A318" s="27" t="s">
        <v>692</v>
      </c>
      <c r="B318" s="27" t="s">
        <v>693</v>
      </c>
      <c r="C318">
        <f t="array" ref="C318">D318:F318</f>
        <v>15.205424674982988</v>
      </c>
      <c r="D318">
        <v>15.205424674982988</v>
      </c>
      <c r="E318" s="29"/>
      <c r="F318" s="29"/>
      <c r="G318" s="29"/>
      <c r="I318">
        <v>15.157563389041302</v>
      </c>
      <c r="J318">
        <v>15.158961237000831</v>
      </c>
      <c r="K318" s="20">
        <f t="shared" si="0"/>
        <v>-1.3978479595291304E-3</v>
      </c>
    </row>
    <row r="319" spans="1:11">
      <c r="A319" s="27" t="s">
        <v>694</v>
      </c>
      <c r="B319" s="27" t="s">
        <v>695</v>
      </c>
      <c r="C319">
        <f t="array" ref="C319">D319:F319</f>
        <v>1.3475162130437792E-3</v>
      </c>
      <c r="D319">
        <v>1.3475162130437792E-3</v>
      </c>
      <c r="E319" s="29"/>
      <c r="F319" s="29"/>
      <c r="G319" s="29"/>
      <c r="I319">
        <v>1.2997704006036575E-3</v>
      </c>
      <c r="J319">
        <v>1.3496946326550805E-3</v>
      </c>
      <c r="K319">
        <f t="shared" si="0"/>
        <v>-4.9924232051423018E-5</v>
      </c>
    </row>
    <row r="320" spans="1:11">
      <c r="A320" s="27" t="s">
        <v>696</v>
      </c>
      <c r="B320" s="27" t="s">
        <v>697</v>
      </c>
      <c r="C320">
        <f t="array" ref="C320">D320:F320</f>
        <v>1.4572617279529724E-2</v>
      </c>
      <c r="D320">
        <v>1.4572617279529724E-2</v>
      </c>
      <c r="E320" s="29"/>
      <c r="F320" s="29"/>
      <c r="G320" s="29"/>
      <c r="I320">
        <v>1.3801701688307577E-2</v>
      </c>
      <c r="J320">
        <v>1.4575916995244839E-2</v>
      </c>
      <c r="K320">
        <f t="shared" si="0"/>
        <v>-7.7421530693726204E-4</v>
      </c>
    </row>
    <row r="321" spans="1:11">
      <c r="A321" s="27" t="s">
        <v>698</v>
      </c>
      <c r="B321" s="27" t="s">
        <v>699</v>
      </c>
      <c r="C321">
        <f t="array" ref="C321">D321:F321</f>
        <v>18.107173595533997</v>
      </c>
      <c r="D321">
        <v>18.107173595533997</v>
      </c>
      <c r="E321" s="29"/>
      <c r="F321" s="29"/>
      <c r="G321" s="29"/>
      <c r="I321">
        <v>18.063414996281502</v>
      </c>
      <c r="J321">
        <v>18.111739612568321</v>
      </c>
      <c r="K321">
        <f t="shared" si="0"/>
        <v>-4.8324616286819833E-2</v>
      </c>
    </row>
    <row r="322" spans="1:11">
      <c r="A322" s="27" t="s">
        <v>700</v>
      </c>
      <c r="B322" s="27" t="s">
        <v>701</v>
      </c>
      <c r="C322">
        <f t="array" ref="C322">D322:F322</f>
        <v>5.9471689146995939E-3</v>
      </c>
      <c r="D322">
        <v>5.9471689146995939E-3</v>
      </c>
      <c r="E322" s="29"/>
      <c r="F322" s="29"/>
      <c r="G322" s="29"/>
      <c r="I322">
        <v>5.9378173627749175E-3</v>
      </c>
      <c r="J322">
        <v>5.9478038613041163E-3</v>
      </c>
      <c r="K322">
        <f t="shared" si="0"/>
        <v>-9.9864985291988478E-6</v>
      </c>
    </row>
    <row r="323" spans="1:11">
      <c r="A323" s="27" t="s">
        <v>702</v>
      </c>
      <c r="B323" s="27" t="s">
        <v>703</v>
      </c>
      <c r="C323">
        <f t="array" ref="C323">D323:F323</f>
        <v>7.1705868377100718E-2</v>
      </c>
      <c r="D323">
        <v>7.1705868377100718E-2</v>
      </c>
      <c r="E323" s="29"/>
      <c r="F323" s="29"/>
      <c r="G323" s="29"/>
      <c r="I323">
        <v>6.9901698362815193E-2</v>
      </c>
      <c r="J323">
        <v>7.0106552847975984E-2</v>
      </c>
      <c r="K323">
        <f t="shared" si="0"/>
        <v>-2.0485448516079086E-4</v>
      </c>
    </row>
    <row r="324" spans="1:11">
      <c r="A324" s="27" t="s">
        <v>704</v>
      </c>
      <c r="B324" s="27" t="s">
        <v>705</v>
      </c>
      <c r="C324">
        <f t="array" ref="C324">D324:F324</f>
        <v>11556.196201589231</v>
      </c>
      <c r="D324">
        <v>11556.196201589231</v>
      </c>
      <c r="E324" s="29"/>
      <c r="F324" s="29"/>
      <c r="G324" s="29"/>
      <c r="I324">
        <v>9786.9578036897583</v>
      </c>
      <c r="J324">
        <v>11568.0754220813</v>
      </c>
      <c r="K324">
        <f t="shared" si="0"/>
        <v>-1781.1176183915413</v>
      </c>
    </row>
    <row r="325" spans="1:11">
      <c r="A325" s="27" t="s">
        <v>706</v>
      </c>
      <c r="B325" s="27" t="s">
        <v>707</v>
      </c>
      <c r="C325">
        <f t="array" ref="C325">D325:F325</f>
        <v>0.1850097535160958</v>
      </c>
      <c r="D325">
        <v>0.1850097535160958</v>
      </c>
      <c r="E325" s="29">
        <v>1.8662000000000002E-2</v>
      </c>
      <c r="F325" s="29">
        <v>0.18662000000000001</v>
      </c>
      <c r="G325" s="29"/>
      <c r="I325">
        <v>0.18448264951131566</v>
      </c>
      <c r="J325">
        <v>0.18502718135376128</v>
      </c>
      <c r="K325">
        <f t="shared" si="0"/>
        <v>-5.4453184244562802E-4</v>
      </c>
    </row>
    <row r="326" spans="1:11">
      <c r="A326" s="27" t="s">
        <v>708</v>
      </c>
      <c r="B326" s="27" t="s">
        <v>709</v>
      </c>
      <c r="C326">
        <f t="array" ref="C326">D326:F326</f>
        <v>6.2003747598960652</v>
      </c>
      <c r="D326">
        <v>6.2003747598960652</v>
      </c>
      <c r="E326" s="29">
        <v>0.62823899999999999</v>
      </c>
      <c r="F326" s="29">
        <v>6.2823900000000004</v>
      </c>
      <c r="G326" s="29"/>
      <c r="I326">
        <v>6.19676921758224</v>
      </c>
      <c r="J326">
        <v>6.204204779529304</v>
      </c>
      <c r="K326">
        <f t="shared" si="0"/>
        <v>-7.4355619470640733E-3</v>
      </c>
    </row>
    <row r="327" spans="1:11">
      <c r="A327" s="27" t="s">
        <v>710</v>
      </c>
      <c r="B327" s="27" t="s">
        <v>711</v>
      </c>
      <c r="C327">
        <f t="array" ref="C327">D327:F327</f>
        <v>1.0427340192027875E-5</v>
      </c>
      <c r="D327">
        <v>1.0427340192027875E-5</v>
      </c>
      <c r="E327" s="29">
        <v>1.0442000000000001E-6</v>
      </c>
      <c r="F327" s="29">
        <v>1.0441999999999999E-5</v>
      </c>
      <c r="G327" s="29"/>
      <c r="I327">
        <v>1.0704026310768811E-5</v>
      </c>
      <c r="J327">
        <v>1.0425323350075322E-5</v>
      </c>
      <c r="K327">
        <f t="shared" si="0"/>
        <v>2.7870296069348971E-7</v>
      </c>
    </row>
    <row r="328" spans="1:11">
      <c r="A328" s="27" t="s">
        <v>712</v>
      </c>
      <c r="B328" s="27" t="s">
        <v>713</v>
      </c>
      <c r="C328">
        <f t="array" ref="C328">D328:F328</f>
        <v>2.1938968633341641E-4</v>
      </c>
      <c r="D328">
        <v>2.1938968633341641E-4</v>
      </c>
      <c r="E328" s="29">
        <v>2.1928300000000001E-5</v>
      </c>
      <c r="F328" s="29">
        <v>2.1928299999999999E-4</v>
      </c>
      <c r="G328" s="29"/>
      <c r="I328">
        <v>2.4514672987876378E-4</v>
      </c>
      <c r="J328">
        <v>2.1940413564273966E-4</v>
      </c>
      <c r="K328">
        <f t="shared" si="0"/>
        <v>2.5742594236024115E-5</v>
      </c>
    </row>
    <row r="329" spans="1:11">
      <c r="A329" s="27" t="s">
        <v>714</v>
      </c>
      <c r="B329" s="27" t="s">
        <v>715</v>
      </c>
      <c r="C329">
        <f t="array" ref="C329">D329:F329</f>
        <v>5.9972482447225497</v>
      </c>
      <c r="D329">
        <v>5.9972482447225497</v>
      </c>
      <c r="E329" s="29">
        <v>0.59978200000000004</v>
      </c>
      <c r="F329" s="29">
        <v>5.9978199999999999</v>
      </c>
      <c r="G329" s="29"/>
      <c r="I329">
        <v>6.1229639772157354</v>
      </c>
      <c r="J329">
        <v>5.9971226473437182</v>
      </c>
      <c r="K329">
        <f t="shared" si="0"/>
        <v>0.12584132987201713</v>
      </c>
    </row>
    <row r="330" spans="1:11">
      <c r="A330" s="27" t="s">
        <v>716</v>
      </c>
      <c r="B330" s="27" t="s">
        <v>717</v>
      </c>
      <c r="C330">
        <f t="array" ref="C330">D330:F330</f>
        <v>5.9419620084186654E-3</v>
      </c>
      <c r="D330">
        <v>5.9419620084186654E-3</v>
      </c>
      <c r="E330" s="29">
        <v>5.9454099999999997E-4</v>
      </c>
      <c r="F330" s="29">
        <v>5.9454099999999999E-3</v>
      </c>
      <c r="G330" s="29"/>
      <c r="I330">
        <v>6.2155655668483488E-3</v>
      </c>
      <c r="J330">
        <v>5.9417770519456436E-3</v>
      </c>
      <c r="K330">
        <f t="shared" si="0"/>
        <v>2.7378851490270518E-4</v>
      </c>
    </row>
    <row r="331" spans="1:11">
      <c r="A331" s="27" t="s">
        <v>718</v>
      </c>
      <c r="B331" s="27" t="s">
        <v>719</v>
      </c>
      <c r="C331">
        <f t="array" ref="C331">D331:F331</f>
        <v>4.5060249736913735E-2</v>
      </c>
      <c r="D331">
        <v>4.5060249736913735E-2</v>
      </c>
      <c r="E331" s="29">
        <v>4.5309369999999996E-3</v>
      </c>
      <c r="F331" s="29">
        <v>4.5309370000000002E-2</v>
      </c>
      <c r="G331" s="29"/>
      <c r="I331">
        <v>4.7482317556896636E-2</v>
      </c>
      <c r="J331">
        <v>4.5295464483937654E-2</v>
      </c>
      <c r="K331" s="20">
        <f t="shared" si="0"/>
        <v>2.1868530729589816E-3</v>
      </c>
    </row>
    <row r="332" spans="1:11">
      <c r="A332" s="27" t="s">
        <v>720</v>
      </c>
      <c r="B332" s="27" t="s">
        <v>721</v>
      </c>
      <c r="C332">
        <f t="array" ref="C332">D332:F332</f>
        <v>11852.820152057422</v>
      </c>
      <c r="D332">
        <v>11852.820152057422</v>
      </c>
      <c r="E332" s="29"/>
      <c r="F332" s="29"/>
      <c r="G332" s="29"/>
      <c r="I332">
        <v>10055.882816396079</v>
      </c>
      <c r="J332">
        <v>11864.834198331584</v>
      </c>
      <c r="K332" s="20">
        <f t="shared" si="0"/>
        <v>-1808.9513819355052</v>
      </c>
    </row>
    <row r="333" spans="1:11">
      <c r="A333" s="27" t="s">
        <v>722</v>
      </c>
      <c r="B333" s="27" t="s">
        <v>723</v>
      </c>
      <c r="C333">
        <f t="array" ref="C333">D333:F333</f>
        <v>1.3750583404500738</v>
      </c>
      <c r="D333">
        <v>1.3750583404500738</v>
      </c>
      <c r="E333" s="29">
        <v>0.13874500000000001</v>
      </c>
      <c r="F333" s="29">
        <v>1.3874500000000001</v>
      </c>
      <c r="G333" s="29"/>
      <c r="I333">
        <v>1.405575358928562</v>
      </c>
      <c r="J333">
        <v>1.3741001423680592</v>
      </c>
      <c r="K333" s="20">
        <f t="shared" si="0"/>
        <v>3.1475216560502783E-2</v>
      </c>
    </row>
    <row r="334" spans="1:11">
      <c r="A334" s="27" t="s">
        <v>724</v>
      </c>
      <c r="B334" s="27" t="s">
        <v>725</v>
      </c>
      <c r="C334">
        <f t="array" ref="C334">D334:F334</f>
        <v>6.4257315502376251</v>
      </c>
      <c r="D334">
        <v>6.4257315502376251</v>
      </c>
      <c r="E334" s="29">
        <v>0.64935500000000002</v>
      </c>
      <c r="F334" s="29">
        <v>6.4935499999999999</v>
      </c>
      <c r="G334" s="29"/>
      <c r="I334">
        <v>6.4364081933415562</v>
      </c>
      <c r="J334">
        <v>6.4281777844202974</v>
      </c>
      <c r="K334">
        <f t="shared" si="0"/>
        <v>8.2304089212588138E-3</v>
      </c>
    </row>
    <row r="335" spans="1:11">
      <c r="A335" s="27" t="s">
        <v>726</v>
      </c>
      <c r="B335" s="27" t="s">
        <v>727</v>
      </c>
      <c r="C335">
        <f t="array" ref="C335">D335:F335</f>
        <v>4.3888792317134675E-5</v>
      </c>
      <c r="D335">
        <v>4.3888792317134675E-5</v>
      </c>
      <c r="E335" s="29">
        <v>4.3623999999999999E-6</v>
      </c>
      <c r="F335" s="29">
        <v>4.3624000000000001E-5</v>
      </c>
      <c r="G335" s="29"/>
      <c r="I335">
        <v>4.51776458643428E-5</v>
      </c>
      <c r="J335">
        <v>4.3922623579689801E-5</v>
      </c>
      <c r="K335">
        <f t="shared" si="0"/>
        <v>1.2550222846529987E-6</v>
      </c>
    </row>
    <row r="336" spans="1:11">
      <c r="A336" s="27" t="s">
        <v>728</v>
      </c>
      <c r="B336" s="27" t="s">
        <v>729</v>
      </c>
      <c r="C336">
        <f t="array" ref="C336">D336:F336</f>
        <v>5.7858783592514766E-4</v>
      </c>
      <c r="D336">
        <v>5.7858783592514766E-4</v>
      </c>
      <c r="E336" s="29">
        <v>5.7935200000000001E-5</v>
      </c>
      <c r="F336" s="29">
        <v>5.7935199999999999E-4</v>
      </c>
      <c r="G336" s="29"/>
      <c r="I336">
        <v>6.076903176781103E-4</v>
      </c>
      <c r="J336">
        <v>5.7848384266922679E-4</v>
      </c>
      <c r="K336">
        <f t="shared" si="0"/>
        <v>2.9206475008883509E-5</v>
      </c>
    </row>
    <row r="337" spans="1:11">
      <c r="A337" s="27" t="s">
        <v>730</v>
      </c>
      <c r="B337" s="27" t="s">
        <v>731</v>
      </c>
      <c r="C337">
        <f t="array" ref="C337">D337:F337</f>
        <v>6.3003065820902027</v>
      </c>
      <c r="D337">
        <v>6.3003065820902027</v>
      </c>
      <c r="E337" s="29">
        <v>0.62993399999999999</v>
      </c>
      <c r="F337" s="29">
        <v>6.2993399999999999</v>
      </c>
      <c r="G337" s="29"/>
      <c r="I337">
        <v>6.442288297103099</v>
      </c>
      <c r="J337">
        <v>6.3001288963355968</v>
      </c>
      <c r="K337">
        <f t="shared" si="0"/>
        <v>0.14215940076750222</v>
      </c>
    </row>
    <row r="338" spans="1:11">
      <c r="A338" s="27" t="s">
        <v>732</v>
      </c>
      <c r="B338" s="27" t="s">
        <v>733</v>
      </c>
      <c r="C338">
        <f t="array" ref="C338">D338:F338</f>
        <v>5.9420924747951636E-3</v>
      </c>
      <c r="D338">
        <v>5.9420924747951636E-3</v>
      </c>
      <c r="E338" s="29">
        <v>5.9382089999999998E-4</v>
      </c>
      <c r="F338" s="29">
        <v>5.9382089999999998E-3</v>
      </c>
      <c r="G338" s="29"/>
      <c r="I338">
        <v>6.2081379518576178E-3</v>
      </c>
      <c r="J338">
        <v>5.9419277922402175E-3</v>
      </c>
      <c r="K338">
        <f t="shared" si="0"/>
        <v>2.6621015961740026E-4</v>
      </c>
    </row>
    <row r="339" spans="1:11">
      <c r="A339" s="27" t="s">
        <v>734</v>
      </c>
      <c r="B339" s="27" t="s">
        <v>735</v>
      </c>
      <c r="C339">
        <f t="array" ref="C339">D339:F339</f>
        <v>4.5727073408178109E-2</v>
      </c>
      <c r="D339">
        <v>4.5727073408178109E-2</v>
      </c>
      <c r="E339" s="29">
        <v>4.5901387000000004E-3</v>
      </c>
      <c r="F339" s="29">
        <v>4.5901387000000002E-2</v>
      </c>
      <c r="G339" s="29"/>
      <c r="I339">
        <v>4.808188178462882E-2</v>
      </c>
      <c r="J339">
        <v>4.5916030106479447E-2</v>
      </c>
      <c r="K339">
        <f t="shared" si="0"/>
        <v>2.1658516781493733E-3</v>
      </c>
    </row>
    <row r="340" spans="1:11">
      <c r="A340" s="27" t="s">
        <v>736</v>
      </c>
      <c r="B340" s="27" t="s">
        <v>737</v>
      </c>
      <c r="C340">
        <f t="array" ref="C340">D340:F340</f>
        <v>506.31380097207312</v>
      </c>
      <c r="D340">
        <v>506.31380097207312</v>
      </c>
      <c r="E340" s="29">
        <v>49.180712999999997</v>
      </c>
      <c r="F340" s="29">
        <v>491.80712999999997</v>
      </c>
      <c r="G340" s="29"/>
      <c r="I340">
        <v>506.31383173831262</v>
      </c>
      <c r="J340">
        <v>506.31383173828351</v>
      </c>
      <c r="K340">
        <f t="shared" si="0"/>
        <v>2.9103830456733704E-11</v>
      </c>
    </row>
    <row r="341" spans="1:11">
      <c r="A341" s="27" t="s">
        <v>738</v>
      </c>
      <c r="B341" s="27" t="s">
        <v>739</v>
      </c>
      <c r="C341">
        <f t="array" ref="C341">D341:F341</f>
        <v>931.07897800000001</v>
      </c>
      <c r="D341">
        <v>931.07897800000001</v>
      </c>
      <c r="E341" s="29">
        <v>0</v>
      </c>
      <c r="F341" s="29">
        <v>931.07897800000001</v>
      </c>
      <c r="G341" s="29"/>
      <c r="I341">
        <v>931.07897800000001</v>
      </c>
      <c r="J341">
        <v>931.07897800000001</v>
      </c>
      <c r="K341">
        <f t="shared" si="0"/>
        <v>0</v>
      </c>
    </row>
    <row r="342" spans="1:11">
      <c r="A342" s="27" t="s">
        <v>740</v>
      </c>
      <c r="B342" s="27" t="s">
        <v>741</v>
      </c>
      <c r="C342">
        <f t="array" ref="C342">D342:F342</f>
        <v>46.803008000000005</v>
      </c>
      <c r="D342">
        <v>46.803008000000005</v>
      </c>
      <c r="E342" s="29">
        <v>4.8614610000000003</v>
      </c>
      <c r="F342" s="29">
        <v>48.614609999999999</v>
      </c>
      <c r="G342" s="29"/>
      <c r="I342">
        <v>46.803008000000005</v>
      </c>
      <c r="J342">
        <v>46.803008000000005</v>
      </c>
      <c r="K342">
        <f t="shared" si="0"/>
        <v>0</v>
      </c>
    </row>
    <row r="343" spans="1:11">
      <c r="A343" s="27" t="s">
        <v>742</v>
      </c>
      <c r="B343" s="27" t="s">
        <v>743</v>
      </c>
      <c r="C343">
        <f t="array" ref="C343">D343:F343</f>
        <v>46.803007999999998</v>
      </c>
      <c r="D343">
        <v>46.803007999999998</v>
      </c>
      <c r="E343" s="29">
        <v>0</v>
      </c>
      <c r="F343" s="29">
        <v>46.803007999999998</v>
      </c>
      <c r="G343" s="29"/>
      <c r="I343">
        <v>46.803007999999998</v>
      </c>
      <c r="J343">
        <v>46.803007999999998</v>
      </c>
      <c r="K343">
        <f t="shared" si="0"/>
        <v>0</v>
      </c>
    </row>
    <row r="344" spans="1:11">
      <c r="A344" s="27" t="s">
        <v>744</v>
      </c>
      <c r="B344" s="27" t="s">
        <v>745</v>
      </c>
      <c r="C344">
        <f t="array" ref="C344">D344:F344</f>
        <v>15.514926000000001</v>
      </c>
      <c r="D344">
        <v>15.514926000000001</v>
      </c>
      <c r="E344" s="29">
        <v>1.570195</v>
      </c>
      <c r="F344" s="29">
        <v>15.70195</v>
      </c>
      <c r="G344" s="29"/>
      <c r="I344">
        <v>15.514925999999999</v>
      </c>
      <c r="J344">
        <v>15.514926000000001</v>
      </c>
      <c r="K344">
        <f t="shared" si="0"/>
        <v>0</v>
      </c>
    </row>
    <row r="345" spans="1:11">
      <c r="A345" s="27" t="s">
        <v>746</v>
      </c>
      <c r="B345" s="27" t="s">
        <v>747</v>
      </c>
      <c r="C345">
        <f t="array" ref="C345">D345:F345</f>
        <v>15.514926000000001</v>
      </c>
      <c r="D345">
        <v>15.514926000000001</v>
      </c>
      <c r="E345" s="29">
        <v>0</v>
      </c>
      <c r="F345" s="29">
        <v>15.514926000000001</v>
      </c>
      <c r="G345" s="29"/>
      <c r="I345">
        <v>15.514926000000001</v>
      </c>
      <c r="J345">
        <v>15.514926000000001</v>
      </c>
      <c r="K345">
        <f t="shared" si="0"/>
        <v>0</v>
      </c>
    </row>
    <row r="346" spans="1:11">
      <c r="A346" s="27" t="s">
        <v>748</v>
      </c>
      <c r="B346" s="27" t="s">
        <v>749</v>
      </c>
      <c r="C346">
        <f t="array" ref="C346">D346:F346</f>
        <v>1.3139073000000008E-3</v>
      </c>
      <c r="D346">
        <v>1.3139073000000008E-3</v>
      </c>
      <c r="E346" s="29">
        <v>1.335109E-4</v>
      </c>
      <c r="F346" s="29">
        <v>1.3351089999999999E-3</v>
      </c>
      <c r="G346" s="29"/>
      <c r="I346">
        <v>1.3139073000215981E-3</v>
      </c>
      <c r="J346">
        <v>1.3139073000215981E-3</v>
      </c>
      <c r="K346">
        <f t="shared" si="0"/>
        <v>0</v>
      </c>
    </row>
    <row r="347" spans="1:11">
      <c r="A347" s="27" t="s">
        <v>750</v>
      </c>
      <c r="B347" s="27" t="s">
        <v>751</v>
      </c>
      <c r="C347">
        <f t="array" ref="C347">D347:F347</f>
        <v>1.3139072999999999E-3</v>
      </c>
      <c r="D347">
        <v>1.3139072999999999E-3</v>
      </c>
      <c r="E347" s="29">
        <v>0</v>
      </c>
      <c r="F347" s="29">
        <v>1.3139072999999999E-3</v>
      </c>
      <c r="G347" s="29"/>
      <c r="I347">
        <v>1.3139072999999999E-3</v>
      </c>
      <c r="J347">
        <v>1.3139072999999999E-3</v>
      </c>
      <c r="K347">
        <f t="shared" si="0"/>
        <v>0</v>
      </c>
    </row>
    <row r="348" spans="1:11">
      <c r="A348" s="27" t="s">
        <v>752</v>
      </c>
      <c r="B348" s="27" t="s">
        <v>753</v>
      </c>
      <c r="C348">
        <f t="array" ref="C348">D348:F348</f>
        <v>1.4585253999999999E-2</v>
      </c>
      <c r="D348">
        <v>1.4585253999999999E-2</v>
      </c>
      <c r="E348" s="29">
        <v>1.4855127000000001E-3</v>
      </c>
      <c r="F348" s="29">
        <v>1.4855126999999999E-2</v>
      </c>
      <c r="G348" s="29"/>
      <c r="I348">
        <v>1.4585254000000001E-2</v>
      </c>
      <c r="J348">
        <v>1.4585254000000001E-2</v>
      </c>
      <c r="K348">
        <f t="shared" si="0"/>
        <v>0</v>
      </c>
    </row>
    <row r="349" spans="1:11">
      <c r="A349" s="27" t="s">
        <v>754</v>
      </c>
      <c r="B349" s="27" t="s">
        <v>755</v>
      </c>
      <c r="C349">
        <f t="array" ref="C349">D349:F349</f>
        <v>1.4585254000000001E-2</v>
      </c>
      <c r="D349">
        <v>1.4585254000000001E-2</v>
      </c>
      <c r="E349" s="29">
        <v>0</v>
      </c>
      <c r="F349" s="29">
        <v>1.4585254000000001E-2</v>
      </c>
      <c r="G349" s="29"/>
      <c r="I349">
        <v>1.4585254000000001E-2</v>
      </c>
      <c r="J349">
        <v>1.4585254000000001E-2</v>
      </c>
      <c r="K349">
        <f t="shared" si="0"/>
        <v>0</v>
      </c>
    </row>
    <row r="350" spans="1:11">
      <c r="A350" s="27" t="s">
        <v>756</v>
      </c>
      <c r="B350" s="27" t="s">
        <v>757</v>
      </c>
      <c r="C350">
        <f t="array" ref="C350">D350:F350</f>
        <v>17.750843</v>
      </c>
      <c r="D350">
        <v>17.750843</v>
      </c>
      <c r="E350" s="29">
        <v>1.8148120000000001</v>
      </c>
      <c r="F350" s="29">
        <v>18.148119999999999</v>
      </c>
      <c r="G350" s="29"/>
      <c r="I350">
        <v>17.750843</v>
      </c>
      <c r="J350">
        <v>17.750843</v>
      </c>
      <c r="K350">
        <f t="shared" si="0"/>
        <v>0</v>
      </c>
    </row>
    <row r="351" spans="1:11">
      <c r="A351" s="27" t="s">
        <v>758</v>
      </c>
      <c r="B351" s="27" t="s">
        <v>759</v>
      </c>
      <c r="C351">
        <f t="array" ref="C351">D351:F351</f>
        <v>17.750843</v>
      </c>
      <c r="D351">
        <v>17.750843</v>
      </c>
      <c r="E351" s="29">
        <v>0</v>
      </c>
      <c r="F351" s="29">
        <v>17.750843</v>
      </c>
      <c r="G351" s="29"/>
      <c r="I351">
        <v>17.750843</v>
      </c>
      <c r="J351">
        <v>17.750843</v>
      </c>
      <c r="K351">
        <f t="shared" si="0"/>
        <v>0</v>
      </c>
    </row>
    <row r="352" spans="1:11">
      <c r="A352" s="27" t="s">
        <v>760</v>
      </c>
      <c r="B352" s="27" t="s">
        <v>761</v>
      </c>
      <c r="C352">
        <f t="array" ref="C352">D352:F352</f>
        <v>5.1087674000000003E-3</v>
      </c>
      <c r="D352">
        <v>5.1087674000000003E-3</v>
      </c>
      <c r="E352" s="29">
        <v>5.2169879999999997E-4</v>
      </c>
      <c r="F352" s="29">
        <v>5.2169879999999997E-3</v>
      </c>
      <c r="G352" s="29"/>
      <c r="I352">
        <v>5.1087674000003238E-3</v>
      </c>
      <c r="J352">
        <v>5.1087674000003238E-3</v>
      </c>
      <c r="K352">
        <f t="shared" si="0"/>
        <v>0</v>
      </c>
    </row>
    <row r="353" spans="1:11">
      <c r="A353" s="27" t="s">
        <v>762</v>
      </c>
      <c r="B353" s="27" t="s">
        <v>763</v>
      </c>
      <c r="C353">
        <f t="array" ref="C353">D353:F353</f>
        <v>5.1087674000000003E-3</v>
      </c>
      <c r="D353">
        <v>5.1087674000000003E-3</v>
      </c>
      <c r="E353" s="29">
        <v>0</v>
      </c>
      <c r="F353" s="29">
        <v>5.1087674000000003E-3</v>
      </c>
      <c r="G353" s="29"/>
      <c r="I353">
        <v>5.1087674000000003E-3</v>
      </c>
      <c r="J353">
        <v>5.1087674000000003E-3</v>
      </c>
      <c r="K353">
        <f t="shared" si="0"/>
        <v>0</v>
      </c>
    </row>
    <row r="354" spans="1:11">
      <c r="A354" s="27" t="s">
        <v>764</v>
      </c>
      <c r="B354" s="27" t="s">
        <v>765</v>
      </c>
      <c r="C354">
        <f t="array" ref="C354">D354:F354</f>
        <v>6.7001773400000006E-2</v>
      </c>
      <c r="D354">
        <v>6.7001773400000006E-2</v>
      </c>
      <c r="E354" s="29">
        <v>6.8473830999999999E-3</v>
      </c>
      <c r="F354" s="29">
        <v>6.8473830999999999E-2</v>
      </c>
      <c r="G354" s="29"/>
      <c r="I354">
        <v>6.7001773400000006E-2</v>
      </c>
      <c r="J354">
        <v>6.7001773399999992E-2</v>
      </c>
      <c r="K354">
        <f t="shared" si="0"/>
        <v>0</v>
      </c>
    </row>
    <row r="355" spans="1:11">
      <c r="A355" s="27" t="s">
        <v>766</v>
      </c>
      <c r="B355" s="27" t="s">
        <v>767</v>
      </c>
      <c r="C355">
        <f t="array" ref="C355">D355:F355</f>
        <v>6.7001773400000006E-2</v>
      </c>
      <c r="D355">
        <v>6.7001773400000006E-2</v>
      </c>
      <c r="E355" s="29">
        <v>0</v>
      </c>
      <c r="F355" s="29">
        <v>6.7001773400000006E-2</v>
      </c>
      <c r="G355" s="29"/>
      <c r="I355">
        <v>6.7001773400000006E-2</v>
      </c>
      <c r="J355">
        <v>6.7001773400000006E-2</v>
      </c>
      <c r="K355">
        <f t="shared" si="0"/>
        <v>0</v>
      </c>
    </row>
    <row r="356" spans="1:11">
      <c r="A356" s="27" t="s">
        <v>768</v>
      </c>
      <c r="B356" s="27" t="s">
        <v>769</v>
      </c>
      <c r="C356">
        <f t="array" ref="C356">D356:F356</f>
        <v>0</v>
      </c>
      <c r="D356">
        <v>0</v>
      </c>
      <c r="E356" s="29">
        <v>0</v>
      </c>
      <c r="F356" s="29">
        <v>0</v>
      </c>
      <c r="G356" s="29"/>
      <c r="I356">
        <v>0</v>
      </c>
      <c r="J356">
        <v>0</v>
      </c>
      <c r="K356">
        <f t="shared" si="0"/>
        <v>0</v>
      </c>
    </row>
    <row r="357" spans="1:11">
      <c r="A357" s="27" t="s">
        <v>770</v>
      </c>
      <c r="B357" s="27" t="s">
        <v>771</v>
      </c>
      <c r="C357">
        <f t="array" ref="C357">D357:F357</f>
        <v>0</v>
      </c>
      <c r="D357">
        <v>0</v>
      </c>
      <c r="E357" s="29"/>
      <c r="F357" s="29"/>
      <c r="G357" s="29"/>
      <c r="I357">
        <v>0</v>
      </c>
      <c r="J357">
        <v>0</v>
      </c>
      <c r="K357">
        <f t="shared" si="0"/>
        <v>0</v>
      </c>
    </row>
    <row r="358" spans="1:11">
      <c r="A358" s="27" t="s">
        <v>772</v>
      </c>
      <c r="B358" s="27" t="s">
        <v>773</v>
      </c>
      <c r="C358">
        <f t="array" ref="C358">D358:F358</f>
        <v>0</v>
      </c>
      <c r="D358">
        <v>0</v>
      </c>
      <c r="E358" s="29"/>
      <c r="F358" s="29"/>
      <c r="G358" s="29"/>
      <c r="I358">
        <v>0</v>
      </c>
      <c r="J358">
        <v>0</v>
      </c>
      <c r="K358">
        <f t="shared" si="0"/>
        <v>0</v>
      </c>
    </row>
    <row r="359" spans="1:11">
      <c r="A359" s="27" t="s">
        <v>774</v>
      </c>
      <c r="B359" s="27" t="s">
        <v>775</v>
      </c>
      <c r="C359">
        <f t="array" ref="C359">D359:F359</f>
        <v>0</v>
      </c>
      <c r="D359">
        <v>0</v>
      </c>
      <c r="E359" s="29"/>
      <c r="F359" s="29"/>
      <c r="G359" s="29"/>
      <c r="I359">
        <v>0</v>
      </c>
      <c r="J359">
        <v>0</v>
      </c>
      <c r="K359">
        <f t="shared" si="0"/>
        <v>0</v>
      </c>
    </row>
    <row r="360" spans="1:11">
      <c r="A360" s="27" t="s">
        <v>776</v>
      </c>
      <c r="B360" s="27" t="s">
        <v>777</v>
      </c>
      <c r="C360">
        <f t="array" ref="C360">D360:F360</f>
        <v>0</v>
      </c>
      <c r="D360">
        <v>0</v>
      </c>
      <c r="E360" s="29"/>
      <c r="F360" s="29"/>
      <c r="G360" s="29"/>
      <c r="I360">
        <v>0</v>
      </c>
      <c r="J360">
        <v>0</v>
      </c>
      <c r="K360">
        <f t="shared" si="0"/>
        <v>0</v>
      </c>
    </row>
    <row r="361" spans="1:11">
      <c r="A361" s="27" t="s">
        <v>778</v>
      </c>
      <c r="B361" s="27" t="s">
        <v>779</v>
      </c>
      <c r="C361">
        <f t="array" ref="C361">D361:F361</f>
        <v>0</v>
      </c>
      <c r="D361">
        <v>0</v>
      </c>
      <c r="E361" s="29"/>
      <c r="F361" s="29"/>
      <c r="G361" s="29"/>
      <c r="I361">
        <v>0</v>
      </c>
      <c r="J361">
        <v>0</v>
      </c>
      <c r="K361">
        <f t="shared" si="0"/>
        <v>0</v>
      </c>
    </row>
    <row r="362" spans="1:11">
      <c r="A362" s="27" t="s">
        <v>780</v>
      </c>
      <c r="B362" s="27" t="s">
        <v>781</v>
      </c>
      <c r="C362">
        <f t="array" ref="C362">D362:F362</f>
        <v>0</v>
      </c>
      <c r="D362">
        <v>0</v>
      </c>
      <c r="E362" s="29"/>
      <c r="F362" s="29"/>
      <c r="G362" s="29"/>
      <c r="I362">
        <v>0</v>
      </c>
      <c r="J362">
        <v>0</v>
      </c>
      <c r="K362">
        <f t="shared" si="0"/>
        <v>0</v>
      </c>
    </row>
    <row r="363" spans="1:11">
      <c r="A363" s="27" t="s">
        <v>782</v>
      </c>
      <c r="B363" s="27" t="s">
        <v>783</v>
      </c>
      <c r="C363">
        <f t="array" ref="C363">D363:F363</f>
        <v>0</v>
      </c>
      <c r="D363">
        <v>0</v>
      </c>
      <c r="E363" s="29"/>
      <c r="F363" s="29"/>
      <c r="G363" s="29"/>
      <c r="I363">
        <v>0</v>
      </c>
      <c r="J363">
        <v>0</v>
      </c>
      <c r="K363">
        <f t="shared" si="0"/>
        <v>0</v>
      </c>
    </row>
    <row r="364" spans="1:11">
      <c r="A364" s="27" t="s">
        <v>784</v>
      </c>
      <c r="B364" s="27" t="s">
        <v>785</v>
      </c>
      <c r="C364">
        <f t="array" ref="C364">D364:F364</f>
        <v>424.76517702792688</v>
      </c>
      <c r="D364">
        <v>424.76517702792688</v>
      </c>
      <c r="E364" s="29">
        <v>41.889960000000002</v>
      </c>
      <c r="F364" s="29">
        <v>418.89960000000002</v>
      </c>
      <c r="G364" s="29"/>
      <c r="I364">
        <v>424.76514626168739</v>
      </c>
      <c r="J364">
        <v>424.7651462617165</v>
      </c>
      <c r="K364">
        <f t="shared" si="0"/>
        <v>-2.9103830456733704E-11</v>
      </c>
    </row>
    <row r="365" spans="1:11">
      <c r="A365" s="27" t="s">
        <v>786</v>
      </c>
      <c r="B365" s="27" t="s">
        <v>787</v>
      </c>
      <c r="C365">
        <f t="array" ref="C365">D365:F365</f>
        <v>46.803007999999998</v>
      </c>
      <c r="D365">
        <v>46.803007999999998</v>
      </c>
      <c r="E365" s="29"/>
      <c r="F365" s="29"/>
      <c r="G365" s="29"/>
      <c r="I365">
        <v>46.803007999999998</v>
      </c>
      <c r="J365">
        <v>46.803007999999998</v>
      </c>
      <c r="K365">
        <f t="shared" si="0"/>
        <v>0</v>
      </c>
    </row>
    <row r="366" spans="1:11">
      <c r="A366" s="27" t="s">
        <v>788</v>
      </c>
      <c r="B366" s="27" t="s">
        <v>789</v>
      </c>
      <c r="C366">
        <f t="array" ref="C366">D366:F366</f>
        <v>15.514926000000001</v>
      </c>
      <c r="D366">
        <v>15.514926000000001</v>
      </c>
      <c r="E366" s="29"/>
      <c r="F366" s="29"/>
      <c r="G366" s="29"/>
      <c r="I366">
        <v>15.514926000000001</v>
      </c>
      <c r="J366">
        <v>15.514926000000001</v>
      </c>
      <c r="K366">
        <f t="shared" si="0"/>
        <v>0</v>
      </c>
    </row>
    <row r="367" spans="1:11">
      <c r="A367" s="27" t="s">
        <v>790</v>
      </c>
      <c r="B367" s="27" t="s">
        <v>791</v>
      </c>
      <c r="C367">
        <f t="array" ref="C367">D367:F367</f>
        <v>1.3139072999999999E-3</v>
      </c>
      <c r="D367">
        <v>1.3139072999999999E-3</v>
      </c>
      <c r="E367" s="29"/>
      <c r="F367" s="29"/>
      <c r="G367" s="29"/>
      <c r="I367">
        <v>1.3139072999999999E-3</v>
      </c>
      <c r="J367">
        <v>1.3139072999999999E-3</v>
      </c>
      <c r="K367">
        <f t="shared" si="0"/>
        <v>0</v>
      </c>
    </row>
    <row r="368" spans="1:11">
      <c r="A368" s="27" t="s">
        <v>792</v>
      </c>
      <c r="B368" s="27" t="s">
        <v>793</v>
      </c>
      <c r="C368">
        <f t="array" ref="C368">D368:F368</f>
        <v>1.4585254000000001E-2</v>
      </c>
      <c r="D368">
        <v>1.4585254000000001E-2</v>
      </c>
      <c r="E368" s="29"/>
      <c r="F368" s="29"/>
      <c r="G368" s="29"/>
      <c r="I368">
        <v>1.4585254000000001E-2</v>
      </c>
      <c r="J368">
        <v>1.4585254000000001E-2</v>
      </c>
      <c r="K368">
        <f t="shared" si="0"/>
        <v>0</v>
      </c>
    </row>
    <row r="369" spans="1:11">
      <c r="A369" s="27" t="s">
        <v>794</v>
      </c>
      <c r="B369" s="27" t="s">
        <v>795</v>
      </c>
      <c r="C369">
        <f t="array" ref="C369">D369:F369</f>
        <v>17.750843</v>
      </c>
      <c r="D369">
        <v>17.750843</v>
      </c>
      <c r="E369" s="29"/>
      <c r="F369" s="29"/>
      <c r="G369" s="29"/>
      <c r="I369">
        <v>17.750843</v>
      </c>
      <c r="J369">
        <v>17.750843</v>
      </c>
      <c r="K369">
        <f t="shared" si="0"/>
        <v>0</v>
      </c>
    </row>
    <row r="370" spans="1:11">
      <c r="A370" s="27" t="s">
        <v>796</v>
      </c>
      <c r="B370" s="27" t="s">
        <v>797</v>
      </c>
      <c r="C370">
        <f t="array" ref="C370">D370:F370</f>
        <v>5.1087674000000003E-3</v>
      </c>
      <c r="D370">
        <v>5.1087674000000003E-3</v>
      </c>
      <c r="E370" s="29"/>
      <c r="F370" s="29"/>
      <c r="G370" s="29"/>
      <c r="I370">
        <v>5.1087674000000003E-3</v>
      </c>
      <c r="J370">
        <v>5.1087674000000003E-3</v>
      </c>
      <c r="K370">
        <f t="shared" si="0"/>
        <v>0</v>
      </c>
    </row>
    <row r="371" spans="1:11">
      <c r="A371" s="27" t="s">
        <v>798</v>
      </c>
      <c r="B371" s="27" t="s">
        <v>799</v>
      </c>
      <c r="C371">
        <f t="array" ref="C371">D371:F371</f>
        <v>6.7001773400000006E-2</v>
      </c>
      <c r="D371">
        <v>6.7001773400000006E-2</v>
      </c>
      <c r="E371" s="29"/>
      <c r="F371" s="29"/>
      <c r="G371" s="29"/>
      <c r="I371">
        <v>6.7001773400000006E-2</v>
      </c>
      <c r="J371">
        <v>6.7001773400000006E-2</v>
      </c>
      <c r="K371">
        <f t="shared" si="0"/>
        <v>0</v>
      </c>
    </row>
    <row r="372" spans="1:11">
      <c r="A372" s="27" t="s">
        <v>800</v>
      </c>
      <c r="B372" s="27" t="s">
        <v>801</v>
      </c>
      <c r="C372">
        <f t="array" ref="C372">D372:F372</f>
        <v>500.66398027375931</v>
      </c>
      <c r="D372">
        <v>500.66398027375931</v>
      </c>
      <c r="E372" s="29">
        <v>50.140380999999998</v>
      </c>
      <c r="F372" s="29">
        <v>501.40381000000002</v>
      </c>
      <c r="G372" s="29"/>
      <c r="I372">
        <v>497.35562875569536</v>
      </c>
      <c r="J372">
        <v>499.60986363175954</v>
      </c>
      <c r="K372">
        <f t="shared" si="0"/>
        <v>-2.2542348760641744</v>
      </c>
    </row>
    <row r="373" spans="1:11">
      <c r="A373" s="27" t="s">
        <v>802</v>
      </c>
      <c r="B373" s="27" t="s">
        <v>803</v>
      </c>
      <c r="C373">
        <f t="array" ref="C373">D373:F373</f>
        <v>200.86394200000001</v>
      </c>
      <c r="D373">
        <v>200.86394200000001</v>
      </c>
      <c r="E373" s="29">
        <v>0</v>
      </c>
      <c r="F373" s="29">
        <v>200.86394200000001</v>
      </c>
      <c r="G373" s="29"/>
      <c r="I373">
        <v>200.86394200000001</v>
      </c>
      <c r="J373">
        <v>200.86394200000001</v>
      </c>
      <c r="K373">
        <f t="shared" si="0"/>
        <v>0</v>
      </c>
    </row>
    <row r="374" spans="1:11">
      <c r="A374" s="27" t="s">
        <v>804</v>
      </c>
      <c r="B374" s="27" t="s">
        <v>805</v>
      </c>
      <c r="C374">
        <f t="array" ref="C374">D374:F374</f>
        <v>47.482674909300783</v>
      </c>
      <c r="D374">
        <v>47.482674909300783</v>
      </c>
      <c r="E374" s="29">
        <v>4.7920959999999999</v>
      </c>
      <c r="F374" s="29">
        <v>47.920960000000001</v>
      </c>
      <c r="G374" s="29"/>
      <c r="I374">
        <v>46.730470375408281</v>
      </c>
      <c r="J374">
        <v>47.477833942307441</v>
      </c>
      <c r="K374">
        <f t="shared" si="0"/>
        <v>-0.7473635668991605</v>
      </c>
    </row>
    <row r="375" spans="1:11">
      <c r="A375" s="27" t="s">
        <v>806</v>
      </c>
      <c r="B375" s="27" t="s">
        <v>807</v>
      </c>
      <c r="C375">
        <f t="array" ref="C375">D375:F375</f>
        <v>47.559142999999999</v>
      </c>
      <c r="D375">
        <v>47.559142999999999</v>
      </c>
      <c r="E375" s="29">
        <v>0</v>
      </c>
      <c r="F375" s="29">
        <v>47.559142999999999</v>
      </c>
      <c r="G375" s="29"/>
      <c r="I375">
        <v>47.559142999999999</v>
      </c>
      <c r="J375">
        <v>47.559142999999999</v>
      </c>
      <c r="K375">
        <f t="shared" si="0"/>
        <v>0</v>
      </c>
    </row>
    <row r="376" spans="1:11">
      <c r="A376" s="27" t="s">
        <v>808</v>
      </c>
      <c r="B376" s="27" t="s">
        <v>809</v>
      </c>
      <c r="C376">
        <f t="array" ref="C376">D376:F376</f>
        <v>15.161846752750108</v>
      </c>
      <c r="D376">
        <v>15.161846752750108</v>
      </c>
      <c r="E376" s="29">
        <v>1.4817830000000001</v>
      </c>
      <c r="F376" s="29">
        <v>14.817830000000001</v>
      </c>
      <c r="G376" s="29"/>
      <c r="I376">
        <v>15.142066392620942</v>
      </c>
      <c r="J376">
        <v>15.14308394030552</v>
      </c>
      <c r="K376">
        <f t="shared" si="0"/>
        <v>-1.0175476845777354E-3</v>
      </c>
    </row>
    <row r="377" spans="1:11">
      <c r="A377" s="27" t="s">
        <v>810</v>
      </c>
      <c r="B377" s="27" t="s">
        <v>811</v>
      </c>
      <c r="C377">
        <f t="array" ref="C377">D377:F377</f>
        <v>14.991614999999999</v>
      </c>
      <c r="D377">
        <v>14.991614999999999</v>
      </c>
      <c r="E377" s="29">
        <v>0</v>
      </c>
      <c r="F377" s="29">
        <v>14.991614999999999</v>
      </c>
      <c r="G377" s="29"/>
      <c r="I377">
        <v>14.991614999999999</v>
      </c>
      <c r="J377">
        <v>14.991614999999999</v>
      </c>
      <c r="K377">
        <f t="shared" si="0"/>
        <v>0</v>
      </c>
    </row>
    <row r="378" spans="1:11">
      <c r="A378" s="27" t="s">
        <v>812</v>
      </c>
      <c r="B378" s="27" t="s">
        <v>813</v>
      </c>
      <c r="C378">
        <f t="array" ref="C378">D378:F378</f>
        <v>1.3179899776825669E-3</v>
      </c>
      <c r="D378">
        <v>1.3179899776825669E-3</v>
      </c>
      <c r="E378" s="29">
        <v>1.314217E-4</v>
      </c>
      <c r="F378" s="29">
        <v>1.3142169999999999E-3</v>
      </c>
      <c r="G378" s="29"/>
      <c r="I378">
        <v>1.2988828026748967E-3</v>
      </c>
      <c r="J378">
        <v>1.3188166103706505E-3</v>
      </c>
      <c r="K378">
        <f t="shared" si="0"/>
        <v>-1.9933807695753786E-5</v>
      </c>
    </row>
    <row r="379" spans="1:11">
      <c r="A379" s="27" t="s">
        <v>814</v>
      </c>
      <c r="B379" s="27" t="s">
        <v>815</v>
      </c>
      <c r="C379">
        <f t="array" ref="C379">D379:F379</f>
        <v>1.2884337999999999E-3</v>
      </c>
      <c r="D379">
        <v>1.2884337999999999E-3</v>
      </c>
      <c r="E379" s="29">
        <v>0</v>
      </c>
      <c r="F379" s="29">
        <v>1.2884337999999999E-3</v>
      </c>
      <c r="G379" s="29"/>
      <c r="I379">
        <v>1.2884337999999999E-3</v>
      </c>
      <c r="J379">
        <v>1.2884337999999999E-3</v>
      </c>
      <c r="K379">
        <f t="shared" si="0"/>
        <v>0</v>
      </c>
    </row>
    <row r="380" spans="1:11">
      <c r="A380" s="27" t="s">
        <v>816</v>
      </c>
      <c r="B380" s="27" t="s">
        <v>817</v>
      </c>
      <c r="C380">
        <f t="array" ref="C380">D380:F380</f>
        <v>1.4536130147710031E-2</v>
      </c>
      <c r="D380">
        <v>1.4536130147710031E-2</v>
      </c>
      <c r="E380" s="29">
        <v>1.4544872E-3</v>
      </c>
      <c r="F380" s="29">
        <v>1.4544872E-2</v>
      </c>
      <c r="G380" s="29"/>
      <c r="I380">
        <v>1.4229653257411806E-2</v>
      </c>
      <c r="J380">
        <v>1.4537414951515717E-2</v>
      </c>
      <c r="K380">
        <f t="shared" si="0"/>
        <v>-3.0776169410391165E-4</v>
      </c>
    </row>
    <row r="381" spans="1:11">
      <c r="A381" s="27" t="s">
        <v>818</v>
      </c>
      <c r="B381" s="27" t="s">
        <v>819</v>
      </c>
      <c r="C381">
        <f t="array" ref="C381">D381:F381</f>
        <v>1.45145034E-2</v>
      </c>
      <c r="D381">
        <v>1.45145034E-2</v>
      </c>
      <c r="E381" s="29">
        <v>0</v>
      </c>
      <c r="F381" s="29">
        <v>1.45145034E-2</v>
      </c>
      <c r="G381" s="29"/>
      <c r="I381">
        <v>1.45145034E-2</v>
      </c>
      <c r="J381">
        <v>1.45145034E-2</v>
      </c>
      <c r="K381">
        <f t="shared" ref="K381:K444" si="1">I381-J381</f>
        <v>0</v>
      </c>
    </row>
    <row r="382" spans="1:11">
      <c r="A382" s="27" t="s">
        <v>820</v>
      </c>
      <c r="B382" s="27" t="s">
        <v>821</v>
      </c>
      <c r="C382">
        <f t="array" ref="C382">D382:F382</f>
        <v>17.779619780926406</v>
      </c>
      <c r="D382">
        <v>17.779619780926406</v>
      </c>
      <c r="E382" s="29">
        <v>1.7804249999999999</v>
      </c>
      <c r="F382" s="29">
        <v>17.80425</v>
      </c>
      <c r="G382" s="29"/>
      <c r="I382">
        <v>17.760827529126978</v>
      </c>
      <c r="J382">
        <v>17.780995539065646</v>
      </c>
      <c r="K382">
        <f t="shared" si="1"/>
        <v>-2.0168009938668519E-2</v>
      </c>
    </row>
    <row r="383" spans="1:11">
      <c r="A383" s="27" t="s">
        <v>822</v>
      </c>
      <c r="B383" s="27" t="s">
        <v>823</v>
      </c>
      <c r="C383">
        <f t="array" ref="C383">D383:F383</f>
        <v>17.465229999999998</v>
      </c>
      <c r="D383">
        <v>17.465229999999998</v>
      </c>
      <c r="E383" s="29">
        <v>0</v>
      </c>
      <c r="F383" s="29">
        <v>17.465229999999998</v>
      </c>
      <c r="G383" s="29"/>
      <c r="I383">
        <v>17.465229999999998</v>
      </c>
      <c r="J383">
        <v>17.465229999999998</v>
      </c>
      <c r="K383">
        <f t="shared" si="1"/>
        <v>0</v>
      </c>
    </row>
    <row r="384" spans="1:11">
      <c r="A384" s="27" t="s">
        <v>824</v>
      </c>
      <c r="B384" s="27" t="s">
        <v>825</v>
      </c>
      <c r="C384">
        <f t="array" ref="C384">D384:F384</f>
        <v>5.588839935260579E-3</v>
      </c>
      <c r="D384">
        <v>5.588839935260579E-3</v>
      </c>
      <c r="E384" s="29">
        <v>5.5959070000000002E-4</v>
      </c>
      <c r="F384" s="29">
        <v>5.5959069999999998E-3</v>
      </c>
      <c r="G384" s="29"/>
      <c r="I384">
        <v>5.5846252196891325E-3</v>
      </c>
      <c r="J384">
        <v>5.5889350642824185E-3</v>
      </c>
      <c r="K384">
        <f t="shared" si="1"/>
        <v>-4.3098445932860177E-6</v>
      </c>
    </row>
    <row r="385" spans="1:11">
      <c r="A385" s="27" t="s">
        <v>826</v>
      </c>
      <c r="B385" s="27" t="s">
        <v>827</v>
      </c>
      <c r="C385">
        <f t="array" ref="C385">D385:F385</f>
        <v>5.4770571999999997E-3</v>
      </c>
      <c r="D385">
        <v>5.4770571999999997E-3</v>
      </c>
      <c r="E385" s="29">
        <v>0</v>
      </c>
      <c r="F385" s="29">
        <v>5.4770571999999997E-3</v>
      </c>
      <c r="G385" s="29"/>
      <c r="I385">
        <v>5.4770571999999997E-3</v>
      </c>
      <c r="J385">
        <v>5.4770571999999997E-3</v>
      </c>
      <c r="K385">
        <f t="shared" si="1"/>
        <v>0</v>
      </c>
    </row>
    <row r="386" spans="1:11">
      <c r="A386" s="27" t="s">
        <v>828</v>
      </c>
      <c r="B386" s="27" t="s">
        <v>829</v>
      </c>
      <c r="C386">
        <f t="array" ref="C386">D386:F386</f>
        <v>6.9103167752328248E-2</v>
      </c>
      <c r="D386">
        <v>6.9103167752328248E-2</v>
      </c>
      <c r="E386" s="29">
        <v>6.8559125999999998E-3</v>
      </c>
      <c r="F386" s="29">
        <v>6.8559125999999998E-2</v>
      </c>
      <c r="G386" s="29"/>
      <c r="I386">
        <v>6.8380468081837176E-2</v>
      </c>
      <c r="J386">
        <v>6.8463817471685451E-2</v>
      </c>
      <c r="K386">
        <f t="shared" si="1"/>
        <v>-8.3349389848275113E-5</v>
      </c>
    </row>
    <row r="387" spans="1:11">
      <c r="A387" s="27" t="s">
        <v>830</v>
      </c>
      <c r="B387" s="27" t="s">
        <v>831</v>
      </c>
      <c r="C387">
        <f t="array" ref="C387">D387:F387</f>
        <v>6.7829136200000001E-2</v>
      </c>
      <c r="D387">
        <v>6.7829136200000001E-2</v>
      </c>
      <c r="E387" s="29">
        <v>0</v>
      </c>
      <c r="F387" s="29">
        <v>6.7829136200000001E-2</v>
      </c>
      <c r="G387" s="29"/>
      <c r="I387">
        <v>6.7829136200000001E-2</v>
      </c>
      <c r="J387">
        <v>6.7829136200000001E-2</v>
      </c>
      <c r="K387">
        <f t="shared" si="1"/>
        <v>0</v>
      </c>
    </row>
    <row r="388" spans="1:11">
      <c r="A388" s="27" t="s">
        <v>832</v>
      </c>
      <c r="B388" s="27" t="s">
        <v>833</v>
      </c>
      <c r="C388">
        <f t="array" ref="C388">D388:F388</f>
        <v>299.8000382737593</v>
      </c>
      <c r="D388">
        <v>299.8000382737593</v>
      </c>
      <c r="E388" s="29">
        <v>29.861424</v>
      </c>
      <c r="F388" s="29">
        <v>298.61424</v>
      </c>
      <c r="G388" s="29"/>
      <c r="I388">
        <v>296.49168675569535</v>
      </c>
      <c r="J388">
        <v>298.74592163175953</v>
      </c>
      <c r="K388">
        <f t="shared" si="1"/>
        <v>-2.2542348760641744</v>
      </c>
    </row>
    <row r="389" spans="1:11">
      <c r="A389" s="27" t="s">
        <v>834</v>
      </c>
      <c r="B389" s="27" t="s">
        <v>835</v>
      </c>
      <c r="C389">
        <f t="array" ref="C389">D389:F389</f>
        <v>47.431441820688725</v>
      </c>
      <c r="D389">
        <v>47.431441820688725</v>
      </c>
      <c r="E389" s="29"/>
      <c r="F389" s="29"/>
      <c r="G389" s="29"/>
      <c r="I389">
        <v>46.169070317662666</v>
      </c>
      <c r="J389">
        <v>47.423165219939001</v>
      </c>
      <c r="K389">
        <f t="shared" si="1"/>
        <v>-1.2540949022763357</v>
      </c>
    </row>
    <row r="390" spans="1:11">
      <c r="A390" s="27" t="s">
        <v>836</v>
      </c>
      <c r="B390" s="27" t="s">
        <v>837</v>
      </c>
      <c r="C390">
        <f t="array" ref="C390">D390:F390</f>
        <v>15.275900843963626</v>
      </c>
      <c r="D390">
        <v>15.275900843963626</v>
      </c>
      <c r="E390" s="29"/>
      <c r="F390" s="29"/>
      <c r="G390" s="29"/>
      <c r="I390">
        <v>15.243992554977014</v>
      </c>
      <c r="J390">
        <v>15.244925158000312</v>
      </c>
      <c r="K390">
        <f t="shared" si="1"/>
        <v>-9.3260302329767342E-4</v>
      </c>
    </row>
    <row r="391" spans="1:11">
      <c r="A391" s="27" t="s">
        <v>838</v>
      </c>
      <c r="B391" s="27" t="s">
        <v>839</v>
      </c>
      <c r="C391">
        <f t="array" ref="C391">D391:F391</f>
        <v>1.3377924103687901E-3</v>
      </c>
      <c r="D391">
        <v>1.3377924103687901E-3</v>
      </c>
      <c r="E391" s="29"/>
      <c r="F391" s="29"/>
      <c r="G391" s="29"/>
      <c r="I391">
        <v>1.3059619601813487E-3</v>
      </c>
      <c r="J391">
        <v>1.3392446985513069E-3</v>
      </c>
      <c r="K391">
        <f t="shared" si="1"/>
        <v>-3.3282738369958204E-5</v>
      </c>
    </row>
    <row r="392" spans="1:11">
      <c r="A392" s="27" t="s">
        <v>840</v>
      </c>
      <c r="B392" s="27" t="s">
        <v>841</v>
      </c>
      <c r="C392">
        <f t="array" ref="C392">D392:F392</f>
        <v>1.4550619918201488E-2</v>
      </c>
      <c r="D392">
        <v>1.4550619918201488E-2</v>
      </c>
      <c r="E392" s="29"/>
      <c r="F392" s="29"/>
      <c r="G392" s="29"/>
      <c r="I392">
        <v>1.4036676136385109E-2</v>
      </c>
      <c r="J392">
        <v>1.4552819696219266E-2</v>
      </c>
      <c r="K392">
        <f t="shared" si="1"/>
        <v>-5.1614355983415662E-4</v>
      </c>
    </row>
    <row r="393" spans="1:11">
      <c r="A393" s="27" t="s">
        <v>842</v>
      </c>
      <c r="B393" s="27" t="s">
        <v>843</v>
      </c>
      <c r="C393">
        <f t="array" ref="C393">D393:F393</f>
        <v>17.990258748742523</v>
      </c>
      <c r="D393">
        <v>17.990258748742523</v>
      </c>
      <c r="E393" s="29"/>
      <c r="F393" s="29"/>
      <c r="G393" s="29"/>
      <c r="I393">
        <v>17.96108570701433</v>
      </c>
      <c r="J393">
        <v>17.99330274171481</v>
      </c>
      <c r="K393">
        <f t="shared" si="1"/>
        <v>-3.2217034700479985E-2</v>
      </c>
    </row>
    <row r="394" spans="1:11">
      <c r="A394" s="27" t="s">
        <v>844</v>
      </c>
      <c r="B394" s="27" t="s">
        <v>845</v>
      </c>
      <c r="C394">
        <f t="array" ref="C394">D394:F394</f>
        <v>5.6637335908540322E-3</v>
      </c>
      <c r="D394">
        <v>5.6637335908540322E-3</v>
      </c>
      <c r="E394" s="29"/>
      <c r="F394" s="29"/>
      <c r="G394" s="29"/>
      <c r="I394">
        <v>5.6574992253955025E-3</v>
      </c>
      <c r="J394">
        <v>5.6641569408598328E-3</v>
      </c>
      <c r="K394">
        <f t="shared" si="1"/>
        <v>-6.6577154643303327E-6</v>
      </c>
    </row>
    <row r="395" spans="1:11">
      <c r="A395" s="27" t="s">
        <v>846</v>
      </c>
      <c r="B395" s="27" t="s">
        <v>847</v>
      </c>
      <c r="C395">
        <f t="array" ref="C395">D395:F395</f>
        <v>6.9956760037470103E-2</v>
      </c>
      <c r="D395">
        <v>6.9956760037470103E-2</v>
      </c>
      <c r="E395" s="29"/>
      <c r="F395" s="29"/>
      <c r="G395" s="29"/>
      <c r="I395">
        <v>6.8753978369487767E-2</v>
      </c>
      <c r="J395">
        <v>6.8890549931992895E-2</v>
      </c>
      <c r="K395">
        <f t="shared" si="1"/>
        <v>-1.3657156250512781E-4</v>
      </c>
    </row>
    <row r="396" spans="1:11">
      <c r="A396" s="27" t="s">
        <v>848</v>
      </c>
      <c r="B396" s="27" t="s">
        <v>849</v>
      </c>
      <c r="C396">
        <f t="array" ref="C396">D396:F396</f>
        <v>0</v>
      </c>
      <c r="D396">
        <v>0</v>
      </c>
      <c r="E396" s="29">
        <v>0</v>
      </c>
      <c r="F396" s="29">
        <v>0</v>
      </c>
      <c r="G396" s="29"/>
      <c r="I396">
        <v>0</v>
      </c>
      <c r="J396">
        <v>0</v>
      </c>
      <c r="K396">
        <f t="shared" si="1"/>
        <v>0</v>
      </c>
    </row>
    <row r="397" spans="1:11">
      <c r="A397" s="27" t="s">
        <v>850</v>
      </c>
      <c r="B397" s="27" t="s">
        <v>851</v>
      </c>
      <c r="C397">
        <f t="array" ref="C397">D397:F397</f>
        <v>47.559142999999999</v>
      </c>
      <c r="D397">
        <v>47.559142999999999</v>
      </c>
      <c r="E397" s="29"/>
      <c r="F397" s="29"/>
      <c r="G397" s="29"/>
      <c r="I397">
        <v>47.559142999999999</v>
      </c>
      <c r="J397">
        <v>47.559142999999999</v>
      </c>
      <c r="K397">
        <f t="shared" si="1"/>
        <v>0</v>
      </c>
    </row>
    <row r="398" spans="1:11">
      <c r="A398" s="27" t="s">
        <v>852</v>
      </c>
      <c r="B398" s="27" t="s">
        <v>853</v>
      </c>
      <c r="C398">
        <f t="array" ref="C398">D398:F398</f>
        <v>14.991614999999999</v>
      </c>
      <c r="D398">
        <v>14.991614999999999</v>
      </c>
      <c r="E398" s="29"/>
      <c r="F398" s="29"/>
      <c r="G398" s="29"/>
      <c r="I398">
        <v>14.991614999999999</v>
      </c>
      <c r="J398">
        <v>14.991614999999999</v>
      </c>
      <c r="K398">
        <f t="shared" si="1"/>
        <v>0</v>
      </c>
    </row>
    <row r="399" spans="1:11">
      <c r="A399" s="27" t="s">
        <v>854</v>
      </c>
      <c r="B399" s="27" t="s">
        <v>855</v>
      </c>
      <c r="C399">
        <f t="array" ref="C399">D399:F399</f>
        <v>1.2884337999999999E-3</v>
      </c>
      <c r="D399">
        <v>1.2884337999999999E-3</v>
      </c>
      <c r="E399" s="29"/>
      <c r="F399" s="29"/>
      <c r="G399" s="29"/>
      <c r="I399">
        <v>1.2884337999999999E-3</v>
      </c>
      <c r="J399">
        <v>1.2884337999999999E-3</v>
      </c>
      <c r="K399">
        <f t="shared" si="1"/>
        <v>0</v>
      </c>
    </row>
    <row r="400" spans="1:11">
      <c r="A400" s="27" t="s">
        <v>856</v>
      </c>
      <c r="B400" s="27" t="s">
        <v>857</v>
      </c>
      <c r="C400">
        <f t="array" ref="C400">D400:F400</f>
        <v>1.45145034E-2</v>
      </c>
      <c r="D400">
        <v>1.45145034E-2</v>
      </c>
      <c r="E400" s="29"/>
      <c r="F400" s="29"/>
      <c r="G400" s="29"/>
      <c r="I400">
        <v>1.45145034E-2</v>
      </c>
      <c r="J400">
        <v>1.45145034E-2</v>
      </c>
      <c r="K400">
        <f t="shared" si="1"/>
        <v>0</v>
      </c>
    </row>
    <row r="401" spans="1:11">
      <c r="A401" s="27" t="s">
        <v>858</v>
      </c>
      <c r="B401" s="27" t="s">
        <v>859</v>
      </c>
      <c r="C401">
        <f t="array" ref="C401">D401:F401</f>
        <v>17.465229999999998</v>
      </c>
      <c r="D401">
        <v>17.465229999999998</v>
      </c>
      <c r="E401" s="29"/>
      <c r="F401" s="29"/>
      <c r="G401" s="29"/>
      <c r="I401">
        <v>17.465229999999998</v>
      </c>
      <c r="J401">
        <v>17.465229999999998</v>
      </c>
      <c r="K401">
        <f t="shared" si="1"/>
        <v>0</v>
      </c>
    </row>
    <row r="402" spans="1:11">
      <c r="A402" s="27" t="s">
        <v>860</v>
      </c>
      <c r="B402" s="27" t="s">
        <v>861</v>
      </c>
      <c r="C402">
        <f t="array" ref="C402">D402:F402</f>
        <v>5.4770571999999997E-3</v>
      </c>
      <c r="D402">
        <v>5.4770571999999997E-3</v>
      </c>
      <c r="E402" s="29"/>
      <c r="F402" s="29"/>
      <c r="G402" s="29"/>
      <c r="I402">
        <v>5.4770571999999997E-3</v>
      </c>
      <c r="J402">
        <v>5.4770571999999997E-3</v>
      </c>
      <c r="K402">
        <f t="shared" si="1"/>
        <v>0</v>
      </c>
    </row>
    <row r="403" spans="1:11">
      <c r="A403" s="27" t="s">
        <v>862</v>
      </c>
      <c r="B403" s="27" t="s">
        <v>863</v>
      </c>
      <c r="C403">
        <f t="array" ref="C403">D403:F403</f>
        <v>6.7829136200000001E-2</v>
      </c>
      <c r="D403">
        <v>6.7829136200000001E-2</v>
      </c>
      <c r="E403" s="29"/>
      <c r="F403" s="29"/>
      <c r="G403" s="29"/>
      <c r="I403">
        <v>6.7829136200000001E-2</v>
      </c>
      <c r="J403">
        <v>6.7829136200000001E-2</v>
      </c>
      <c r="K403" s="20">
        <f t="shared" si="1"/>
        <v>0</v>
      </c>
    </row>
    <row r="404" spans="1:11">
      <c r="A404" s="27" t="s">
        <v>864</v>
      </c>
      <c r="B404" s="27" t="s">
        <v>865</v>
      </c>
      <c r="C404">
        <f t="array" ref="C404">D404:F404</f>
        <v>999.13140619443118</v>
      </c>
      <c r="D404">
        <v>999.13140619443118</v>
      </c>
      <c r="E404" s="29"/>
      <c r="F404" s="29"/>
      <c r="G404" s="29"/>
      <c r="I404">
        <v>974.74081995062579</v>
      </c>
      <c r="J404">
        <v>1000.3203486185247</v>
      </c>
      <c r="K404" s="20">
        <f t="shared" si="1"/>
        <v>-25.579528667898899</v>
      </c>
    </row>
    <row r="405" spans="1:11">
      <c r="A405" s="27" t="s">
        <v>866</v>
      </c>
      <c r="B405" s="27" t="s">
        <v>867</v>
      </c>
      <c r="C405">
        <f t="array" ref="C405">D405:F405</f>
        <v>1002.307494</v>
      </c>
      <c r="D405">
        <v>1002.307494</v>
      </c>
      <c r="E405" s="29">
        <v>0</v>
      </c>
      <c r="F405" s="29">
        <v>1002.307494</v>
      </c>
      <c r="G405" s="29"/>
      <c r="I405">
        <v>1002.307494</v>
      </c>
      <c r="J405">
        <v>1002.307494</v>
      </c>
      <c r="K405" s="20">
        <f t="shared" si="1"/>
        <v>0</v>
      </c>
    </row>
    <row r="406" spans="1:11">
      <c r="A406" s="27" t="s">
        <v>868</v>
      </c>
      <c r="B406" s="27" t="s">
        <v>869</v>
      </c>
      <c r="C406">
        <f t="array" ref="C406">D406:F406</f>
        <v>46.906952062004073</v>
      </c>
      <c r="D406">
        <v>46.906952062004073</v>
      </c>
      <c r="E406" s="29"/>
      <c r="F406" s="29"/>
      <c r="G406" s="29"/>
      <c r="I406">
        <v>46.746644704938319</v>
      </c>
      <c r="J406">
        <v>46.906405166629575</v>
      </c>
      <c r="K406" s="20">
        <f t="shared" si="1"/>
        <v>-0.15976046169125624</v>
      </c>
    </row>
    <row r="407" spans="1:11">
      <c r="A407" s="27" t="s">
        <v>870</v>
      </c>
      <c r="B407" s="27" t="s">
        <v>871</v>
      </c>
      <c r="C407">
        <f t="array" ref="C407">D407:F407</f>
        <v>46.817815000000003</v>
      </c>
      <c r="D407">
        <v>46.817815000000003</v>
      </c>
      <c r="E407" s="29">
        <v>0</v>
      </c>
      <c r="F407" s="29">
        <v>46.817815000000003</v>
      </c>
      <c r="G407" s="29"/>
      <c r="I407">
        <v>46.817815000000003</v>
      </c>
      <c r="J407">
        <v>46.817815000000003</v>
      </c>
      <c r="K407">
        <f t="shared" si="1"/>
        <v>0</v>
      </c>
    </row>
    <row r="408" spans="1:11">
      <c r="A408" s="27" t="s">
        <v>872</v>
      </c>
      <c r="B408" s="27" t="s">
        <v>873</v>
      </c>
      <c r="C408">
        <f t="array" ref="C408">D408:F408</f>
        <v>15.3963779956535</v>
      </c>
      <c r="D408">
        <v>15.3963779956535</v>
      </c>
      <c r="E408" s="29"/>
      <c r="F408" s="29"/>
      <c r="G408" s="29"/>
      <c r="I408">
        <v>15.397893679127103</v>
      </c>
      <c r="J408">
        <v>15.391692157730251</v>
      </c>
      <c r="K408">
        <f t="shared" si="1"/>
        <v>6.2015213968518168E-3</v>
      </c>
    </row>
    <row r="409" spans="1:11">
      <c r="A409" s="27" t="s">
        <v>874</v>
      </c>
      <c r="B409" s="27" t="s">
        <v>875</v>
      </c>
      <c r="C409">
        <f t="array" ref="C409">D409:F409</f>
        <v>15.416853</v>
      </c>
      <c r="D409">
        <v>15.416853</v>
      </c>
      <c r="E409" s="29">
        <v>0</v>
      </c>
      <c r="F409" s="29">
        <v>15.416853</v>
      </c>
      <c r="G409" s="29"/>
      <c r="I409">
        <v>15.416853</v>
      </c>
      <c r="J409">
        <v>15.416853</v>
      </c>
      <c r="K409">
        <f t="shared" si="1"/>
        <v>0</v>
      </c>
    </row>
    <row r="410" spans="1:11">
      <c r="A410" s="27" t="s">
        <v>876</v>
      </c>
      <c r="B410" s="27" t="s">
        <v>877</v>
      </c>
      <c r="C410">
        <f t="array" ref="C410">D410:F410</f>
        <v>1.3211697879155087E-3</v>
      </c>
      <c r="D410">
        <v>1.3211697879155087E-3</v>
      </c>
      <c r="E410" s="29"/>
      <c r="F410" s="29"/>
      <c r="G410" s="29"/>
      <c r="I410">
        <v>1.3169864223135039E-3</v>
      </c>
      <c r="J410">
        <v>1.3214034008958348E-3</v>
      </c>
      <c r="K410">
        <f t="shared" si="1"/>
        <v>-4.4169785823309788E-6</v>
      </c>
    </row>
    <row r="411" spans="1:11">
      <c r="A411" s="27" t="s">
        <v>878</v>
      </c>
      <c r="B411" s="27" t="s">
        <v>879</v>
      </c>
      <c r="C411">
        <f t="array" ref="C411">D411:F411</f>
        <v>1.3183448E-3</v>
      </c>
      <c r="D411">
        <v>1.3183448E-3</v>
      </c>
      <c r="E411" s="29">
        <v>0</v>
      </c>
      <c r="F411" s="29">
        <v>1.3183448E-3</v>
      </c>
      <c r="G411" s="29"/>
      <c r="I411">
        <v>1.3183448E-3</v>
      </c>
      <c r="J411">
        <v>1.3183448E-3</v>
      </c>
      <c r="K411">
        <f t="shared" si="1"/>
        <v>0</v>
      </c>
    </row>
    <row r="412" spans="1:11">
      <c r="A412" s="27" t="s">
        <v>880</v>
      </c>
      <c r="B412" s="27" t="s">
        <v>881</v>
      </c>
      <c r="C412">
        <f t="array" ref="C412">D412:F412</f>
        <v>1.4513015807963808E-2</v>
      </c>
      <c r="D412">
        <v>1.4513015807963808E-2</v>
      </c>
      <c r="E412" s="29"/>
      <c r="F412" s="29"/>
      <c r="G412" s="29"/>
      <c r="I412">
        <v>1.4455076572094659E-2</v>
      </c>
      <c r="J412">
        <v>1.4513385454203002E-2</v>
      </c>
      <c r="K412">
        <f t="shared" si="1"/>
        <v>-5.8308882108342938E-5</v>
      </c>
    </row>
    <row r="413" spans="1:11">
      <c r="A413" s="27" t="s">
        <v>882</v>
      </c>
      <c r="B413" s="27" t="s">
        <v>883</v>
      </c>
      <c r="C413">
        <f t="array" ref="C413">D413:F413</f>
        <v>1.45066251E-2</v>
      </c>
      <c r="D413">
        <v>1.45066251E-2</v>
      </c>
      <c r="E413" s="29">
        <v>0</v>
      </c>
      <c r="F413" s="29">
        <v>1.45066251E-2</v>
      </c>
      <c r="G413" s="29"/>
      <c r="I413">
        <v>1.45066251E-2</v>
      </c>
      <c r="J413">
        <v>1.45066251E-2</v>
      </c>
      <c r="K413">
        <f t="shared" si="1"/>
        <v>0</v>
      </c>
    </row>
    <row r="414" spans="1:11">
      <c r="A414" s="27" t="s">
        <v>884</v>
      </c>
      <c r="B414" s="27" t="s">
        <v>885</v>
      </c>
      <c r="C414">
        <f t="array" ref="C414">D414:F414</f>
        <v>17.790395391139498</v>
      </c>
      <c r="D414">
        <v>17.790395391139498</v>
      </c>
      <c r="E414" s="29"/>
      <c r="F414" s="29"/>
      <c r="G414" s="29"/>
      <c r="I414">
        <v>17.778880726124143</v>
      </c>
      <c r="J414">
        <v>17.791094372799797</v>
      </c>
      <c r="K414">
        <f t="shared" si="1"/>
        <v>-1.2213646675654388E-2</v>
      </c>
    </row>
    <row r="415" spans="1:11">
      <c r="A415" s="27" t="s">
        <v>886</v>
      </c>
      <c r="B415" s="27" t="s">
        <v>887</v>
      </c>
      <c r="C415">
        <f t="array" ref="C415">D415:F415</f>
        <v>17.756429000000001</v>
      </c>
      <c r="D415">
        <v>17.756429000000001</v>
      </c>
      <c r="E415" s="29">
        <v>0</v>
      </c>
      <c r="F415" s="29">
        <v>17.756429000000001</v>
      </c>
      <c r="G415" s="29"/>
      <c r="I415">
        <v>17.756429000000001</v>
      </c>
      <c r="J415">
        <v>17.756429000000001</v>
      </c>
      <c r="K415">
        <f t="shared" si="1"/>
        <v>0</v>
      </c>
    </row>
    <row r="416" spans="1:11">
      <c r="A416" s="27" t="s">
        <v>888</v>
      </c>
      <c r="B416" s="27" t="s">
        <v>889</v>
      </c>
      <c r="C416">
        <f t="array" ref="C416">D416:F416</f>
        <v>5.1792078538315149E-3</v>
      </c>
      <c r="D416">
        <v>5.1792078538315149E-3</v>
      </c>
      <c r="E416" s="29"/>
      <c r="F416" s="29"/>
      <c r="G416" s="29"/>
      <c r="I416">
        <v>5.1583613259972303E-3</v>
      </c>
      <c r="J416">
        <v>5.179883922290289E-3</v>
      </c>
      <c r="K416">
        <f t="shared" si="1"/>
        <v>-2.1522596293058714E-5</v>
      </c>
    </row>
    <row r="417" spans="1:11">
      <c r="A417" s="27" t="s">
        <v>890</v>
      </c>
      <c r="B417" s="27" t="s">
        <v>891</v>
      </c>
      <c r="C417">
        <f t="array" ref="C417">D417:F417</f>
        <v>5.0968630999999997E-3</v>
      </c>
      <c r="D417">
        <v>5.0968630999999997E-3</v>
      </c>
      <c r="E417" s="29">
        <v>0</v>
      </c>
      <c r="F417" s="29">
        <v>5.0968630999999997E-3</v>
      </c>
      <c r="G417" s="29"/>
      <c r="I417">
        <v>5.0968630999999997E-3</v>
      </c>
      <c r="J417">
        <v>5.0968630999999997E-3</v>
      </c>
      <c r="K417">
        <f t="shared" si="1"/>
        <v>0</v>
      </c>
    </row>
    <row r="418" spans="1:11">
      <c r="A418" s="27" t="s">
        <v>892</v>
      </c>
      <c r="B418" s="27" t="s">
        <v>893</v>
      </c>
      <c r="C418">
        <f t="array" ref="C418">D418:F418</f>
        <v>6.6966702005616441E-2</v>
      </c>
      <c r="D418">
        <v>6.6966702005616441E-2</v>
      </c>
      <c r="E418" s="29"/>
      <c r="F418" s="29"/>
      <c r="G418" s="29"/>
      <c r="I418">
        <v>6.6710344548336853E-2</v>
      </c>
      <c r="J418">
        <v>6.6814456870744665E-2</v>
      </c>
      <c r="K418">
        <f t="shared" si="1"/>
        <v>-1.0411232240781221E-4</v>
      </c>
    </row>
    <row r="419" spans="1:11">
      <c r="A419" s="27" t="s">
        <v>894</v>
      </c>
      <c r="B419" s="27" t="s">
        <v>895</v>
      </c>
      <c r="C419">
        <f t="array" ref="C419">D419:F419</f>
        <v>6.6458544100000003E-2</v>
      </c>
      <c r="D419">
        <v>6.6458544100000003E-2</v>
      </c>
      <c r="E419" s="29">
        <v>0</v>
      </c>
      <c r="F419" s="29">
        <v>6.6458544100000003E-2</v>
      </c>
      <c r="G419" s="29"/>
      <c r="I419">
        <v>6.6458544100000003E-2</v>
      </c>
      <c r="J419">
        <v>6.6458544100000003E-2</v>
      </c>
      <c r="K419">
        <f t="shared" si="1"/>
        <v>0</v>
      </c>
    </row>
    <row r="420" spans="1:11">
      <c r="A420" s="27" t="s">
        <v>896</v>
      </c>
      <c r="B420" s="27" t="s">
        <v>897</v>
      </c>
      <c r="C420">
        <f t="array" ref="C420">D420:F420</f>
        <v>299.8000382737593</v>
      </c>
      <c r="D420">
        <v>299.8000382737593</v>
      </c>
      <c r="E420" s="29">
        <v>29.861424</v>
      </c>
      <c r="F420" s="29">
        <v>298.61424</v>
      </c>
      <c r="G420" s="29"/>
      <c r="I420">
        <v>296.49168675569535</v>
      </c>
      <c r="J420">
        <v>298.74592163175953</v>
      </c>
      <c r="K420">
        <f t="shared" si="1"/>
        <v>-2.2542348760641744</v>
      </c>
    </row>
    <row r="421" spans="1:11">
      <c r="A421" s="27" t="s">
        <v>898</v>
      </c>
      <c r="B421" s="27" t="s">
        <v>899</v>
      </c>
      <c r="C421">
        <f t="array" ref="C421">D421:F421</f>
        <v>47.431441820687567</v>
      </c>
      <c r="D421">
        <v>47.431441820687567</v>
      </c>
      <c r="E421" s="29">
        <v>4.7902209999999998</v>
      </c>
      <c r="F421" s="29">
        <v>47.902209999999997</v>
      </c>
      <c r="G421" s="29"/>
      <c r="I421">
        <v>46.169070317663881</v>
      </c>
      <c r="J421">
        <v>47.423165219939008</v>
      </c>
      <c r="K421">
        <f t="shared" si="1"/>
        <v>-1.2540949022751278</v>
      </c>
    </row>
    <row r="422" spans="1:11">
      <c r="A422" s="27" t="s">
        <v>900</v>
      </c>
      <c r="B422" s="27" t="s">
        <v>901</v>
      </c>
      <c r="C422">
        <f t="array" ref="C422">D422:F422</f>
        <v>15.275900843962694</v>
      </c>
      <c r="D422">
        <v>15.275900843962694</v>
      </c>
      <c r="E422" s="29">
        <v>1.4672449999999999</v>
      </c>
      <c r="F422" s="29">
        <v>14.67245</v>
      </c>
      <c r="G422" s="29"/>
      <c r="I422">
        <v>15.243992554976712</v>
      </c>
      <c r="J422">
        <v>15.244925158000308</v>
      </c>
      <c r="K422">
        <f t="shared" si="1"/>
        <v>-9.3260302359610137E-4</v>
      </c>
    </row>
    <row r="423" spans="1:11">
      <c r="A423" s="27" t="s">
        <v>902</v>
      </c>
      <c r="B423" s="27" t="s">
        <v>903</v>
      </c>
      <c r="C423">
        <f t="array" ref="C423">D423:F423</f>
        <v>1.3377924094478304E-3</v>
      </c>
      <c r="D423">
        <v>1.3377924094478304E-3</v>
      </c>
      <c r="E423" s="29">
        <v>1.3530660000000001E-4</v>
      </c>
      <c r="F423" s="29">
        <v>1.353066E-3</v>
      </c>
      <c r="G423" s="29"/>
      <c r="I423">
        <v>1.3059622417412519E-3</v>
      </c>
      <c r="J423">
        <v>1.3392446884111281E-3</v>
      </c>
      <c r="K423">
        <f t="shared" si="1"/>
        <v>-3.3282446669876146E-5</v>
      </c>
    </row>
    <row r="424" spans="1:11">
      <c r="A424" s="27" t="s">
        <v>904</v>
      </c>
      <c r="B424" s="27" t="s">
        <v>905</v>
      </c>
      <c r="C424">
        <f t="array" ref="C424">D424:F424</f>
        <v>1.4550619918158031E-2</v>
      </c>
      <c r="D424">
        <v>1.4550619918158031E-2</v>
      </c>
      <c r="E424" s="29">
        <v>1.4527066E-3</v>
      </c>
      <c r="F424" s="29">
        <v>1.4527066E-2</v>
      </c>
      <c r="G424" s="29"/>
      <c r="I424">
        <v>1.4036676171360797E-2</v>
      </c>
      <c r="J424">
        <v>1.4552819696550928E-2</v>
      </c>
      <c r="K424">
        <f t="shared" si="1"/>
        <v>-5.1614352519013112E-4</v>
      </c>
    </row>
    <row r="425" spans="1:11">
      <c r="A425" s="27" t="s">
        <v>906</v>
      </c>
      <c r="B425" s="27" t="s">
        <v>907</v>
      </c>
      <c r="C425">
        <f t="array" ref="C425">D425:F425</f>
        <v>17.990258748741837</v>
      </c>
      <c r="D425">
        <v>17.990258748741837</v>
      </c>
      <c r="E425" s="29">
        <v>1.797936</v>
      </c>
      <c r="F425" s="29">
        <v>17.97936</v>
      </c>
      <c r="G425" s="29"/>
      <c r="I425">
        <v>17.961085707013901</v>
      </c>
      <c r="J425">
        <v>17.99330274171481</v>
      </c>
      <c r="K425" s="20">
        <f t="shared" si="1"/>
        <v>-3.2217034700909863E-2</v>
      </c>
    </row>
    <row r="426" spans="1:11">
      <c r="A426" s="27" t="s">
        <v>908</v>
      </c>
      <c r="B426" s="27" t="s">
        <v>909</v>
      </c>
      <c r="C426">
        <f t="array" ref="C426">D426:F426</f>
        <v>5.6637335907633087E-3</v>
      </c>
      <c r="D426">
        <v>5.6637335907633087E-3</v>
      </c>
      <c r="E426" s="29">
        <v>5.6600200000000002E-4</v>
      </c>
      <c r="F426" s="29">
        <v>5.66002E-3</v>
      </c>
      <c r="G426" s="29"/>
      <c r="I426">
        <v>5.6574992267596743E-3</v>
      </c>
      <c r="J426">
        <v>5.6641569408688109E-3</v>
      </c>
      <c r="K426" s="20">
        <f t="shared" si="1"/>
        <v>-6.6577141091365977E-6</v>
      </c>
    </row>
    <row r="427" spans="1:11">
      <c r="A427" s="27" t="s">
        <v>910</v>
      </c>
      <c r="B427" s="27" t="s">
        <v>911</v>
      </c>
      <c r="C427">
        <f t="array" ref="C427">D427:F427</f>
        <v>6.995676003746179E-2</v>
      </c>
      <c r="D427">
        <v>6.995676003746179E-2</v>
      </c>
      <c r="E427" s="29">
        <v>6.8834342999999996E-3</v>
      </c>
      <c r="F427" s="29">
        <v>6.8834343000000006E-2</v>
      </c>
      <c r="G427" s="29"/>
      <c r="I427">
        <v>6.8753978369708063E-2</v>
      </c>
      <c r="J427">
        <v>6.8890549931994269E-2</v>
      </c>
      <c r="K427" s="20">
        <f t="shared" si="1"/>
        <v>-1.3657156228620571E-4</v>
      </c>
    </row>
    <row r="428" spans="1:11">
      <c r="A428" s="27" t="s">
        <v>912</v>
      </c>
      <c r="B428" s="27" t="s">
        <v>913</v>
      </c>
      <c r="C428">
        <f t="array" ref="C428">D428:F428</f>
        <v>296.6239504681904</v>
      </c>
      <c r="D428">
        <v>296.6239504681904</v>
      </c>
      <c r="E428" s="29"/>
      <c r="F428" s="29"/>
      <c r="G428" s="29"/>
      <c r="I428">
        <v>268.92501270632107</v>
      </c>
      <c r="J428">
        <v>296.75877625028426</v>
      </c>
      <c r="K428" s="20">
        <f t="shared" si="1"/>
        <v>-27.833763543963187</v>
      </c>
    </row>
    <row r="429" spans="1:11">
      <c r="A429" s="27" t="s">
        <v>914</v>
      </c>
      <c r="B429" s="27" t="s">
        <v>915</v>
      </c>
      <c r="C429">
        <f t="array" ref="C429">D429:F429</f>
        <v>47.738255231031374</v>
      </c>
      <c r="D429">
        <v>47.738255231031374</v>
      </c>
      <c r="E429" s="29">
        <v>4.7087750000000002</v>
      </c>
      <c r="F429" s="29">
        <v>47.08775</v>
      </c>
      <c r="G429" s="29"/>
      <c r="I429">
        <v>45.84469797649583</v>
      </c>
      <c r="J429">
        <v>47.725840329908543</v>
      </c>
      <c r="K429" s="20">
        <f t="shared" si="1"/>
        <v>-1.881142353412713</v>
      </c>
    </row>
    <row r="430" spans="1:11">
      <c r="A430" s="27" t="s">
        <v>916</v>
      </c>
      <c r="B430" s="27" t="s">
        <v>917</v>
      </c>
      <c r="C430">
        <f t="array" ref="C430">D430:F430</f>
        <v>15.205424765944041</v>
      </c>
      <c r="D430">
        <v>15.205424765944041</v>
      </c>
      <c r="E430" s="29">
        <v>1.5742020000000001</v>
      </c>
      <c r="F430" s="29">
        <v>15.74202</v>
      </c>
      <c r="G430" s="29"/>
      <c r="I430">
        <v>15.157562332465067</v>
      </c>
      <c r="J430">
        <v>15.158961237000463</v>
      </c>
      <c r="K430" s="20">
        <f t="shared" si="1"/>
        <v>-1.3989045353959284E-3</v>
      </c>
    </row>
    <row r="431" spans="1:11">
      <c r="A431" s="27" t="s">
        <v>918</v>
      </c>
      <c r="B431" s="27" t="s">
        <v>919</v>
      </c>
      <c r="C431">
        <f t="array" ref="C431">D431:F431</f>
        <v>1.3475162141717454E-3</v>
      </c>
      <c r="D431">
        <v>1.3475162141717454E-3</v>
      </c>
      <c r="E431" s="29"/>
      <c r="F431" s="29"/>
      <c r="G431" s="29"/>
      <c r="I431">
        <v>1.2997709626118778E-3</v>
      </c>
      <c r="J431">
        <v>1.3496946326166934E-3</v>
      </c>
      <c r="K431" s="20">
        <f t="shared" si="1"/>
        <v>-4.9923670004815629E-5</v>
      </c>
    </row>
    <row r="432" spans="1:11">
      <c r="A432" s="27" t="s">
        <v>920</v>
      </c>
      <c r="B432" s="27" t="s">
        <v>921</v>
      </c>
      <c r="C432">
        <f t="array" ref="C432">D432:F432</f>
        <v>1.4572617327237041E-2</v>
      </c>
      <c r="D432">
        <v>1.4572617327237041E-2</v>
      </c>
      <c r="E432" s="29"/>
      <c r="F432" s="29"/>
      <c r="G432" s="29"/>
      <c r="I432">
        <v>1.3801701707041196E-2</v>
      </c>
      <c r="J432">
        <v>1.4575916994826394E-2</v>
      </c>
      <c r="K432" s="20">
        <f t="shared" si="1"/>
        <v>-7.7421528778519842E-4</v>
      </c>
    </row>
    <row r="433" spans="1:11">
      <c r="A433" s="27" t="s">
        <v>922</v>
      </c>
      <c r="B433" s="27" t="s">
        <v>923</v>
      </c>
      <c r="C433">
        <f t="array" ref="C433">D433:F433</f>
        <v>18.107173623112754</v>
      </c>
      <c r="D433">
        <v>18.107173623112754</v>
      </c>
      <c r="E433" s="29"/>
      <c r="F433" s="29"/>
      <c r="G433" s="29"/>
      <c r="I433">
        <v>18.063414060520845</v>
      </c>
      <c r="J433">
        <v>18.111739612572208</v>
      </c>
      <c r="K433" s="20">
        <f t="shared" si="1"/>
        <v>-4.8325552051363019E-2</v>
      </c>
    </row>
    <row r="434" spans="1:11">
      <c r="A434" s="27" t="s">
        <v>924</v>
      </c>
      <c r="B434" s="27" t="s">
        <v>925</v>
      </c>
      <c r="C434">
        <f t="array" ref="C434">D434:F434</f>
        <v>5.9471688361449624E-3</v>
      </c>
      <c r="D434">
        <v>5.9471688361449624E-3</v>
      </c>
      <c r="E434" s="29"/>
      <c r="F434" s="29"/>
      <c r="G434" s="29"/>
      <c r="I434">
        <v>5.937817290139512E-3</v>
      </c>
      <c r="J434">
        <v>5.9478038613032178E-3</v>
      </c>
      <c r="K434" s="20">
        <f t="shared" si="1"/>
        <v>-9.9865711637057639E-6</v>
      </c>
    </row>
    <row r="435" spans="1:11">
      <c r="A435" s="27" t="s">
        <v>926</v>
      </c>
      <c r="B435" s="27" t="s">
        <v>927</v>
      </c>
      <c r="C435">
        <f t="array" ref="C435">D435:F435</f>
        <v>7.1705868006192636E-2</v>
      </c>
      <c r="D435">
        <v>7.1705868006192636E-2</v>
      </c>
      <c r="E435" s="29"/>
      <c r="F435" s="29"/>
      <c r="G435" s="29"/>
      <c r="I435">
        <v>6.9901695504562128E-2</v>
      </c>
      <c r="J435">
        <v>7.010655284799136E-2</v>
      </c>
      <c r="K435" s="20">
        <f t="shared" si="1"/>
        <v>-2.0485734342923223E-4</v>
      </c>
    </row>
    <row r="436" spans="1:11">
      <c r="A436" s="27" t="s">
        <v>928</v>
      </c>
      <c r="B436" s="27" t="s">
        <v>929</v>
      </c>
      <c r="C436">
        <f t="array" ref="C436">D436:F436</f>
        <v>11556.196201589231</v>
      </c>
      <c r="D436">
        <v>11556.196201589231</v>
      </c>
      <c r="E436" s="29"/>
      <c r="F436" s="29"/>
      <c r="G436" s="29"/>
      <c r="I436">
        <v>9786.9578036897583</v>
      </c>
      <c r="J436">
        <v>11568.0754220813</v>
      </c>
      <c r="K436" s="20">
        <f t="shared" si="1"/>
        <v>-1781.1176183915413</v>
      </c>
    </row>
    <row r="437" spans="1:11">
      <c r="A437" s="27" t="s">
        <v>930</v>
      </c>
      <c r="B437" s="27" t="s">
        <v>931</v>
      </c>
      <c r="C437">
        <f t="array" ref="C437">D437:F437</f>
        <v>0.18500975351624613</v>
      </c>
      <c r="D437">
        <v>0.18500975351624613</v>
      </c>
      <c r="E437" s="29">
        <v>1.8336999999999999E-2</v>
      </c>
      <c r="F437" s="29">
        <v>0.18337000000000001</v>
      </c>
      <c r="G437" s="29"/>
      <c r="I437">
        <v>0.18448264951114646</v>
      </c>
      <c r="J437">
        <v>0.18502718135376131</v>
      </c>
      <c r="K437" s="20">
        <f t="shared" si="1"/>
        <v>-5.4453184261485377E-4</v>
      </c>
    </row>
    <row r="438" spans="1:11">
      <c r="A438" s="27" t="s">
        <v>932</v>
      </c>
      <c r="B438" s="27" t="s">
        <v>933</v>
      </c>
      <c r="C438">
        <f t="array" ref="C438">D438:F438</f>
        <v>6.2003747598923047</v>
      </c>
      <c r="D438">
        <v>6.2003747598923047</v>
      </c>
      <c r="E438" s="29">
        <v>0.61149600000000004</v>
      </c>
      <c r="F438" s="29">
        <v>6.11496</v>
      </c>
      <c r="G438" s="29"/>
      <c r="I438">
        <v>6.1967692196061472</v>
      </c>
      <c r="J438">
        <v>6.2042047795289745</v>
      </c>
      <c r="K438" s="20">
        <f t="shared" si="1"/>
        <v>-7.4355599228272951E-3</v>
      </c>
    </row>
    <row r="439" spans="1:11">
      <c r="A439" s="27" t="s">
        <v>934</v>
      </c>
      <c r="B439" s="27" t="s">
        <v>935</v>
      </c>
      <c r="C439">
        <f t="array" ref="C439">D439:F439</f>
        <v>1.0427340154294414E-5</v>
      </c>
      <c r="D439">
        <v>1.0427340154294414E-5</v>
      </c>
      <c r="E439" s="29"/>
      <c r="F439" s="29"/>
      <c r="G439" s="29"/>
      <c r="I439">
        <v>1.070404659211642E-5</v>
      </c>
      <c r="J439">
        <v>1.0425323005679389E-5</v>
      </c>
      <c r="K439">
        <f t="shared" si="1"/>
        <v>2.7872358643703108E-7</v>
      </c>
    </row>
    <row r="440" spans="1:11">
      <c r="A440" s="27" t="s">
        <v>936</v>
      </c>
      <c r="B440" s="27" t="s">
        <v>937</v>
      </c>
      <c r="C440">
        <f t="array" ref="C440">D440:F440</f>
        <v>2.1938968676288941E-4</v>
      </c>
      <c r="D440">
        <v>2.1938968676288941E-4</v>
      </c>
      <c r="E440" s="29"/>
      <c r="F440" s="29"/>
      <c r="G440" s="29"/>
      <c r="I440">
        <v>2.4514674463891971E-4</v>
      </c>
      <c r="J440">
        <v>2.1940413566464255E-4</v>
      </c>
      <c r="K440">
        <f t="shared" si="1"/>
        <v>2.5742608974277159E-5</v>
      </c>
    </row>
    <row r="441" spans="1:11">
      <c r="A441" s="27" t="s">
        <v>938</v>
      </c>
      <c r="B441" s="27" t="s">
        <v>939</v>
      </c>
      <c r="C441">
        <f t="array" ref="C441">D441:F441</f>
        <v>5.9972483236634462</v>
      </c>
      <c r="D441">
        <v>5.9972483236634462</v>
      </c>
      <c r="E441" s="29"/>
      <c r="F441" s="29"/>
      <c r="G441" s="29"/>
      <c r="I441">
        <v>6.1229639939983631</v>
      </c>
      <c r="J441">
        <v>5.9971226473420485</v>
      </c>
      <c r="K441">
        <f t="shared" si="1"/>
        <v>0.12584134665631463</v>
      </c>
    </row>
    <row r="442" spans="1:11">
      <c r="A442" s="27" t="s">
        <v>940</v>
      </c>
      <c r="B442" s="27" t="s">
        <v>941</v>
      </c>
      <c r="C442">
        <f t="array" ref="C442">D442:F442</f>
        <v>5.9419620604694821E-3</v>
      </c>
      <c r="D442">
        <v>5.9419620604694821E-3</v>
      </c>
      <c r="E442" s="29"/>
      <c r="F442" s="29"/>
      <c r="G442" s="29"/>
      <c r="I442">
        <v>6.2155655773851832E-3</v>
      </c>
      <c r="J442">
        <v>5.9417770519447433E-3</v>
      </c>
      <c r="K442" s="20">
        <f t="shared" si="1"/>
        <v>2.7378852544043993E-4</v>
      </c>
    </row>
    <row r="443" spans="1:11">
      <c r="A443" s="27" t="s">
        <v>942</v>
      </c>
      <c r="B443" s="27" t="s">
        <v>943</v>
      </c>
      <c r="C443">
        <f t="array" ref="C443">D443:F443</f>
        <v>4.5060249891750379E-2</v>
      </c>
      <c r="D443">
        <v>4.5060249891750379E-2</v>
      </c>
      <c r="E443" s="29"/>
      <c r="F443" s="29"/>
      <c r="G443" s="29"/>
      <c r="I443">
        <v>4.7482317558608746E-2</v>
      </c>
      <c r="J443">
        <v>4.5295464483937793E-2</v>
      </c>
      <c r="K443" s="20">
        <f t="shared" si="1"/>
        <v>2.1868530746709525E-3</v>
      </c>
    </row>
    <row r="444" spans="1:11">
      <c r="A444" s="27" t="s">
        <v>944</v>
      </c>
      <c r="B444" s="27" t="s">
        <v>945</v>
      </c>
      <c r="C444">
        <f t="array" ref="C444">D444:F444</f>
        <v>11852.820152057422</v>
      </c>
      <c r="D444">
        <v>11852.820152057422</v>
      </c>
      <c r="E444" s="29"/>
      <c r="F444" s="29"/>
      <c r="G444" s="29"/>
      <c r="I444">
        <v>10055.882816396079</v>
      </c>
      <c r="J444">
        <v>11864.834198331584</v>
      </c>
      <c r="K444" s="20">
        <f t="shared" si="1"/>
        <v>-1808.9513819355052</v>
      </c>
    </row>
    <row r="445" spans="1:11">
      <c r="A445" s="27" t="s">
        <v>946</v>
      </c>
      <c r="B445" s="27" t="s">
        <v>947</v>
      </c>
      <c r="C445">
        <f t="array" ref="C445">D445:F445</f>
        <v>1.3750583404501335</v>
      </c>
      <c r="D445">
        <v>1.3750583404501335</v>
      </c>
      <c r="E445" s="29">
        <v>0.13678999999999999</v>
      </c>
      <c r="F445" s="29">
        <v>1.3678999999999999</v>
      </c>
      <c r="G445" s="29"/>
      <c r="I445">
        <v>1.4055753589279731</v>
      </c>
      <c r="J445">
        <v>1.3741001423680592</v>
      </c>
      <c r="K445" s="20">
        <f t="shared" ref="K445:K507" si="2">I445-J445</f>
        <v>3.1475216559913921E-2</v>
      </c>
    </row>
    <row r="446" spans="1:11">
      <c r="A446" s="27" t="s">
        <v>948</v>
      </c>
      <c r="B446" s="27" t="s">
        <v>949</v>
      </c>
      <c r="C446">
        <f t="array" ref="C446">D446:F446</f>
        <v>6.4257315502371881</v>
      </c>
      <c r="D446">
        <v>6.4257315502371881</v>
      </c>
      <c r="E446" s="29">
        <v>0.63819899999999996</v>
      </c>
      <c r="F446" s="29">
        <v>6.3819900000000001</v>
      </c>
      <c r="G446" s="29"/>
      <c r="I446">
        <v>6.4364081934158897</v>
      </c>
      <c r="J446">
        <v>6.4281777844202965</v>
      </c>
      <c r="K446" s="20">
        <f t="shared" si="2"/>
        <v>8.2304089955931303E-3</v>
      </c>
    </row>
    <row r="447" spans="1:11">
      <c r="A447" s="27" t="s">
        <v>950</v>
      </c>
      <c r="B447" s="27" t="s">
        <v>951</v>
      </c>
      <c r="C447">
        <f t="array" ref="C447">D447:F447</f>
        <v>4.3888792317125744E-5</v>
      </c>
      <c r="D447">
        <v>4.3888792317125744E-5</v>
      </c>
      <c r="E447" s="29"/>
      <c r="F447" s="29"/>
      <c r="G447" s="29"/>
      <c r="I447">
        <v>4.5177645864507822E-5</v>
      </c>
      <c r="J447">
        <v>4.3922623579689801E-5</v>
      </c>
      <c r="K447">
        <f t="shared" si="2"/>
        <v>1.255022284818021E-6</v>
      </c>
    </row>
    <row r="448" spans="1:11">
      <c r="A448" s="27" t="s">
        <v>952</v>
      </c>
      <c r="B448" s="27" t="s">
        <v>953</v>
      </c>
      <c r="C448">
        <f t="array" ref="C448">D448:F448</f>
        <v>5.7858783592502905E-4</v>
      </c>
      <c r="D448">
        <v>5.7858783592502905E-4</v>
      </c>
      <c r="E448" s="29"/>
      <c r="F448" s="29"/>
      <c r="G448" s="29"/>
      <c r="I448">
        <v>6.0769031768032153E-4</v>
      </c>
      <c r="J448">
        <v>5.7848384266922679E-4</v>
      </c>
      <c r="K448">
        <f t="shared" si="2"/>
        <v>2.920647501109474E-5</v>
      </c>
    </row>
    <row r="449" spans="1:11">
      <c r="A449" s="27" t="s">
        <v>954</v>
      </c>
      <c r="B449" s="27" t="s">
        <v>955</v>
      </c>
      <c r="C449">
        <f t="array" ref="C449">D449:F449</f>
        <v>6.3003065820889326</v>
      </c>
      <c r="D449">
        <v>6.3003065820889326</v>
      </c>
      <c r="E449" s="29"/>
      <c r="F449" s="29"/>
      <c r="G449" s="29"/>
      <c r="I449">
        <v>6.4422882971271411</v>
      </c>
      <c r="J449">
        <v>6.3001288963355968</v>
      </c>
      <c r="K449">
        <f t="shared" si="2"/>
        <v>0.14215940079154432</v>
      </c>
    </row>
    <row r="450" spans="1:11">
      <c r="A450" s="27" t="s">
        <v>956</v>
      </c>
      <c r="B450" s="27" t="s">
        <v>957</v>
      </c>
      <c r="C450">
        <f t="array" ref="C450">D450:F450</f>
        <v>5.9420924747939485E-3</v>
      </c>
      <c r="D450">
        <v>5.9420924747939485E-3</v>
      </c>
      <c r="E450" s="29"/>
      <c r="F450" s="29"/>
      <c r="G450" s="29"/>
      <c r="I450">
        <v>6.2081379518800486E-3</v>
      </c>
      <c r="J450">
        <v>5.9419277922402184E-3</v>
      </c>
      <c r="K450">
        <f t="shared" si="2"/>
        <v>2.6621015963983023E-4</v>
      </c>
    </row>
    <row r="451" spans="1:11">
      <c r="A451" s="27" t="s">
        <v>958</v>
      </c>
      <c r="B451" s="27" t="s">
        <v>959</v>
      </c>
      <c r="C451">
        <f t="array" ref="C451">D451:F451</f>
        <v>4.5727073408168721E-2</v>
      </c>
      <c r="D451">
        <v>4.5727073408168721E-2</v>
      </c>
      <c r="E451" s="29"/>
      <c r="F451" s="29"/>
      <c r="G451" s="29"/>
      <c r="I451">
        <v>4.808188178480402E-2</v>
      </c>
      <c r="J451">
        <v>4.591603010647944E-2</v>
      </c>
      <c r="K451">
        <f t="shared" si="2"/>
        <v>2.1658516783245804E-3</v>
      </c>
    </row>
    <row r="452" spans="1:11">
      <c r="A452" s="27" t="s">
        <v>960</v>
      </c>
      <c r="B452" s="27" t="s">
        <v>961</v>
      </c>
      <c r="C452">
        <f t="array" ref="C452">D452:F452</f>
        <v>424.76517702792688</v>
      </c>
      <c r="D452">
        <v>424.76517702792688</v>
      </c>
      <c r="E452" s="29">
        <v>41.89</v>
      </c>
      <c r="F452" s="29">
        <v>418.9</v>
      </c>
      <c r="G452" s="29"/>
      <c r="I452">
        <v>424.76514626168739</v>
      </c>
      <c r="J452">
        <v>424.7651462617165</v>
      </c>
      <c r="K452">
        <f t="shared" si="2"/>
        <v>-2.9103830456733704E-11</v>
      </c>
    </row>
    <row r="453" spans="1:11">
      <c r="A453" s="27" t="s">
        <v>962</v>
      </c>
      <c r="B453" s="27" t="s">
        <v>963</v>
      </c>
      <c r="C453">
        <f t="array" ref="C453">D453:F453</f>
        <v>46.803007999999998</v>
      </c>
      <c r="D453">
        <v>46.803007999999998</v>
      </c>
      <c r="E453" s="29"/>
      <c r="F453" s="29"/>
      <c r="G453" s="29"/>
      <c r="I453">
        <v>46.803007999999998</v>
      </c>
      <c r="J453">
        <v>46.803007999999998</v>
      </c>
      <c r="K453">
        <f t="shared" si="2"/>
        <v>0</v>
      </c>
    </row>
    <row r="454" spans="1:11">
      <c r="A454" s="27" t="s">
        <v>964</v>
      </c>
      <c r="B454" s="27" t="s">
        <v>965</v>
      </c>
      <c r="C454">
        <f t="array" ref="C454">D454:F454</f>
        <v>15.514926000000001</v>
      </c>
      <c r="D454">
        <v>15.514926000000001</v>
      </c>
      <c r="E454" s="29"/>
      <c r="F454" s="29"/>
      <c r="G454" s="29"/>
      <c r="I454">
        <v>15.514926000000001</v>
      </c>
      <c r="J454">
        <v>15.514926000000001</v>
      </c>
      <c r="K454">
        <f t="shared" si="2"/>
        <v>0</v>
      </c>
    </row>
    <row r="455" spans="1:11">
      <c r="A455" s="27" t="s">
        <v>966</v>
      </c>
      <c r="B455" s="27" t="s">
        <v>967</v>
      </c>
      <c r="C455">
        <f t="array" ref="C455">D455:F455</f>
        <v>1.3139073000000001E-3</v>
      </c>
      <c r="D455">
        <v>1.3139073000000001E-3</v>
      </c>
      <c r="E455" s="29"/>
      <c r="F455" s="29"/>
      <c r="G455" s="29"/>
      <c r="I455">
        <v>1.3139072999999999E-3</v>
      </c>
      <c r="J455">
        <v>1.3139072999999999E-3</v>
      </c>
      <c r="K455">
        <f t="shared" si="2"/>
        <v>0</v>
      </c>
    </row>
    <row r="456" spans="1:11">
      <c r="A456" s="27" t="s">
        <v>968</v>
      </c>
      <c r="B456" s="27" t="s">
        <v>969</v>
      </c>
      <c r="C456">
        <f t="array" ref="C456">D456:F456</f>
        <v>1.4585254000000001E-2</v>
      </c>
      <c r="D456">
        <v>1.4585254000000001E-2</v>
      </c>
      <c r="E456" s="29"/>
      <c r="F456" s="29"/>
      <c r="G456" s="29"/>
      <c r="I456">
        <v>1.4585254000000002E-2</v>
      </c>
      <c r="J456">
        <v>1.4585254000000001E-2</v>
      </c>
      <c r="K456">
        <f t="shared" si="2"/>
        <v>0</v>
      </c>
    </row>
    <row r="457" spans="1:11">
      <c r="A457" s="27" t="s">
        <v>970</v>
      </c>
      <c r="B457" s="27" t="s">
        <v>971</v>
      </c>
      <c r="C457">
        <f t="array" ref="C457">D457:F457</f>
        <v>17.750843</v>
      </c>
      <c r="D457">
        <v>17.750843</v>
      </c>
      <c r="E457" s="29"/>
      <c r="F457" s="29"/>
      <c r="G457" s="29"/>
      <c r="I457">
        <v>17.750843</v>
      </c>
      <c r="J457">
        <v>17.750843</v>
      </c>
      <c r="K457">
        <f t="shared" si="2"/>
        <v>0</v>
      </c>
    </row>
    <row r="458" spans="1:11">
      <c r="A458" s="27" t="s">
        <v>972</v>
      </c>
      <c r="B458" s="27" t="s">
        <v>973</v>
      </c>
      <c r="C458">
        <f t="array" ref="C458">D458:F458</f>
        <v>5.1087674000000003E-3</v>
      </c>
      <c r="D458">
        <v>5.1087674000000003E-3</v>
      </c>
      <c r="E458" s="29"/>
      <c r="F458" s="29"/>
      <c r="G458" s="29"/>
      <c r="I458">
        <v>5.1087674000000003E-3</v>
      </c>
      <c r="J458">
        <v>5.1087674000000003E-3</v>
      </c>
      <c r="K458">
        <f t="shared" si="2"/>
        <v>0</v>
      </c>
    </row>
    <row r="459" spans="1:11">
      <c r="A459" s="27" t="s">
        <v>974</v>
      </c>
      <c r="B459" s="27" t="s">
        <v>975</v>
      </c>
      <c r="C459">
        <f t="array" ref="C459">D459:F459</f>
        <v>6.7001773400000006E-2</v>
      </c>
      <c r="D459">
        <v>6.7001773400000006E-2</v>
      </c>
      <c r="E459" s="29"/>
      <c r="F459" s="29"/>
      <c r="G459" s="29"/>
      <c r="I459">
        <v>6.7001773400000006E-2</v>
      </c>
      <c r="J459">
        <v>6.7001773400000006E-2</v>
      </c>
      <c r="K459">
        <f t="shared" si="2"/>
        <v>0</v>
      </c>
    </row>
    <row r="460" spans="1:11">
      <c r="A460" s="27" t="s">
        <v>976</v>
      </c>
      <c r="B460" s="27" t="s">
        <v>977</v>
      </c>
      <c r="C460">
        <f t="array" ref="C460">D460:F460</f>
        <v>424.76517702792688</v>
      </c>
      <c r="D460">
        <v>424.76517702792688</v>
      </c>
      <c r="E460" s="29"/>
      <c r="F460" s="29"/>
      <c r="G460" s="29"/>
      <c r="I460">
        <v>424.76514626168739</v>
      </c>
      <c r="J460">
        <v>424.7651462617165</v>
      </c>
      <c r="K460">
        <f t="shared" si="2"/>
        <v>-2.9103830456733704E-11</v>
      </c>
    </row>
    <row r="461" spans="1:11">
      <c r="A461" s="27" t="s">
        <v>978</v>
      </c>
      <c r="B461" s="27" t="s">
        <v>979</v>
      </c>
      <c r="C461">
        <f t="array" ref="C461">D461:F461</f>
        <v>46.803007999999998</v>
      </c>
      <c r="D461">
        <v>46.803007999999998</v>
      </c>
      <c r="E461" s="29"/>
      <c r="F461" s="29"/>
      <c r="G461" s="29"/>
      <c r="I461">
        <v>46.803007999999998</v>
      </c>
      <c r="J461">
        <v>46.803007999999998</v>
      </c>
      <c r="K461">
        <f t="shared" si="2"/>
        <v>0</v>
      </c>
    </row>
    <row r="462" spans="1:11">
      <c r="A462" s="27" t="s">
        <v>980</v>
      </c>
      <c r="B462" s="27" t="s">
        <v>981</v>
      </c>
      <c r="C462">
        <f t="array" ref="C462">D462:F462</f>
        <v>15.514926000000001</v>
      </c>
      <c r="D462">
        <v>15.514926000000001</v>
      </c>
      <c r="E462" s="29"/>
      <c r="F462" s="29"/>
      <c r="G462" s="29"/>
      <c r="I462">
        <v>15.514926000000001</v>
      </c>
      <c r="J462">
        <v>15.514926000000001</v>
      </c>
      <c r="K462">
        <f t="shared" si="2"/>
        <v>0</v>
      </c>
    </row>
    <row r="463" spans="1:11">
      <c r="A463" s="27" t="s">
        <v>982</v>
      </c>
      <c r="B463" s="27" t="s">
        <v>983</v>
      </c>
      <c r="C463">
        <f t="array" ref="C463">D463:F463</f>
        <v>1.3139073000000003E-3</v>
      </c>
      <c r="D463">
        <v>1.3139073000000003E-3</v>
      </c>
      <c r="E463" s="29"/>
      <c r="F463" s="29"/>
      <c r="G463" s="29"/>
      <c r="I463">
        <v>1.3139072999999999E-3</v>
      </c>
      <c r="J463">
        <v>1.3139072999999999E-3</v>
      </c>
      <c r="K463">
        <f t="shared" si="2"/>
        <v>0</v>
      </c>
    </row>
    <row r="464" spans="1:11">
      <c r="A464" s="27" t="s">
        <v>984</v>
      </c>
      <c r="B464" s="27" t="s">
        <v>985</v>
      </c>
      <c r="C464">
        <f t="array" ref="C464">D464:F464</f>
        <v>1.4585254000000001E-2</v>
      </c>
      <c r="D464">
        <v>1.4585254000000001E-2</v>
      </c>
      <c r="E464" s="29"/>
      <c r="F464" s="29"/>
      <c r="G464" s="29"/>
      <c r="I464">
        <v>1.4585254000000004E-2</v>
      </c>
      <c r="J464">
        <v>1.4585254000000001E-2</v>
      </c>
      <c r="K464">
        <f t="shared" si="2"/>
        <v>0</v>
      </c>
    </row>
    <row r="465" spans="1:11">
      <c r="A465" s="27" t="s">
        <v>986</v>
      </c>
      <c r="B465" s="27" t="s">
        <v>987</v>
      </c>
      <c r="C465">
        <f t="array" ref="C465">D465:F465</f>
        <v>17.750843</v>
      </c>
      <c r="D465">
        <v>17.750843</v>
      </c>
      <c r="E465" s="29"/>
      <c r="F465" s="29"/>
      <c r="G465" s="29"/>
      <c r="I465">
        <v>17.750843</v>
      </c>
      <c r="J465">
        <v>17.750843</v>
      </c>
      <c r="K465">
        <f t="shared" si="2"/>
        <v>0</v>
      </c>
    </row>
    <row r="466" spans="1:11">
      <c r="A466" s="27" t="s">
        <v>988</v>
      </c>
      <c r="B466" s="27" t="s">
        <v>989</v>
      </c>
      <c r="C466">
        <f t="array" ref="C466">D466:F466</f>
        <v>5.1087674000000003E-3</v>
      </c>
      <c r="D466">
        <v>5.1087674000000003E-3</v>
      </c>
      <c r="E466" s="29"/>
      <c r="F466" s="29"/>
      <c r="G466" s="29"/>
      <c r="I466">
        <v>5.1087674000000003E-3</v>
      </c>
      <c r="J466">
        <v>5.1087674000000003E-3</v>
      </c>
      <c r="K466">
        <f t="shared" si="2"/>
        <v>0</v>
      </c>
    </row>
    <row r="467" spans="1:11">
      <c r="A467" s="27" t="s">
        <v>990</v>
      </c>
      <c r="B467" s="27" t="s">
        <v>991</v>
      </c>
      <c r="C467">
        <f t="array" ref="C467">D467:F467</f>
        <v>6.7001773400000006E-2</v>
      </c>
      <c r="D467">
        <v>6.7001773400000006E-2</v>
      </c>
      <c r="E467" s="29"/>
      <c r="F467" s="29"/>
      <c r="G467" s="29"/>
      <c r="I467">
        <v>6.7001773400000006E-2</v>
      </c>
      <c r="J467">
        <v>6.7001773400000006E-2</v>
      </c>
      <c r="K467">
        <f t="shared" si="2"/>
        <v>0</v>
      </c>
    </row>
    <row r="468" spans="1:11">
      <c r="A468" s="27" t="s">
        <v>992</v>
      </c>
      <c r="B468" s="27" t="s">
        <v>993</v>
      </c>
      <c r="C468">
        <f t="array" ref="C468">D468:F468</f>
        <v>11852.820152057422</v>
      </c>
      <c r="D468">
        <v>11852.820152057422</v>
      </c>
      <c r="E468" s="31">
        <v>237.30541679999999</v>
      </c>
      <c r="F468" s="31">
        <v>11865.270839999999</v>
      </c>
      <c r="G468" s="29"/>
      <c r="I468">
        <v>10055.882816396079</v>
      </c>
      <c r="J468">
        <v>11864.834198331584</v>
      </c>
      <c r="K468" s="21">
        <f t="shared" si="2"/>
        <v>-1808.9513819355052</v>
      </c>
    </row>
    <row r="469" spans="1:11">
      <c r="A469" s="27" t="s">
        <v>994</v>
      </c>
      <c r="B469" s="27" t="s">
        <v>995</v>
      </c>
      <c r="C469">
        <f t="array" ref="C469">D469:F469</f>
        <v>1.3750583404498538</v>
      </c>
      <c r="D469">
        <v>1.3750583404498538</v>
      </c>
      <c r="E469" s="29"/>
      <c r="F469" s="29"/>
      <c r="G469" s="29"/>
      <c r="I469">
        <v>1.4055753589331399</v>
      </c>
      <c r="J469">
        <v>1.3741001423680592</v>
      </c>
      <c r="K469">
        <f t="shared" si="2"/>
        <v>3.1475216565080677E-2</v>
      </c>
    </row>
    <row r="470" spans="1:11">
      <c r="A470" s="27" t="s">
        <v>996</v>
      </c>
      <c r="B470" s="27" t="s">
        <v>997</v>
      </c>
      <c r="C470">
        <f t="array" ref="C470">D470:F470</f>
        <v>6.4257315502358994</v>
      </c>
      <c r="D470">
        <v>6.4257315502358994</v>
      </c>
      <c r="E470" s="29"/>
      <c r="F470" s="29"/>
      <c r="G470" s="29"/>
      <c r="I470">
        <v>6.4364081934902453</v>
      </c>
      <c r="J470">
        <v>6.4281777844202965</v>
      </c>
      <c r="K470">
        <f t="shared" si="2"/>
        <v>8.2304090699487631E-3</v>
      </c>
    </row>
    <row r="471" spans="1:11">
      <c r="A471" s="27" t="s">
        <v>998</v>
      </c>
      <c r="B471" s="27" t="s">
        <v>999</v>
      </c>
      <c r="C471">
        <f t="array" ref="C471">D471:F471</f>
        <v>4.3888792317125738E-5</v>
      </c>
      <c r="D471">
        <v>4.3888792317125738E-5</v>
      </c>
      <c r="E471" s="29"/>
      <c r="F471" s="29"/>
      <c r="G471" s="29"/>
      <c r="I471">
        <v>4.5177645864507822E-5</v>
      </c>
      <c r="J471">
        <v>4.3922623579689801E-5</v>
      </c>
      <c r="K471">
        <f t="shared" si="2"/>
        <v>1.255022284818021E-6</v>
      </c>
    </row>
    <row r="472" spans="1:11">
      <c r="A472" s="27" t="s">
        <v>1000</v>
      </c>
      <c r="B472" s="27" t="s">
        <v>1001</v>
      </c>
      <c r="C472">
        <f t="array" ref="C472">D472:F472</f>
        <v>5.7858783592502905E-4</v>
      </c>
      <c r="D472">
        <v>5.7858783592502905E-4</v>
      </c>
      <c r="E472" s="29"/>
      <c r="F472" s="29"/>
      <c r="G472" s="29"/>
      <c r="I472">
        <v>6.0769031768032153E-4</v>
      </c>
      <c r="J472">
        <v>5.7848384266922679E-4</v>
      </c>
      <c r="K472">
        <f t="shared" si="2"/>
        <v>2.920647501109474E-5</v>
      </c>
    </row>
    <row r="473" spans="1:11">
      <c r="A473" s="27" t="s">
        <v>1002</v>
      </c>
      <c r="B473" s="27" t="s">
        <v>1003</v>
      </c>
      <c r="C473">
        <f t="array" ref="C473">D473:F473</f>
        <v>6.3003065820851178</v>
      </c>
      <c r="D473">
        <v>6.3003065820851178</v>
      </c>
      <c r="E473" s="29"/>
      <c r="F473" s="29"/>
      <c r="G473" s="29"/>
      <c r="I473">
        <v>6.4422882971271402</v>
      </c>
      <c r="J473">
        <v>6.3001288963355968</v>
      </c>
      <c r="K473">
        <f t="shared" si="2"/>
        <v>0.14215940079154343</v>
      </c>
    </row>
    <row r="474" spans="1:11">
      <c r="A474" s="27" t="s">
        <v>1004</v>
      </c>
      <c r="B474" s="27" t="s">
        <v>1005</v>
      </c>
      <c r="C474">
        <f t="array" ref="C474">D474:F474</f>
        <v>5.9420924747903177E-3</v>
      </c>
      <c r="D474">
        <v>5.9420924747903177E-3</v>
      </c>
      <c r="E474" s="29"/>
      <c r="F474" s="29"/>
      <c r="G474" s="29"/>
      <c r="I474">
        <v>6.2081379519477765E-3</v>
      </c>
      <c r="J474">
        <v>5.9419277922402192E-3</v>
      </c>
      <c r="K474">
        <f t="shared" si="2"/>
        <v>2.6621015970755731E-4</v>
      </c>
    </row>
    <row r="475" spans="1:11">
      <c r="A475" s="27" t="s">
        <v>1006</v>
      </c>
      <c r="B475" s="27" t="s">
        <v>1007</v>
      </c>
      <c r="C475">
        <f t="array" ref="C475">D475:F475</f>
        <v>4.5727073408140639E-2</v>
      </c>
      <c r="D475">
        <v>4.5727073408140639E-2</v>
      </c>
      <c r="E475" s="29"/>
      <c r="F475" s="29"/>
      <c r="G475" s="29"/>
      <c r="I475">
        <v>4.808188178480402E-2</v>
      </c>
      <c r="J475">
        <v>4.591603010647944E-2</v>
      </c>
      <c r="K475">
        <f t="shared" si="2"/>
        <v>2.1658516783245804E-3</v>
      </c>
    </row>
    <row r="476" spans="1:11">
      <c r="A476" s="27" t="s">
        <v>1008</v>
      </c>
      <c r="B476" s="27" t="s">
        <v>1009</v>
      </c>
      <c r="C476">
        <f t="array" ref="C476">D476:F476</f>
        <v>0</v>
      </c>
      <c r="D476">
        <v>0</v>
      </c>
      <c r="E476" s="29">
        <v>0</v>
      </c>
      <c r="F476" s="29">
        <v>0</v>
      </c>
      <c r="G476" s="29"/>
      <c r="I476">
        <v>0</v>
      </c>
      <c r="J476">
        <v>0</v>
      </c>
      <c r="K476">
        <f t="shared" si="2"/>
        <v>0</v>
      </c>
    </row>
    <row r="477" spans="1:11">
      <c r="A477" s="27" t="s">
        <v>1010</v>
      </c>
      <c r="B477" s="27" t="s">
        <v>318</v>
      </c>
      <c r="C477">
        <f t="array" ref="C477">D477:F477</f>
        <v>46.803007999999998</v>
      </c>
      <c r="D477">
        <v>46.803007999999998</v>
      </c>
      <c r="E477" s="29"/>
      <c r="F477" s="29"/>
      <c r="G477" s="29"/>
      <c r="I477">
        <v>46.803007999999998</v>
      </c>
      <c r="J477">
        <v>46.803007999999998</v>
      </c>
      <c r="K477">
        <f t="shared" si="2"/>
        <v>0</v>
      </c>
    </row>
    <row r="478" spans="1:11">
      <c r="A478" s="27" t="s">
        <v>1011</v>
      </c>
      <c r="B478" s="27" t="s">
        <v>320</v>
      </c>
      <c r="C478">
        <f t="array" ref="C478">D478:F478</f>
        <v>15.514926000000001</v>
      </c>
      <c r="D478">
        <v>15.514926000000001</v>
      </c>
      <c r="E478" s="29"/>
      <c r="F478" s="29"/>
      <c r="G478" s="29"/>
      <c r="I478">
        <v>15.514926000000001</v>
      </c>
      <c r="J478">
        <v>15.514926000000001</v>
      </c>
      <c r="K478">
        <f t="shared" si="2"/>
        <v>0</v>
      </c>
    </row>
    <row r="479" spans="1:11">
      <c r="A479" s="27" t="s">
        <v>1012</v>
      </c>
      <c r="B479" s="27" t="s">
        <v>322</v>
      </c>
      <c r="C479">
        <f t="array" ref="C479">D479:F479</f>
        <v>1.3139073000000001E-3</v>
      </c>
      <c r="D479">
        <v>1.3139073000000001E-3</v>
      </c>
      <c r="E479" s="29"/>
      <c r="F479" s="29"/>
      <c r="G479" s="29"/>
      <c r="I479">
        <v>1.3139072999999999E-3</v>
      </c>
      <c r="J479">
        <v>1.3139072999999999E-3</v>
      </c>
      <c r="K479">
        <f t="shared" si="2"/>
        <v>0</v>
      </c>
    </row>
    <row r="480" spans="1:11">
      <c r="A480" s="27" t="s">
        <v>1013</v>
      </c>
      <c r="B480" s="27" t="s">
        <v>324</v>
      </c>
      <c r="C480">
        <f t="array" ref="C480">D480:F480</f>
        <v>1.4585254000000001E-2</v>
      </c>
      <c r="D480">
        <v>1.4585254000000001E-2</v>
      </c>
      <c r="E480" s="29"/>
      <c r="F480" s="29"/>
      <c r="G480" s="29"/>
      <c r="I480">
        <v>1.4585254000000002E-2</v>
      </c>
      <c r="J480">
        <v>1.4585254000000001E-2</v>
      </c>
      <c r="K480">
        <f t="shared" si="2"/>
        <v>0</v>
      </c>
    </row>
    <row r="481" spans="1:11">
      <c r="A481" s="27" t="s">
        <v>1014</v>
      </c>
      <c r="B481" s="27" t="s">
        <v>326</v>
      </c>
      <c r="C481">
        <f t="array" ref="C481">D481:F481</f>
        <v>17.750843</v>
      </c>
      <c r="D481">
        <v>17.750843</v>
      </c>
      <c r="E481" s="29"/>
      <c r="F481" s="29"/>
      <c r="G481" s="29"/>
      <c r="I481">
        <v>17.750843</v>
      </c>
      <c r="J481">
        <v>17.750843</v>
      </c>
      <c r="K481">
        <f t="shared" si="2"/>
        <v>0</v>
      </c>
    </row>
    <row r="482" spans="1:11">
      <c r="A482" s="27" t="s">
        <v>1015</v>
      </c>
      <c r="B482" s="27" t="s">
        <v>328</v>
      </c>
      <c r="C482">
        <f t="array" ref="C482">D482:F482</f>
        <v>5.1087674000000003E-3</v>
      </c>
      <c r="D482">
        <v>5.1087674000000003E-3</v>
      </c>
      <c r="E482" s="29"/>
      <c r="F482" s="29"/>
      <c r="G482" s="29"/>
      <c r="I482">
        <v>5.1087674000000003E-3</v>
      </c>
      <c r="J482">
        <v>5.1087674000000003E-3</v>
      </c>
      <c r="K482">
        <f t="shared" si="2"/>
        <v>0</v>
      </c>
    </row>
    <row r="483" spans="1:11">
      <c r="A483" s="27" t="s">
        <v>1016</v>
      </c>
      <c r="B483" s="27" t="s">
        <v>330</v>
      </c>
      <c r="C483">
        <f t="array" ref="C483">D483:F483</f>
        <v>6.7001773400000006E-2</v>
      </c>
      <c r="D483">
        <v>6.7001773400000006E-2</v>
      </c>
      <c r="E483" s="29"/>
      <c r="F483" s="29"/>
      <c r="G483" s="29"/>
      <c r="I483">
        <v>6.7001773400000006E-2</v>
      </c>
      <c r="J483">
        <v>6.7001773400000006E-2</v>
      </c>
      <c r="K483">
        <f t="shared" si="2"/>
        <v>0</v>
      </c>
    </row>
    <row r="484" spans="1:11">
      <c r="A484" s="27" t="s">
        <v>1017</v>
      </c>
      <c r="B484" s="27" t="s">
        <v>1018</v>
      </c>
      <c r="C484">
        <f t="array" ref="C484">D484:F484</f>
        <v>11566.656720397461</v>
      </c>
      <c r="D484">
        <v>11566.656720397461</v>
      </c>
      <c r="E484" s="31">
        <v>1156.6656720000001</v>
      </c>
      <c r="F484" s="31">
        <v>11566.656720000001</v>
      </c>
      <c r="G484" s="29"/>
      <c r="I484">
        <v>18475.571863316462</v>
      </c>
      <c r="J484">
        <v>11566.656721162617</v>
      </c>
      <c r="K484" s="21">
        <f t="shared" si="2"/>
        <v>6908.9151421538445</v>
      </c>
    </row>
    <row r="485" spans="1:11">
      <c r="A485" s="27" t="s">
        <v>1019</v>
      </c>
      <c r="B485" s="27" t="s">
        <v>1020</v>
      </c>
      <c r="C485">
        <f t="array" ref="C485">D485:F485</f>
        <v>0.18751931513718464</v>
      </c>
      <c r="D485">
        <v>0.18751931513718464</v>
      </c>
      <c r="E485" s="29"/>
      <c r="F485" s="29"/>
      <c r="G485" s="29"/>
      <c r="I485">
        <v>0.18712398713335987</v>
      </c>
      <c r="J485">
        <v>0.18753238601532099</v>
      </c>
      <c r="K485">
        <f t="shared" si="2"/>
        <v>-4.0839888196111951E-4</v>
      </c>
    </row>
    <row r="486" spans="1:11">
      <c r="A486" s="27" t="s">
        <v>1021</v>
      </c>
      <c r="B486" s="27" t="s">
        <v>1022</v>
      </c>
      <c r="C486">
        <f t="array" ref="C486">D486:F486</f>
        <v>6.1904190699192281</v>
      </c>
      <c r="D486">
        <v>6.1904190699192281</v>
      </c>
      <c r="E486" s="29"/>
      <c r="F486" s="29"/>
      <c r="G486" s="29"/>
      <c r="I486">
        <v>6.1877149147046087</v>
      </c>
      <c r="J486">
        <v>6.1932915846467296</v>
      </c>
      <c r="K486">
        <f t="shared" si="2"/>
        <v>-5.5766699421209154E-3</v>
      </c>
    </row>
    <row r="487" spans="1:11">
      <c r="A487" s="27" t="s">
        <v>1023</v>
      </c>
      <c r="B487" s="27" t="s">
        <v>1024</v>
      </c>
      <c r="C487">
        <f t="array" ref="C487">D487:F487</f>
        <v>1.0384755115720809E-5</v>
      </c>
      <c r="D487">
        <v>1.0384755115720809E-5</v>
      </c>
      <c r="E487" s="29"/>
      <c r="F487" s="29"/>
      <c r="G487" s="29"/>
      <c r="I487">
        <v>1.0592284944087312E-5</v>
      </c>
      <c r="J487">
        <v>1.0383242254259542E-5</v>
      </c>
      <c r="K487">
        <f t="shared" si="2"/>
        <v>2.0904268982776992E-7</v>
      </c>
    </row>
    <row r="488" spans="1:11">
      <c r="A488" s="27" t="s">
        <v>1025</v>
      </c>
      <c r="B488" s="27" t="s">
        <v>1026</v>
      </c>
      <c r="C488">
        <f t="array" ref="C488">D488:F488</f>
        <v>2.1707454007216696E-4</v>
      </c>
      <c r="D488">
        <v>2.1707454007216696E-4</v>
      </c>
      <c r="E488" s="29"/>
      <c r="F488" s="29"/>
      <c r="G488" s="29"/>
      <c r="I488">
        <v>2.363923334791898E-4</v>
      </c>
      <c r="J488">
        <v>2.1708537674848194E-4</v>
      </c>
      <c r="K488">
        <f t="shared" si="2"/>
        <v>1.9306956730707862E-5</v>
      </c>
    </row>
    <row r="489" spans="1:11">
      <c r="A489" s="27" t="s">
        <v>1027</v>
      </c>
      <c r="B489" s="27" t="s">
        <v>1028</v>
      </c>
      <c r="C489">
        <f t="array" ref="C489">D489:F489</f>
        <v>6.0178499927475846</v>
      </c>
      <c r="D489">
        <v>6.0178499927475846</v>
      </c>
      <c r="E489" s="29"/>
      <c r="F489" s="29"/>
      <c r="G489" s="29"/>
      <c r="I489">
        <v>6.1121367454987725</v>
      </c>
      <c r="J489">
        <v>6.0177557355065359</v>
      </c>
      <c r="K489">
        <f t="shared" si="2"/>
        <v>9.4381009992236642E-2</v>
      </c>
    </row>
    <row r="490" spans="1:11">
      <c r="A490" s="27" t="s">
        <v>1029</v>
      </c>
      <c r="B490" s="27" t="s">
        <v>1030</v>
      </c>
      <c r="C490">
        <f t="array" ref="C490">D490:F490</f>
        <v>5.9152320703521107E-3</v>
      </c>
      <c r="D490">
        <v>5.9152320703521107E-3</v>
      </c>
      <c r="E490" s="29"/>
      <c r="F490" s="29"/>
      <c r="G490" s="29"/>
      <c r="I490">
        <v>6.1204347080388863E-3</v>
      </c>
      <c r="J490">
        <v>5.9150933139585585E-3</v>
      </c>
      <c r="K490" s="20">
        <f t="shared" si="2"/>
        <v>2.0534139408032778E-4</v>
      </c>
    </row>
    <row r="491" spans="1:11">
      <c r="A491" s="27" t="s">
        <v>1031</v>
      </c>
      <c r="B491" s="27" t="s">
        <v>1032</v>
      </c>
      <c r="C491">
        <f t="array" ref="C491">D491:F491</f>
        <v>4.488377964381278E-2</v>
      </c>
      <c r="D491">
        <v>4.488377964381278E-2</v>
      </c>
      <c r="E491" s="29"/>
      <c r="F491" s="29"/>
      <c r="G491" s="29"/>
      <c r="I491">
        <v>4.6700330393956567E-2</v>
      </c>
      <c r="J491">
        <v>4.5060190587953325E-2</v>
      </c>
      <c r="K491" s="20">
        <f t="shared" si="2"/>
        <v>1.6401398060032421E-3</v>
      </c>
    </row>
    <row r="492" spans="1:11">
      <c r="A492" s="27" t="s">
        <v>1033</v>
      </c>
      <c r="B492" s="27" t="s">
        <v>1034</v>
      </c>
      <c r="C492">
        <f t="array" ref="C492">D492:F492</f>
        <v>2970.3853041917723</v>
      </c>
      <c r="D492">
        <v>2970.3853041917723</v>
      </c>
      <c r="E492" s="29"/>
      <c r="F492" s="29"/>
      <c r="G492" s="29"/>
      <c r="I492">
        <v>-5707.7682366267063</v>
      </c>
      <c r="J492">
        <v>2982.2645239186841</v>
      </c>
      <c r="K492" s="20">
        <f t="shared" si="2"/>
        <v>-8690.0327605453895</v>
      </c>
    </row>
    <row r="493" spans="1:11">
      <c r="A493" s="27" t="s">
        <v>1035</v>
      </c>
      <c r="B493" s="27" t="s">
        <v>1036</v>
      </c>
      <c r="C493">
        <f t="array" ref="C493">D493:F493</f>
        <v>2980.8458230000001</v>
      </c>
      <c r="D493">
        <v>2980.8458230000001</v>
      </c>
      <c r="E493" s="29">
        <v>0</v>
      </c>
      <c r="F493" s="29">
        <v>2980.8458230000001</v>
      </c>
      <c r="G493" s="29"/>
      <c r="I493">
        <v>2980.8458230000001</v>
      </c>
      <c r="J493">
        <v>2980.8458230000001</v>
      </c>
      <c r="K493" s="20">
        <f t="shared" si="2"/>
        <v>0</v>
      </c>
    </row>
    <row r="494" spans="1:11">
      <c r="A494" s="27" t="s">
        <v>1037</v>
      </c>
      <c r="B494" s="27" t="s">
        <v>1038</v>
      </c>
      <c r="C494">
        <f t="array" ref="C494">D494:F494</f>
        <v>0.18531118521311699</v>
      </c>
      <c r="D494">
        <v>0.18531118521311699</v>
      </c>
      <c r="E494" s="29"/>
      <c r="F494" s="29"/>
      <c r="G494" s="29"/>
      <c r="I494">
        <v>0.18751524106135034</v>
      </c>
      <c r="J494">
        <v>0.18532684393204668</v>
      </c>
      <c r="K494" s="20">
        <f t="shared" si="2"/>
        <v>2.1883971293036597E-3</v>
      </c>
    </row>
    <row r="495" spans="1:11">
      <c r="A495" s="27" t="s">
        <v>1039</v>
      </c>
      <c r="B495" s="27" t="s">
        <v>1040</v>
      </c>
      <c r="C495">
        <f t="array" ref="C495">D495:F495</f>
        <v>0.195048</v>
      </c>
      <c r="D495">
        <v>0.195048</v>
      </c>
      <c r="E495" s="29">
        <v>0</v>
      </c>
      <c r="F495" s="29">
        <v>0.195048</v>
      </c>
      <c r="G495" s="29"/>
      <c r="I495">
        <v>0.195048</v>
      </c>
      <c r="J495">
        <v>0.195048</v>
      </c>
      <c r="K495">
        <f t="shared" si="2"/>
        <v>0</v>
      </c>
    </row>
    <row r="496" spans="1:11">
      <c r="A496" s="27" t="s">
        <v>1041</v>
      </c>
      <c r="B496" s="27" t="s">
        <v>1042</v>
      </c>
      <c r="C496">
        <f t="array" ref="C496">D496:F496</f>
        <v>6.1991807380809787</v>
      </c>
      <c r="D496">
        <v>6.1991807380809787</v>
      </c>
      <c r="E496" s="29"/>
      <c r="F496" s="29"/>
      <c r="G496" s="29"/>
      <c r="I496">
        <v>6.1863913862437228</v>
      </c>
      <c r="J496">
        <v>6.2028993863089186</v>
      </c>
      <c r="K496">
        <f t="shared" si="2"/>
        <v>-1.6508000065195816E-2</v>
      </c>
    </row>
    <row r="497" spans="1:11">
      <c r="A497" s="27" t="s">
        <v>1043</v>
      </c>
      <c r="B497" s="27" t="s">
        <v>1044</v>
      </c>
      <c r="C497">
        <f t="array" ref="C497">D497:F497</f>
        <v>6.160552</v>
      </c>
      <c r="D497">
        <v>6.160552</v>
      </c>
      <c r="E497" s="29">
        <v>0</v>
      </c>
      <c r="F497" s="29">
        <v>6.160552</v>
      </c>
      <c r="G497" s="29"/>
      <c r="I497">
        <v>6.160552</v>
      </c>
      <c r="J497">
        <v>6.160552</v>
      </c>
      <c r="K497">
        <f t="shared" si="2"/>
        <v>0</v>
      </c>
    </row>
    <row r="498" spans="1:11">
      <c r="A498" s="27" t="s">
        <v>1045</v>
      </c>
      <c r="B498" s="27" t="s">
        <v>1046</v>
      </c>
      <c r="C498">
        <f t="array" ref="C498">D498:F498</f>
        <v>1.0422228728033129E-5</v>
      </c>
      <c r="D498">
        <v>1.0422228728033129E-5</v>
      </c>
      <c r="E498" s="29"/>
      <c r="F498" s="29"/>
      <c r="G498" s="29"/>
      <c r="I498">
        <v>1.0575780138783672E-5</v>
      </c>
      <c r="J498">
        <v>1.0420290809412023E-5</v>
      </c>
      <c r="K498">
        <f t="shared" si="2"/>
        <v>1.554893293716486E-7</v>
      </c>
    </row>
    <row r="499" spans="1:11">
      <c r="A499" s="27" t="s">
        <v>1047</v>
      </c>
      <c r="B499" s="27" t="s">
        <v>1048</v>
      </c>
      <c r="C499">
        <f t="array" ref="C499">D499:F499</f>
        <v>1.0257E-5</v>
      </c>
      <c r="D499">
        <v>1.0257E-5</v>
      </c>
      <c r="E499" s="29">
        <v>0</v>
      </c>
      <c r="F499" s="29">
        <v>1.0257E-5</v>
      </c>
      <c r="G499" s="29"/>
      <c r="I499">
        <v>1.0257E-5</v>
      </c>
      <c r="J499">
        <v>1.0257E-5</v>
      </c>
      <c r="K499">
        <f t="shared" si="2"/>
        <v>0</v>
      </c>
    </row>
    <row r="500" spans="1:11">
      <c r="A500" s="27" t="s">
        <v>1049</v>
      </c>
      <c r="B500" s="27" t="s">
        <v>1050</v>
      </c>
      <c r="C500">
        <f t="array" ref="C500">D500:F500</f>
        <v>2.1911170463235572E-4</v>
      </c>
      <c r="D500">
        <v>2.1911170463235572E-4</v>
      </c>
      <c r="E500" s="29"/>
      <c r="F500" s="29"/>
      <c r="G500" s="29"/>
      <c r="I500">
        <v>2.3509707886079059E-4</v>
      </c>
      <c r="J500">
        <v>2.1912677497937968E-4</v>
      </c>
      <c r="K500">
        <f t="shared" si="2"/>
        <v>1.5970303881410918E-5</v>
      </c>
    </row>
    <row r="501" spans="1:11">
      <c r="A501" s="27" t="s">
        <v>1051</v>
      </c>
      <c r="B501" s="27" t="s">
        <v>1052</v>
      </c>
      <c r="C501">
        <f t="array" ref="C501">D501:F501</f>
        <v>2.1012909999999999E-4</v>
      </c>
      <c r="D501">
        <v>2.1012909999999999E-4</v>
      </c>
      <c r="E501" s="29">
        <v>0</v>
      </c>
      <c r="F501" s="29">
        <v>2.1012909999999999E-4</v>
      </c>
      <c r="G501" s="29"/>
      <c r="I501">
        <v>2.1012909999999999E-4</v>
      </c>
      <c r="J501">
        <v>2.1012909999999999E-4</v>
      </c>
      <c r="K501">
        <f t="shared" si="2"/>
        <v>0</v>
      </c>
    </row>
    <row r="502" spans="1:11">
      <c r="A502" s="27" t="s">
        <v>1053</v>
      </c>
      <c r="B502" s="27" t="s">
        <v>1054</v>
      </c>
      <c r="C502">
        <f t="array" ref="C502">D502:F502</f>
        <v>5.9997236922551656</v>
      </c>
      <c r="D502">
        <v>5.9997236922551656</v>
      </c>
      <c r="E502" s="29"/>
      <c r="F502" s="29"/>
      <c r="G502" s="29"/>
      <c r="I502">
        <v>6.1105310726935231</v>
      </c>
      <c r="J502">
        <v>5.9995906954567548</v>
      </c>
      <c r="K502">
        <f t="shared" si="2"/>
        <v>0.11094037723676831</v>
      </c>
    </row>
    <row r="503" spans="1:11">
      <c r="A503" s="27" t="s">
        <v>1055</v>
      </c>
      <c r="B503" s="27" t="s">
        <v>1056</v>
      </c>
      <c r="C503">
        <f t="array" ref="C503">D503:F503</f>
        <v>6.0796549999999998</v>
      </c>
      <c r="D503">
        <v>6.0796549999999998</v>
      </c>
      <c r="E503" s="29">
        <v>0</v>
      </c>
      <c r="F503" s="29">
        <v>6.0796549999999998</v>
      </c>
      <c r="G503" s="29"/>
      <c r="I503">
        <v>6.0796549999999998</v>
      </c>
      <c r="J503">
        <v>6.0796549999999998</v>
      </c>
      <c r="K503">
        <f t="shared" si="2"/>
        <v>0</v>
      </c>
    </row>
    <row r="504" spans="1:11">
      <c r="A504" s="27" t="s">
        <v>1057</v>
      </c>
      <c r="B504" s="27" t="s">
        <v>1058</v>
      </c>
      <c r="C504">
        <f t="array" ref="C504">D504:F504</f>
        <v>5.9387532534014272E-3</v>
      </c>
      <c r="D504">
        <v>5.9387532534014272E-3</v>
      </c>
      <c r="E504" s="29"/>
      <c r="F504" s="29"/>
      <c r="G504" s="29"/>
      <c r="I504">
        <v>6.1063569092137202E-3</v>
      </c>
      <c r="J504">
        <v>5.9385852505496363E-3</v>
      </c>
      <c r="K504">
        <f t="shared" si="2"/>
        <v>1.6777165866408393E-4</v>
      </c>
    </row>
    <row r="505" spans="1:11">
      <c r="A505" s="27" t="s">
        <v>1059</v>
      </c>
      <c r="B505" s="27" t="s">
        <v>1060</v>
      </c>
      <c r="C505">
        <f t="array" ref="C505">D505:F505</f>
        <v>5.8350421E-3</v>
      </c>
      <c r="D505">
        <v>5.8350421E-3</v>
      </c>
      <c r="E505" s="29">
        <v>0</v>
      </c>
      <c r="F505" s="29">
        <v>5.8350421E-3</v>
      </c>
      <c r="G505" s="29"/>
      <c r="I505">
        <v>5.8350421E-3</v>
      </c>
      <c r="J505">
        <v>5.8350421E-3</v>
      </c>
      <c r="K505">
        <f t="shared" si="2"/>
        <v>0</v>
      </c>
    </row>
    <row r="506" spans="1:11">
      <c r="A506" s="27" t="s">
        <v>1061</v>
      </c>
      <c r="B506" s="27" t="s">
        <v>1062</v>
      </c>
      <c r="C506">
        <f t="array" ref="C506">D506:F506</f>
        <v>4.5039067583107349E-2</v>
      </c>
      <c r="D506">
        <v>4.5039067583107349E-2</v>
      </c>
      <c r="E506" s="29"/>
      <c r="F506" s="29"/>
      <c r="G506" s="29"/>
      <c r="I506">
        <v>4.6584611812607424E-2</v>
      </c>
      <c r="J506">
        <v>4.5267321966256283E-2</v>
      </c>
      <c r="K506">
        <f t="shared" si="2"/>
        <v>1.3172898463511412E-3</v>
      </c>
    </row>
    <row r="507" spans="1:11">
      <c r="A507" s="27" t="s">
        <v>1063</v>
      </c>
      <c r="B507" s="27" t="s">
        <v>1064</v>
      </c>
      <c r="C507">
        <f t="array" ref="C507">D507:F507</f>
        <v>4.4354368900000003E-2</v>
      </c>
      <c r="D507">
        <v>4.4354368900000003E-2</v>
      </c>
      <c r="E507" s="29">
        <v>0</v>
      </c>
      <c r="F507" s="29">
        <v>4.4354368900000003E-2</v>
      </c>
      <c r="G507" s="29"/>
      <c r="I507">
        <v>4.4354368900000003E-2</v>
      </c>
      <c r="J507">
        <v>4.4354368900000003E-2</v>
      </c>
      <c r="K507">
        <f t="shared" si="2"/>
        <v>0</v>
      </c>
    </row>
    <row r="508" spans="1:11">
      <c r="A508" s="27"/>
      <c r="B508" s="27"/>
    </row>
    <row r="509" spans="1:11">
      <c r="A509" s="27" t="s">
        <v>1065</v>
      </c>
    </row>
    <row r="510" spans="1:11">
      <c r="A510" s="27" t="s">
        <v>447</v>
      </c>
      <c r="B510" s="27" t="s">
        <v>1066</v>
      </c>
      <c r="C510">
        <f t="array" ref="C510">D510:F510</f>
        <v>0</v>
      </c>
      <c r="D510">
        <v>0</v>
      </c>
    </row>
    <row r="511" spans="1:11">
      <c r="A511" s="27" t="s">
        <v>449</v>
      </c>
      <c r="B511" s="27" t="s">
        <v>1067</v>
      </c>
      <c r="C511">
        <f t="array" ref="C511">D511:F511</f>
        <v>0</v>
      </c>
      <c r="D511">
        <v>0</v>
      </c>
    </row>
    <row r="512" spans="1:11">
      <c r="A512" s="27" t="s">
        <v>451</v>
      </c>
      <c r="B512" s="27" t="s">
        <v>1068</v>
      </c>
      <c r="C512">
        <f t="array" ref="C512">D512:F512</f>
        <v>0</v>
      </c>
      <c r="D512">
        <v>0</v>
      </c>
    </row>
    <row r="513" spans="1:4">
      <c r="A513" s="27" t="s">
        <v>453</v>
      </c>
      <c r="B513" s="27" t="s">
        <v>1069</v>
      </c>
      <c r="C513">
        <f t="array" ref="C513">D513:F513</f>
        <v>0</v>
      </c>
      <c r="D513">
        <v>0</v>
      </c>
    </row>
    <row r="514" spans="1:4">
      <c r="A514" s="27" t="s">
        <v>455</v>
      </c>
      <c r="B514" s="27" t="s">
        <v>1070</v>
      </c>
      <c r="C514">
        <f t="array" ref="C514">D514:F514</f>
        <v>0</v>
      </c>
      <c r="D514">
        <v>0</v>
      </c>
    </row>
    <row r="515" spans="1:4">
      <c r="A515" s="27" t="s">
        <v>457</v>
      </c>
      <c r="B515" s="27" t="s">
        <v>1071</v>
      </c>
      <c r="C515">
        <f t="array" ref="C515">D515:F515</f>
        <v>0</v>
      </c>
      <c r="D515">
        <v>0</v>
      </c>
    </row>
    <row r="516" spans="1:4">
      <c r="A516" s="27" t="s">
        <v>459</v>
      </c>
      <c r="B516" s="27" t="s">
        <v>1072</v>
      </c>
      <c r="C516">
        <f t="array" ref="C516">D516:F516</f>
        <v>0</v>
      </c>
      <c r="D5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A1:Q45"/>
  <sheetViews>
    <sheetView workbookViewId="0">
      <selection activeCell="K28" sqref="K28"/>
    </sheetView>
  </sheetViews>
  <sheetFormatPr defaultRowHeight="15"/>
  <cols>
    <col min="1" max="1" width="1.28515625" customWidth="1"/>
    <col min="2" max="2" width="12" customWidth="1"/>
    <col min="3" max="3" width="10.7109375" customWidth="1"/>
    <col min="4" max="4" width="7.28515625" customWidth="1"/>
    <col min="5" max="5" width="15.85546875" customWidth="1"/>
    <col min="6" max="6" width="13.5703125" customWidth="1"/>
    <col min="9" max="9" width="16.42578125" customWidth="1"/>
    <col min="10" max="10" width="8.85546875" customWidth="1"/>
    <col min="11" max="11" width="10.42578125" customWidth="1"/>
    <col min="12" max="12" width="8.140625" customWidth="1"/>
    <col min="13" max="13" width="12" bestFit="1" customWidth="1"/>
    <col min="14" max="14" width="10.5703125" customWidth="1"/>
    <col min="17" max="17" width="12" bestFit="1" customWidth="1"/>
  </cols>
  <sheetData>
    <row r="1" spans="1:17" ht="6" customHeight="1">
      <c r="A1" s="2"/>
    </row>
    <row r="2" spans="1:17" ht="18.75">
      <c r="B2" s="64" t="s">
        <v>28</v>
      </c>
      <c r="C2" s="65"/>
      <c r="D2" s="65"/>
      <c r="E2" s="65"/>
      <c r="F2" s="66"/>
      <c r="H2" s="64" t="s">
        <v>29</v>
      </c>
      <c r="I2" s="65"/>
      <c r="J2" s="65"/>
      <c r="K2" s="65"/>
      <c r="L2" s="66"/>
    </row>
    <row r="3" spans="1:17" s="2" customFormat="1">
      <c r="B3" s="15" t="s">
        <v>30</v>
      </c>
      <c r="C3" s="15" t="s">
        <v>31</v>
      </c>
      <c r="D3" s="15" t="s">
        <v>32</v>
      </c>
      <c r="E3" s="15" t="s">
        <v>33</v>
      </c>
      <c r="F3" s="15" t="s">
        <v>34</v>
      </c>
      <c r="H3" s="2" t="s">
        <v>35</v>
      </c>
      <c r="I3" s="2" t="s">
        <v>36</v>
      </c>
      <c r="J3" s="15" t="s">
        <v>37</v>
      </c>
      <c r="K3" s="15" t="s">
        <v>38</v>
      </c>
      <c r="L3" s="15" t="s">
        <v>39</v>
      </c>
    </row>
    <row r="4" spans="1:17">
      <c r="B4" s="16" t="s">
        <v>40</v>
      </c>
      <c r="C4" s="17">
        <f>abs_btm</f>
        <v>1004.3319428744292</v>
      </c>
      <c r="D4" s="18" t="s">
        <v>22</v>
      </c>
      <c r="E4" s="19">
        <f xml:space="preserve"> fat_oil+fuel_gas</f>
        <v>1004.3319428744294</v>
      </c>
      <c r="F4" s="19" t="b">
        <f>(D_4_Feed=D_4_Product)</f>
        <v>1</v>
      </c>
      <c r="H4" s="17" t="s">
        <v>41</v>
      </c>
      <c r="I4" s="20">
        <f t="array" ref="I4">J4:L4</f>
        <v>94.864248705441156</v>
      </c>
      <c r="J4" s="20">
        <v>94.864248705441156</v>
      </c>
      <c r="K4" s="20"/>
      <c r="L4" s="20"/>
      <c r="Q4" s="21" t="s">
        <v>41</v>
      </c>
    </row>
    <row r="5" spans="1:17">
      <c r="B5" s="16" t="s">
        <v>42</v>
      </c>
      <c r="C5" s="17">
        <f>abs_ovhd</f>
        <v>95.135751294558844</v>
      </c>
      <c r="D5" s="18" t="s">
        <v>22</v>
      </c>
      <c r="E5" s="19">
        <f>(bypass+treat_gas)</f>
        <v>95.135751294558787</v>
      </c>
      <c r="F5" s="19" t="b">
        <f>J_4_Feed=J_4_Product</f>
        <v>1</v>
      </c>
      <c r="H5" s="17" t="s">
        <v>43</v>
      </c>
      <c r="I5" s="20">
        <f t="array" ref="I5">J5:L5</f>
        <v>5.1357512945588031</v>
      </c>
      <c r="J5" s="20">
        <v>5.1357512945588031</v>
      </c>
      <c r="K5" s="20"/>
      <c r="L5" s="20"/>
      <c r="Q5" s="21" t="s">
        <v>43</v>
      </c>
    </row>
    <row r="6" spans="1:17">
      <c r="B6" s="16" t="s">
        <v>44</v>
      </c>
      <c r="C6" s="19">
        <f>fat_oil+condensate</f>
        <v>1504.3319428744344</v>
      </c>
      <c r="D6" s="18" t="s">
        <v>22</v>
      </c>
      <c r="E6" s="19">
        <f>recycle</f>
        <v>1504.3319428744342</v>
      </c>
      <c r="F6" s="19" t="b">
        <f>J_6_Feed=J_6_Product</f>
        <v>1</v>
      </c>
      <c r="H6" s="17" t="s">
        <v>45</v>
      </c>
      <c r="I6" s="20">
        <f t="array" ref="I6">J6:L6</f>
        <v>1004.3319428744292</v>
      </c>
      <c r="J6" s="20">
        <v>1004.3319428744292</v>
      </c>
      <c r="K6" s="20"/>
      <c r="L6" s="20"/>
      <c r="Q6" s="21" t="s">
        <v>45</v>
      </c>
    </row>
    <row r="7" spans="1:17">
      <c r="B7" s="16" t="s">
        <v>46</v>
      </c>
      <c r="C7" s="19">
        <f>recycle</f>
        <v>1504.3319428744342</v>
      </c>
      <c r="D7" s="18" t="s">
        <v>22</v>
      </c>
      <c r="E7" s="19">
        <f>lean_oil+sep_ovhd</f>
        <v>1504.3319428744342</v>
      </c>
      <c r="F7" s="19" t="b">
        <f>T_5_Feed=T_5_Product</f>
        <v>1</v>
      </c>
      <c r="H7" s="17" t="s">
        <v>47</v>
      </c>
      <c r="I7" s="20">
        <f t="array" ref="I7">J7:L7</f>
        <v>1504.3319428744342</v>
      </c>
      <c r="J7" s="20">
        <v>1504.3319428744342</v>
      </c>
      <c r="K7" s="20">
        <v>140</v>
      </c>
      <c r="L7" s="20">
        <v>1400</v>
      </c>
      <c r="Q7" s="21" t="s">
        <v>47</v>
      </c>
    </row>
    <row r="8" spans="1:17">
      <c r="B8" s="16" t="s">
        <v>48</v>
      </c>
      <c r="C8" s="19">
        <f>lean_oil+sour_gas</f>
        <v>1099.4676941689881</v>
      </c>
      <c r="D8" s="18" t="s">
        <v>22</v>
      </c>
      <c r="E8" s="19">
        <f>abs_btm+abs_ovhd</f>
        <v>1099.4676941689879</v>
      </c>
      <c r="F8" s="19" t="b">
        <f>T_3_Feed=T_3_Product</f>
        <v>1</v>
      </c>
      <c r="H8" s="17" t="s">
        <v>49</v>
      </c>
      <c r="I8" s="20">
        <f t="array" ref="I8">J8:L8</f>
        <v>999.46769416898803</v>
      </c>
      <c r="J8" s="20">
        <v>999.46769416898803</v>
      </c>
      <c r="K8" s="20">
        <v>10</v>
      </c>
      <c r="L8" s="20">
        <v>1000</v>
      </c>
      <c r="Q8" s="21" t="s">
        <v>49</v>
      </c>
    </row>
    <row r="9" spans="1:17">
      <c r="B9" s="16" t="s">
        <v>50</v>
      </c>
      <c r="C9" s="19">
        <f>sep_ovhd+bypass</f>
        <v>594.86424870544613</v>
      </c>
      <c r="D9" s="18" t="s">
        <v>22</v>
      </c>
      <c r="E9" s="19">
        <f>acid_gas+condensate</f>
        <v>594.86424870544613</v>
      </c>
      <c r="F9" s="19" t="b">
        <f>D_7_Feed=D_7_Product</f>
        <v>1</v>
      </c>
      <c r="H9" s="17" t="s">
        <v>51</v>
      </c>
      <c r="I9" s="20">
        <f t="array" ref="I9">J9:L9</f>
        <v>95.135751294558844</v>
      </c>
      <c r="J9" s="20">
        <v>95.135751294558844</v>
      </c>
      <c r="K9" s="20"/>
      <c r="L9" s="20"/>
      <c r="Q9" s="21" t="s">
        <v>51</v>
      </c>
    </row>
    <row r="10" spans="1:17">
      <c r="B10" s="16" t="s">
        <v>52</v>
      </c>
      <c r="C10" s="19">
        <f>sour_gas</f>
        <v>100</v>
      </c>
      <c r="D10" s="18" t="s">
        <v>22</v>
      </c>
      <c r="E10" s="17">
        <f xml:space="preserve"> (treat_gas + (acid_gas + fuel_gas))</f>
        <v>99.999999999999872</v>
      </c>
      <c r="F10" s="19" t="b">
        <f>World_Feed=World_Product</f>
        <v>0</v>
      </c>
      <c r="H10" s="17" t="s">
        <v>53</v>
      </c>
      <c r="I10" s="20">
        <f t="array" ref="I10">J10:L10</f>
        <v>1004.3319428744295</v>
      </c>
      <c r="J10" s="20">
        <v>1004.3319428744295</v>
      </c>
      <c r="K10" s="20"/>
      <c r="L10" s="20"/>
      <c r="Q10" s="21" t="s">
        <v>53</v>
      </c>
    </row>
    <row r="11" spans="1:17">
      <c r="B11" s="22"/>
      <c r="H11" s="17" t="s">
        <v>54</v>
      </c>
      <c r="I11" s="20">
        <f t="array" ref="I11">J11:L11</f>
        <v>504.86424870544619</v>
      </c>
      <c r="J11" s="20">
        <v>504.86424870544619</v>
      </c>
      <c r="K11" s="20">
        <v>5.05</v>
      </c>
      <c r="L11" s="20">
        <v>505</v>
      </c>
      <c r="Q11" s="21" t="s">
        <v>54</v>
      </c>
    </row>
    <row r="12" spans="1:17">
      <c r="B12" s="2"/>
      <c r="H12" s="17" t="s">
        <v>56</v>
      </c>
      <c r="I12" s="20">
        <f t="array" ref="I12">J12:L12</f>
        <v>100</v>
      </c>
      <c r="J12" s="20">
        <v>100</v>
      </c>
      <c r="K12" s="20">
        <v>1</v>
      </c>
      <c r="L12" s="20">
        <v>100</v>
      </c>
      <c r="Q12" s="21" t="s">
        <v>56</v>
      </c>
    </row>
    <row r="13" spans="1:17" ht="18.75">
      <c r="B13" s="64" t="s">
        <v>60</v>
      </c>
      <c r="C13" s="66"/>
      <c r="H13" s="17" t="s">
        <v>57</v>
      </c>
      <c r="I13" s="20">
        <f t="array" ref="I13">J13:L13</f>
        <v>-9.0406044028531075E-14</v>
      </c>
      <c r="J13" s="20">
        <v>-9.0406044028531075E-14</v>
      </c>
      <c r="K13" s="20">
        <v>1</v>
      </c>
      <c r="L13" s="20">
        <v>0</v>
      </c>
      <c r="Q13" s="21" t="s">
        <v>57</v>
      </c>
    </row>
    <row r="14" spans="1:17">
      <c r="B14" s="2" t="s">
        <v>61</v>
      </c>
      <c r="C14" t="e">
        <f ca="1">MIN($C$18)</f>
        <v>#NAME?</v>
      </c>
      <c r="H14" s="17" t="s">
        <v>58</v>
      </c>
      <c r="I14" s="20">
        <f t="array" ref="I14">J14:L14</f>
        <v>500.000000000005</v>
      </c>
      <c r="J14" s="20">
        <v>500.000000000005</v>
      </c>
      <c r="K14" s="20">
        <v>5</v>
      </c>
      <c r="L14" s="20">
        <v>500</v>
      </c>
      <c r="Q14" s="21" t="s">
        <v>58</v>
      </c>
    </row>
    <row r="15" spans="1:17">
      <c r="B15" s="2" t="s">
        <v>1</v>
      </c>
      <c r="C15">
        <f>COUNT($I$4:$I$15)</f>
        <v>12</v>
      </c>
      <c r="H15" s="17" t="s">
        <v>59</v>
      </c>
      <c r="I15" s="20">
        <f t="array" ref="I15">J15:L15</f>
        <v>89.999999999999986</v>
      </c>
      <c r="J15" s="20">
        <v>89.999999999999986</v>
      </c>
      <c r="K15" s="20">
        <v>0.9</v>
      </c>
      <c r="L15" s="20">
        <v>90</v>
      </c>
      <c r="Q15" s="21" t="s">
        <v>59</v>
      </c>
    </row>
    <row r="16" spans="1:17">
      <c r="B16" s="2" t="s">
        <v>20</v>
      </c>
      <c r="C16" t="b">
        <f t="array" ref="C16">$C$4:$C$9=$E$4:$E$9</f>
        <v>1</v>
      </c>
      <c r="D16" s="22"/>
      <c r="L16" s="14"/>
      <c r="Q16" s="20"/>
    </row>
    <row r="17" spans="1:16">
      <c r="B17" s="2" t="s">
        <v>62</v>
      </c>
      <c r="C17">
        <f>{10,20,0.000001,5,TRUE,TRUE,TRUE,1,1,1,0.0001,FALSE,FALSE}</f>
        <v>10</v>
      </c>
      <c r="P17" s="14"/>
    </row>
    <row r="18" spans="1:16">
      <c r="A18" s="14"/>
      <c r="B18" s="2" t="s">
        <v>63</v>
      </c>
      <c r="C18" s="14" t="e">
        <f ca="1">[1]!Gaussian($I$4:$I$15)</f>
        <v>#NAME?</v>
      </c>
    </row>
    <row r="19" spans="1:16">
      <c r="A19" s="14"/>
      <c r="C19" s="25"/>
    </row>
    <row r="20" spans="1:16">
      <c r="A20" s="14"/>
      <c r="C20" s="25"/>
    </row>
    <row r="21" spans="1:16">
      <c r="A21" s="14"/>
      <c r="C21" s="25"/>
    </row>
    <row r="22" spans="1:16">
      <c r="A22" s="14"/>
      <c r="C22" s="25"/>
    </row>
    <row r="23" spans="1:16">
      <c r="A23" s="14"/>
      <c r="C23" s="25"/>
    </row>
    <row r="24" spans="1:16">
      <c r="A24" s="14"/>
      <c r="C24" s="25"/>
    </row>
    <row r="25" spans="1:16">
      <c r="A25" s="14"/>
      <c r="C25" s="25"/>
    </row>
    <row r="26" spans="1:16">
      <c r="A26" s="14"/>
      <c r="C26" s="25"/>
    </row>
    <row r="27" spans="1:16">
      <c r="A27" s="14"/>
      <c r="C27" s="25"/>
    </row>
    <row r="28" spans="1:16">
      <c r="A28" s="14"/>
      <c r="C28" s="25"/>
    </row>
    <row r="29" spans="1:16">
      <c r="A29" s="14"/>
      <c r="C29" s="25"/>
    </row>
    <row r="30" spans="1:16">
      <c r="A30" s="14"/>
      <c r="C30" s="25"/>
    </row>
    <row r="31" spans="1:16">
      <c r="A31" s="14"/>
      <c r="C31" s="25"/>
    </row>
    <row r="45" spans="11:11">
      <c r="K45" t="e">
        <f ca="1">[1]!Gaussian(K32:K43)</f>
        <v>#NAME?</v>
      </c>
    </row>
  </sheetData>
  <mergeCells count="3">
    <mergeCell ref="B2:F2"/>
    <mergeCell ref="H2:L2"/>
    <mergeCell ref="B13:C13"/>
  </mergeCells>
  <hyperlinks>
    <hyperlink ref="B4" r:id="rId1" display="mass_balance@D_2"/>
    <hyperlink ref="B5" r:id="rId2" display="mass_balance@J_4"/>
    <hyperlink ref="B6" r:id="rId3" display="mass_balance@J_6"/>
    <hyperlink ref="B7" r:id="rId4" display="mass_balance@T_5"/>
    <hyperlink ref="B8" r:id="rId5" display="mass_balance@T_3"/>
    <hyperlink ref="B9" r:id="rId6" display="mass_balance@D_7"/>
    <hyperlink ref="B10" r:id="rId7" display="mass_balance@world"/>
  </hyperlinks>
  <pageMargins left="0.7" right="0.7" top="0.75" bottom="0.75" header="0.3" footer="0.3"/>
  <pageSetup orientation="portrait" r:id="rId8"/>
  <drawing r:id="rId9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>
      <selection activeCell="J12" sqref="J12"/>
    </sheetView>
  </sheetViews>
  <sheetFormatPr defaultRowHeight="15"/>
  <cols>
    <col min="1" max="1" width="2.7109375" customWidth="1"/>
    <col min="2" max="2" width="13.28515625" customWidth="1"/>
    <col min="3" max="10" width="15.28515625" customWidth="1"/>
  </cols>
  <sheetData>
    <row r="1" spans="1:9">
      <c r="A1" s="34" t="s">
        <v>1124</v>
      </c>
    </row>
    <row r="2" spans="1:9">
      <c r="A2" s="34" t="s">
        <v>2413</v>
      </c>
    </row>
    <row r="3" spans="1:9">
      <c r="A3" s="34" t="s">
        <v>2414</v>
      </c>
    </row>
    <row r="5" spans="1:9" ht="15.75" thickBot="1">
      <c r="A5" s="34" t="s">
        <v>67</v>
      </c>
    </row>
    <row r="6" spans="1:9" ht="30.75" thickBot="1">
      <c r="B6" s="35" t="s">
        <v>1127</v>
      </c>
      <c r="C6" s="35" t="s">
        <v>1128</v>
      </c>
      <c r="D6" s="35" t="s">
        <v>1129</v>
      </c>
      <c r="E6" s="35" t="s">
        <v>1130</v>
      </c>
      <c r="F6" s="35" t="s">
        <v>1131</v>
      </c>
      <c r="G6" s="35" t="s">
        <v>1</v>
      </c>
      <c r="H6" s="35" t="s">
        <v>1132</v>
      </c>
    </row>
    <row r="7" spans="1:9">
      <c r="B7">
        <v>14</v>
      </c>
      <c r="C7">
        <v>1</v>
      </c>
      <c r="D7">
        <v>5</v>
      </c>
      <c r="E7">
        <v>1</v>
      </c>
      <c r="F7">
        <v>0</v>
      </c>
      <c r="G7">
        <v>8</v>
      </c>
      <c r="H7">
        <v>0</v>
      </c>
    </row>
    <row r="8" spans="1:9" ht="15.75" thickBot="1">
      <c r="A8" s="34" t="s">
        <v>1133</v>
      </c>
    </row>
    <row r="9" spans="1:9" ht="15.75" thickBot="1">
      <c r="B9" s="35" t="s">
        <v>1134</v>
      </c>
      <c r="C9" s="35" t="s">
        <v>1135</v>
      </c>
      <c r="D9" s="35" t="s">
        <v>1136</v>
      </c>
      <c r="E9" s="35" t="s">
        <v>1137</v>
      </c>
      <c r="F9" s="35" t="s">
        <v>1138</v>
      </c>
      <c r="G9" s="35" t="s">
        <v>1133</v>
      </c>
    </row>
    <row r="10" spans="1:9">
      <c r="B10" t="b">
        <v>1</v>
      </c>
      <c r="C10" t="s">
        <v>2415</v>
      </c>
      <c r="D10">
        <v>7.0999999999999994E-2</v>
      </c>
      <c r="E10">
        <v>82</v>
      </c>
      <c r="F10">
        <v>0.8080648206033475</v>
      </c>
      <c r="G10">
        <v>0</v>
      </c>
    </row>
    <row r="11" spans="1:9" ht="15.75" thickBot="1">
      <c r="A11" s="34" t="s">
        <v>61</v>
      </c>
    </row>
    <row r="12" spans="1:9" ht="30.75" thickBot="1">
      <c r="B12" s="35" t="s">
        <v>1140</v>
      </c>
      <c r="C12" s="35" t="s">
        <v>1141</v>
      </c>
      <c r="D12" s="35" t="s">
        <v>1142</v>
      </c>
      <c r="E12" s="35" t="s">
        <v>1143</v>
      </c>
      <c r="F12" s="35" t="s">
        <v>1144</v>
      </c>
      <c r="G12" s="35" t="s">
        <v>1145</v>
      </c>
    </row>
    <row r="13" spans="1:9">
      <c r="B13" t="s">
        <v>2416</v>
      </c>
      <c r="C13" s="36">
        <v>1438.8269528568369</v>
      </c>
      <c r="D13">
        <v>3.8414588206941267</v>
      </c>
      <c r="E13">
        <v>1</v>
      </c>
      <c r="F13">
        <v>0.63239439510273798</v>
      </c>
      <c r="G13">
        <v>0.93815715092303031</v>
      </c>
    </row>
    <row r="15" spans="1:9" ht="15.75" thickBot="1">
      <c r="A15" s="34" t="s">
        <v>1147</v>
      </c>
    </row>
    <row r="16" spans="1:9" ht="30.75" thickBot="1">
      <c r="B16" s="35" t="s">
        <v>1140</v>
      </c>
      <c r="C16" s="35" t="s">
        <v>1148</v>
      </c>
      <c r="D16" s="35" t="s">
        <v>1149</v>
      </c>
      <c r="E16" s="35" t="s">
        <v>1150</v>
      </c>
      <c r="F16" s="35" t="s">
        <v>1151</v>
      </c>
      <c r="G16" s="35" t="s">
        <v>1152</v>
      </c>
      <c r="H16" s="35" t="s">
        <v>1153</v>
      </c>
      <c r="I16" s="35" t="s">
        <v>1154</v>
      </c>
    </row>
    <row r="17" spans="1:9">
      <c r="B17" t="s">
        <v>2417</v>
      </c>
      <c r="C17">
        <v>75.621231594449156</v>
      </c>
      <c r="D17">
        <v>4.4000000000000004</v>
      </c>
      <c r="E17" t="s">
        <v>1271</v>
      </c>
      <c r="F17" s="36">
        <v>35.610615856897638</v>
      </c>
      <c r="G17">
        <v>35.610615797224575</v>
      </c>
      <c r="H17">
        <v>2</v>
      </c>
      <c r="I17">
        <v>1.99999999664858</v>
      </c>
    </row>
    <row r="18" spans="1:9">
      <c r="B18" t="s">
        <v>2418</v>
      </c>
      <c r="C18">
        <v>0.54304500740085782</v>
      </c>
      <c r="D18">
        <v>5.5</v>
      </c>
      <c r="E18" t="s">
        <v>1271</v>
      </c>
      <c r="F18" s="36">
        <v>-2.4785021390195268</v>
      </c>
      <c r="G18">
        <v>-2.478477496299571</v>
      </c>
      <c r="H18">
        <v>2</v>
      </c>
      <c r="I18">
        <v>1.999980114828575</v>
      </c>
    </row>
    <row r="19" spans="1:9">
      <c r="B19" t="s">
        <v>2419</v>
      </c>
      <c r="C19">
        <v>-2.2625944087056871E-17</v>
      </c>
      <c r="D19">
        <v>1.7</v>
      </c>
      <c r="E19" t="s">
        <v>1156</v>
      </c>
      <c r="F19">
        <v>0</v>
      </c>
      <c r="G19">
        <v>-0.85</v>
      </c>
      <c r="H19">
        <v>2</v>
      </c>
      <c r="I19">
        <v>4.4625138211311485E-18</v>
      </c>
    </row>
    <row r="20" spans="1:9">
      <c r="B20" t="s">
        <v>2420</v>
      </c>
      <c r="C20">
        <v>1264.8822964581605</v>
      </c>
      <c r="E20" t="s">
        <v>1695</v>
      </c>
      <c r="I20">
        <v>69964.817053887818</v>
      </c>
    </row>
    <row r="21" spans="1:9">
      <c r="B21" t="s">
        <v>2421</v>
      </c>
      <c r="C21">
        <v>-1.8919922508634524</v>
      </c>
      <c r="E21" t="s">
        <v>1695</v>
      </c>
      <c r="I21">
        <v>14354.972997488545</v>
      </c>
    </row>
    <row r="22" spans="1:9">
      <c r="B22" t="s">
        <v>2422</v>
      </c>
      <c r="C22">
        <v>16.77287418130873</v>
      </c>
      <c r="E22" t="s">
        <v>1695</v>
      </c>
      <c r="I22">
        <v>4784.9908853880615</v>
      </c>
    </row>
    <row r="23" spans="1:9">
      <c r="B23" t="s">
        <v>2423</v>
      </c>
      <c r="C23">
        <v>27.200436432952671</v>
      </c>
      <c r="D23">
        <v>1.6</v>
      </c>
      <c r="E23" t="s">
        <v>1271</v>
      </c>
      <c r="F23" s="36">
        <v>12.800218216478966</v>
      </c>
      <c r="G23">
        <v>12.800218216476335</v>
      </c>
      <c r="H23">
        <v>2</v>
      </c>
      <c r="I23">
        <v>1.999999999999589</v>
      </c>
    </row>
    <row r="24" spans="1:9">
      <c r="B24" t="s">
        <v>2424</v>
      </c>
      <c r="C24">
        <v>5.0152722258372844</v>
      </c>
      <c r="D24">
        <v>5</v>
      </c>
      <c r="E24" t="s">
        <v>1271</v>
      </c>
      <c r="F24">
        <v>7.6361129186548124E-3</v>
      </c>
      <c r="G24">
        <v>7.6361129186421906E-3</v>
      </c>
      <c r="H24">
        <v>2</v>
      </c>
      <c r="I24">
        <v>1.9999999999966942</v>
      </c>
    </row>
    <row r="26" spans="1:9" ht="15.75" thickBot="1">
      <c r="A26" s="34" t="s">
        <v>20</v>
      </c>
    </row>
    <row r="27" spans="1:9" ht="30.75" thickBot="1">
      <c r="B27" s="35" t="s">
        <v>1395</v>
      </c>
      <c r="C27" s="35" t="s">
        <v>1396</v>
      </c>
      <c r="D27" s="35" t="s">
        <v>1397</v>
      </c>
      <c r="E27" s="35" t="s">
        <v>1398</v>
      </c>
      <c r="F27" s="35" t="s">
        <v>1152</v>
      </c>
      <c r="G27" s="35" t="s">
        <v>1151</v>
      </c>
      <c r="H27" s="35" t="s">
        <v>1399</v>
      </c>
      <c r="I27" s="35" t="s">
        <v>1400</v>
      </c>
    </row>
    <row r="28" spans="1:9">
      <c r="B28" t="s">
        <v>1513</v>
      </c>
      <c r="C28" t="b">
        <v>1</v>
      </c>
      <c r="D28">
        <v>-13612.127447173174</v>
      </c>
      <c r="E28">
        <v>-1170.8078198806763</v>
      </c>
      <c r="F28">
        <v>-8.9815390409928364E-2</v>
      </c>
      <c r="G28">
        <v>-8.8823753979843101E-3</v>
      </c>
      <c r="H28">
        <v>1532487.2950384638</v>
      </c>
      <c r="I28" t="s">
        <v>2440</v>
      </c>
    </row>
    <row r="29" spans="1:9">
      <c r="B29" t="s">
        <v>1429</v>
      </c>
      <c r="C29" t="b">
        <v>1</v>
      </c>
      <c r="D29">
        <v>-69535.862418178804</v>
      </c>
      <c r="E29">
        <v>1897.37107706754</v>
      </c>
      <c r="F29">
        <v>-1.2985569703398363E-2</v>
      </c>
      <c r="G29">
        <v>-1.2659280523099535E-4</v>
      </c>
      <c r="H29">
        <v>549287633.61627007</v>
      </c>
      <c r="I29" t="s">
        <v>2441</v>
      </c>
    </row>
    <row r="30" spans="1:9">
      <c r="B30" t="s">
        <v>1655</v>
      </c>
      <c r="C30" t="b">
        <v>1</v>
      </c>
      <c r="D30">
        <v>2113.5428391455544</v>
      </c>
      <c r="E30">
        <v>-250.63688074969485</v>
      </c>
      <c r="F30">
        <v>1.94698490978587E-3</v>
      </c>
      <c r="G30">
        <v>1.5693730679825497E-2</v>
      </c>
      <c r="H30">
        <v>134674.34112798571</v>
      </c>
      <c r="I30" t="s">
        <v>2442</v>
      </c>
    </row>
    <row r="31" spans="1:9">
      <c r="B31" t="s">
        <v>1517</v>
      </c>
      <c r="C31" t="b">
        <v>1</v>
      </c>
      <c r="D31">
        <v>11690.184605451628</v>
      </c>
      <c r="E31">
        <v>5.9775967567261148</v>
      </c>
      <c r="F31">
        <v>0.76940975197131234</v>
      </c>
      <c r="G31">
        <v>1.7865061949603123E-2</v>
      </c>
      <c r="H31">
        <v>654360.14934789122</v>
      </c>
      <c r="I31" t="s">
        <v>2443</v>
      </c>
    </row>
    <row r="32" spans="1:9">
      <c r="B32" t="s">
        <v>1427</v>
      </c>
      <c r="C32" t="b">
        <v>1</v>
      </c>
      <c r="D32">
        <v>112.89610311752888</v>
      </c>
      <c r="E32">
        <v>5.0152722258372826</v>
      </c>
      <c r="F32">
        <v>0.88927937090180786</v>
      </c>
      <c r="G32">
        <v>1.3781084134851211E-4</v>
      </c>
      <c r="H32">
        <v>819210.60790873528</v>
      </c>
      <c r="I32" t="s">
        <v>2425</v>
      </c>
    </row>
    <row r="33" spans="2:9">
      <c r="B33" t="s">
        <v>1413</v>
      </c>
      <c r="C33" t="b">
        <v>1</v>
      </c>
      <c r="D33">
        <v>42.736630293062738</v>
      </c>
      <c r="E33">
        <v>5.8351315662505954E-3</v>
      </c>
      <c r="F33">
        <v>2.1051492856548381E-3</v>
      </c>
      <c r="G33">
        <v>2.1051492856548381E-3</v>
      </c>
      <c r="H33">
        <v>20300.997456229747</v>
      </c>
      <c r="I33" t="s">
        <v>2445</v>
      </c>
    </row>
    <row r="34" spans="2:9">
      <c r="B34" t="s">
        <v>2426</v>
      </c>
      <c r="C34" t="b">
        <v>1</v>
      </c>
      <c r="D34">
        <v>1.7</v>
      </c>
      <c r="E34">
        <v>-2.2625944087056871E-17</v>
      </c>
      <c r="F34">
        <v>0.85</v>
      </c>
      <c r="G34" s="36">
        <v>17000</v>
      </c>
      <c r="H34">
        <v>4.4625138211311485E-18</v>
      </c>
      <c r="I34" t="s">
        <v>2427</v>
      </c>
    </row>
    <row r="35" spans="2:9">
      <c r="B35" t="s">
        <v>2428</v>
      </c>
      <c r="C35" t="b">
        <v>0</v>
      </c>
      <c r="D35">
        <v>4.4000000000000004</v>
      </c>
      <c r="E35">
        <v>75.621231594449156</v>
      </c>
      <c r="I35" t="s">
        <v>2439</v>
      </c>
    </row>
    <row r="36" spans="2:9">
      <c r="B36" t="s">
        <v>2429</v>
      </c>
      <c r="C36" t="b">
        <v>0</v>
      </c>
      <c r="D36">
        <v>16.77287418130873</v>
      </c>
      <c r="E36">
        <v>16.77287418130873</v>
      </c>
      <c r="I36" t="s">
        <v>2430</v>
      </c>
    </row>
    <row r="37" spans="2:9">
      <c r="B37" t="s">
        <v>2431</v>
      </c>
      <c r="C37" t="b">
        <v>0</v>
      </c>
      <c r="D37">
        <v>-1.8919922508634524</v>
      </c>
      <c r="E37">
        <v>-1.8919922508634524</v>
      </c>
      <c r="I37" t="s">
        <v>2432</v>
      </c>
    </row>
    <row r="38" spans="2:9">
      <c r="B38" t="s">
        <v>2433</v>
      </c>
      <c r="C38" t="b">
        <v>0</v>
      </c>
      <c r="D38">
        <v>5</v>
      </c>
      <c r="E38">
        <v>5.0152722258372844</v>
      </c>
      <c r="I38" t="s">
        <v>2434</v>
      </c>
    </row>
    <row r="39" spans="2:9">
      <c r="B39" t="s">
        <v>2435</v>
      </c>
      <c r="C39" t="b">
        <v>0</v>
      </c>
      <c r="D39">
        <v>1264.8822964581605</v>
      </c>
      <c r="E39">
        <v>1264.8822964581605</v>
      </c>
      <c r="I39" t="s">
        <v>2436</v>
      </c>
    </row>
    <row r="40" spans="2:9">
      <c r="B40" t="s">
        <v>2437</v>
      </c>
      <c r="C40" t="b">
        <v>0</v>
      </c>
      <c r="D40">
        <v>1.6</v>
      </c>
      <c r="E40">
        <v>27.200436432952671</v>
      </c>
      <c r="I40" t="s">
        <v>2446</v>
      </c>
    </row>
    <row r="41" spans="2:9">
      <c r="B41" t="s">
        <v>2438</v>
      </c>
      <c r="C41" t="b">
        <v>0</v>
      </c>
      <c r="D41">
        <v>5.5</v>
      </c>
      <c r="E41">
        <v>0.54304500740085782</v>
      </c>
      <c r="I41" t="s">
        <v>2444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A1:O10"/>
  <sheetViews>
    <sheetView workbookViewId="0">
      <selection activeCell="I18" sqref="I18"/>
    </sheetView>
  </sheetViews>
  <sheetFormatPr defaultRowHeight="15"/>
  <cols>
    <col min="2" max="2" width="6.140625" customWidth="1"/>
    <col min="3" max="3" width="11.5703125" customWidth="1"/>
    <col min="4" max="4" width="8.5703125" customWidth="1"/>
    <col min="5" max="5" width="12.85546875" customWidth="1"/>
    <col min="13" max="13" width="5" customWidth="1"/>
    <col min="14" max="15" width="11.7109375" customWidth="1"/>
  </cols>
  <sheetData>
    <row r="1" spans="1:15" ht="18.75">
      <c r="A1" s="32"/>
      <c r="B1" s="64" t="s">
        <v>28</v>
      </c>
      <c r="C1" s="65"/>
      <c r="D1" s="65"/>
      <c r="E1" s="65"/>
      <c r="F1" s="66"/>
      <c r="H1" s="64" t="s">
        <v>29</v>
      </c>
      <c r="I1" s="65"/>
      <c r="J1" s="65"/>
      <c r="K1" s="65"/>
      <c r="L1" s="66"/>
      <c r="M1" s="32"/>
      <c r="N1" s="64" t="s">
        <v>60</v>
      </c>
      <c r="O1" s="66"/>
    </row>
    <row r="2" spans="1:15">
      <c r="A2" s="32"/>
      <c r="B2" s="15" t="s">
        <v>30</v>
      </c>
      <c r="C2" s="15" t="s">
        <v>31</v>
      </c>
      <c r="D2" s="15" t="s">
        <v>32</v>
      </c>
      <c r="E2" s="15" t="s">
        <v>33</v>
      </c>
      <c r="F2" s="15" t="s">
        <v>34</v>
      </c>
      <c r="G2" s="2"/>
      <c r="H2" s="2" t="s">
        <v>35</v>
      </c>
      <c r="I2" s="2" t="s">
        <v>36</v>
      </c>
      <c r="J2" s="15" t="s">
        <v>37</v>
      </c>
      <c r="K2" s="15" t="s">
        <v>38</v>
      </c>
      <c r="L2" s="15" t="s">
        <v>39</v>
      </c>
      <c r="M2" s="32"/>
      <c r="N2" s="2" t="s">
        <v>61</v>
      </c>
      <c r="O2">
        <f>MIN($O$6)</f>
        <v>1438.8269528568369</v>
      </c>
    </row>
    <row r="3" spans="1:15">
      <c r="A3" s="32"/>
      <c r="B3" s="32" t="s">
        <v>1073</v>
      </c>
      <c r="C3" s="32">
        <f>+( 0.5*(_xx1^2) - 0.7*_xx2 + _xx3*_yy1 + _xx2^2*_yy1*_yy2 + 2*_xx3*(_yy3^2) - 255.8 )</f>
        <v>2976.1163101802044</v>
      </c>
      <c r="D3" s="33" t="s">
        <v>22</v>
      </c>
      <c r="E3" s="32">
        <f>0</f>
        <v>0</v>
      </c>
      <c r="F3" s="32" t="b">
        <f>C3=E3</f>
        <v>0</v>
      </c>
      <c r="G3" s="32"/>
      <c r="H3" s="32" t="s">
        <v>1074</v>
      </c>
      <c r="I3" s="32">
        <f t="array" ref="I3">J3:L3</f>
        <v>1264.8822964581605</v>
      </c>
      <c r="J3" s="32">
        <v>1264.8822964581605</v>
      </c>
      <c r="K3" s="32"/>
      <c r="L3" s="32"/>
      <c r="M3" s="32"/>
      <c r="N3" s="2" t="s">
        <v>1</v>
      </c>
      <c r="O3">
        <f>COUNT($I$3:$I$10)</f>
        <v>8</v>
      </c>
    </row>
    <row r="4" spans="1:15">
      <c r="A4" s="32"/>
      <c r="B4" s="32" t="s">
        <v>1075</v>
      </c>
      <c r="C4" s="32">
        <f>( _xx1 - 2*_xx2 + 3*_xx1*_xx3 - 2*_xx2*_yy1 -_xx2*_yy2*_yy3 + 111.2 )</f>
        <v>-1197.1493160869466</v>
      </c>
      <c r="D4" s="33" t="s">
        <v>22</v>
      </c>
      <c r="E4" s="32">
        <f>0</f>
        <v>0</v>
      </c>
      <c r="F4" s="32" t="b">
        <f t="shared" ref="F4:F8" si="0">C4=E4</f>
        <v>0</v>
      </c>
      <c r="G4" s="32"/>
      <c r="H4" s="32" t="s">
        <v>1076</v>
      </c>
      <c r="I4" s="32">
        <f t="array" ref="I4">J4:L4</f>
        <v>5.0152722258372844</v>
      </c>
      <c r="J4" s="32">
        <v>5.0152722258372844</v>
      </c>
      <c r="K4" s="32">
        <v>2</v>
      </c>
      <c r="L4" s="32">
        <v>5</v>
      </c>
      <c r="M4" s="32"/>
      <c r="N4" s="2" t="s">
        <v>20</v>
      </c>
      <c r="O4" t="b">
        <f t="array" ref="O4">$C$3:$C$8=$E$3:$E$8</f>
        <v>0</v>
      </c>
    </row>
    <row r="5" spans="1:15">
      <c r="A5" s="32"/>
      <c r="B5" s="32" t="s">
        <v>1077</v>
      </c>
      <c r="C5" s="32">
        <f>(_xx3*_yy1 - _xx1 + 3*_xx2 + _xx1*_yy2 - _xx3*(_yy3^0.5)- 33.57 )</f>
        <v>-31.940864977797453</v>
      </c>
      <c r="D5" s="33" t="s">
        <v>22</v>
      </c>
      <c r="E5" s="32">
        <f>0</f>
        <v>0</v>
      </c>
      <c r="F5" s="32" t="b">
        <f t="shared" si="0"/>
        <v>0</v>
      </c>
      <c r="G5" s="32"/>
      <c r="H5" s="32" t="s">
        <v>1078</v>
      </c>
      <c r="I5" s="32">
        <f t="array" ref="I5">J5:L5</f>
        <v>0.54304500740085782</v>
      </c>
      <c r="J5" s="32">
        <v>0.54304500740085782</v>
      </c>
      <c r="K5" s="32">
        <v>2</v>
      </c>
      <c r="L5" s="32">
        <v>5.5</v>
      </c>
      <c r="M5" s="32"/>
      <c r="N5" s="2" t="s">
        <v>62</v>
      </c>
      <c r="O5">
        <f>{1000,100,0.000001,5,TRUE,TRUE,TRUE,1,1,1,0.00000001,TRUE,TRUE}</f>
        <v>1000</v>
      </c>
    </row>
    <row r="6" spans="1:15">
      <c r="A6" s="32"/>
      <c r="B6" s="32" t="s">
        <v>1079</v>
      </c>
      <c r="C6" s="32">
        <f>(  _xx4 - _xx1 - _xx3^2 + _yy2 + 3*_yy3 )</f>
        <v>2.8978273824297034</v>
      </c>
      <c r="D6" s="33" t="s">
        <v>22</v>
      </c>
      <c r="E6" s="32">
        <f>0</f>
        <v>0</v>
      </c>
      <c r="F6" s="32" t="b">
        <f t="shared" si="0"/>
        <v>0</v>
      </c>
      <c r="G6" s="32"/>
      <c r="H6" s="32" t="s">
        <v>1080</v>
      </c>
      <c r="I6" s="32">
        <f t="array" ref="I6">J6:L6</f>
        <v>27.200436432952671</v>
      </c>
      <c r="J6" s="32">
        <v>27.200436432952671</v>
      </c>
      <c r="K6" s="32">
        <v>2</v>
      </c>
      <c r="L6" s="32">
        <v>1.6</v>
      </c>
      <c r="M6" s="32"/>
      <c r="N6" s="2" t="s">
        <v>63</v>
      </c>
      <c r="O6" s="14">
        <f>[2]!Gaussian($I$3:$I$10)</f>
        <v>1438.8269528568369</v>
      </c>
    </row>
    <row r="7" spans="1:15">
      <c r="A7" s="32"/>
      <c r="B7" s="32" t="s">
        <v>1081</v>
      </c>
      <c r="C7" s="32">
        <f>( _xx5 - 2*_xx3*_yy2*_yy3 )</f>
        <v>5.0152722258372853</v>
      </c>
      <c r="D7" s="33" t="s">
        <v>22</v>
      </c>
      <c r="E7" s="32">
        <f>0</f>
        <v>0</v>
      </c>
      <c r="F7" s="32" t="b">
        <f t="shared" si="0"/>
        <v>0</v>
      </c>
      <c r="G7" s="32"/>
      <c r="H7" s="32" t="s">
        <v>1082</v>
      </c>
      <c r="I7" s="32">
        <f t="array" ref="I7">J7:L7</f>
        <v>75.621231594449156</v>
      </c>
      <c r="J7" s="32">
        <v>75.621231594449156</v>
      </c>
      <c r="K7" s="32">
        <v>2</v>
      </c>
      <c r="L7" s="32">
        <v>4.4000000000000004</v>
      </c>
      <c r="M7" s="32"/>
      <c r="N7" s="32"/>
      <c r="O7" s="32"/>
    </row>
    <row r="8" spans="1:15">
      <c r="A8" s="32"/>
      <c r="B8" s="32" t="s">
        <v>1083</v>
      </c>
      <c r="C8" s="32">
        <f>(2*_xx1 + _xx2*_xx3*_yy1 + _yy2 - _yy3 - 126.6 )</f>
        <v>8.8695890075895534</v>
      </c>
      <c r="D8" s="33" t="s">
        <v>22</v>
      </c>
      <c r="E8" s="32">
        <f>0</f>
        <v>0</v>
      </c>
      <c r="F8" s="32" t="b">
        <f t="shared" si="0"/>
        <v>0</v>
      </c>
      <c r="G8" s="32"/>
      <c r="H8" s="32" t="s">
        <v>1084</v>
      </c>
      <c r="I8" s="32">
        <f t="array" ref="I8">J8:L8</f>
        <v>-2.2625944087056871E-17</v>
      </c>
      <c r="J8" s="32">
        <v>-2.2625944087056871E-17</v>
      </c>
      <c r="K8" s="32">
        <v>2</v>
      </c>
      <c r="L8" s="32">
        <v>1.7</v>
      </c>
      <c r="M8" s="32"/>
      <c r="N8" s="32"/>
      <c r="O8" s="32"/>
    </row>
    <row r="9" spans="1:15">
      <c r="A9" s="32"/>
      <c r="B9" s="32"/>
      <c r="C9" s="32"/>
      <c r="D9" s="32"/>
      <c r="E9" s="32"/>
      <c r="F9" s="32"/>
      <c r="G9" s="32"/>
      <c r="H9" s="32" t="s">
        <v>1085</v>
      </c>
      <c r="I9" s="32">
        <v>1</v>
      </c>
      <c r="J9" s="32">
        <v>-1.8919922508634524</v>
      </c>
      <c r="K9" s="32"/>
      <c r="L9" s="32"/>
      <c r="M9" s="32"/>
      <c r="N9" s="32"/>
      <c r="O9" s="32"/>
    </row>
    <row r="10" spans="1:15">
      <c r="A10" s="32"/>
      <c r="B10" s="32"/>
      <c r="C10" s="32"/>
      <c r="D10" s="32"/>
      <c r="E10" s="32"/>
      <c r="F10" s="32"/>
      <c r="G10" s="32"/>
      <c r="H10" s="32" t="s">
        <v>1086</v>
      </c>
      <c r="I10" s="32">
        <f t="array" ref="I10">J10:L10</f>
        <v>16.77287418130873</v>
      </c>
      <c r="J10" s="32">
        <v>16.77287418130873</v>
      </c>
      <c r="K10" s="32"/>
      <c r="L10" s="32"/>
      <c r="M10" s="32"/>
      <c r="N10" s="32"/>
      <c r="O10" s="32"/>
    </row>
  </sheetData>
  <mergeCells count="3">
    <mergeCell ref="B1:F1"/>
    <mergeCell ref="H1:L1"/>
    <mergeCell ref="N1:O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4"/>
  <dimension ref="A1:T32"/>
  <sheetViews>
    <sheetView workbookViewId="0">
      <selection activeCell="K18" sqref="K18"/>
    </sheetView>
  </sheetViews>
  <sheetFormatPr defaultRowHeight="15"/>
  <cols>
    <col min="1" max="1" width="1.28515625" customWidth="1"/>
    <col min="2" max="2" width="12" customWidth="1"/>
    <col min="3" max="3" width="10.7109375" customWidth="1"/>
    <col min="4" max="4" width="7.28515625" customWidth="1"/>
    <col min="5" max="5" width="15.85546875" customWidth="1"/>
    <col min="6" max="6" width="13.5703125" customWidth="1"/>
    <col min="7" max="7" width="15.42578125" customWidth="1"/>
    <col min="8" max="8" width="13.5703125" customWidth="1"/>
    <col min="10" max="10" width="13.28515625" customWidth="1"/>
    <col min="11" max="11" width="16.42578125" customWidth="1"/>
    <col min="12" max="12" width="8.85546875" customWidth="1"/>
    <col min="13" max="13" width="10.42578125" customWidth="1"/>
    <col min="14" max="14" width="8.140625" customWidth="1"/>
    <col min="15" max="15" width="12" bestFit="1" customWidth="1"/>
    <col min="16" max="16" width="10.5703125" customWidth="1"/>
  </cols>
  <sheetData>
    <row r="1" spans="1:20" ht="6" customHeight="1">
      <c r="A1" s="2"/>
      <c r="G1" s="19"/>
      <c r="H1" s="19"/>
    </row>
    <row r="2" spans="1:20" ht="18.75">
      <c r="B2" s="64" t="s">
        <v>28</v>
      </c>
      <c r="C2" s="65"/>
      <c r="D2" s="65"/>
      <c r="E2" s="65"/>
      <c r="F2" s="66"/>
      <c r="G2" s="64" t="s">
        <v>1087</v>
      </c>
      <c r="H2" s="65"/>
      <c r="I2" s="66"/>
      <c r="J2" s="64" t="s">
        <v>29</v>
      </c>
      <c r="K2" s="65"/>
      <c r="L2" s="65"/>
      <c r="M2" s="65"/>
      <c r="N2" s="66"/>
      <c r="P2" s="64" t="s">
        <v>29</v>
      </c>
      <c r="Q2" s="65"/>
      <c r="R2" s="65"/>
      <c r="S2" s="65"/>
      <c r="T2" s="66"/>
    </row>
    <row r="3" spans="1:20" s="2" customFormat="1">
      <c r="B3" s="15" t="s">
        <v>30</v>
      </c>
      <c r="C3" s="15" t="s">
        <v>31</v>
      </c>
      <c r="D3" s="15" t="s">
        <v>32</v>
      </c>
      <c r="E3" s="15" t="s">
        <v>33</v>
      </c>
      <c r="F3" s="15" t="s">
        <v>34</v>
      </c>
      <c r="G3" s="19"/>
      <c r="H3" s="19"/>
      <c r="J3" s="2" t="s">
        <v>35</v>
      </c>
      <c r="K3" s="2" t="s">
        <v>36</v>
      </c>
      <c r="L3" s="15" t="s">
        <v>37</v>
      </c>
      <c r="M3" s="15" t="s">
        <v>38</v>
      </c>
      <c r="N3" s="15" t="s">
        <v>39</v>
      </c>
      <c r="P3" s="2" t="s">
        <v>35</v>
      </c>
      <c r="Q3" s="2" t="s">
        <v>36</v>
      </c>
      <c r="R3" s="15" t="s">
        <v>37</v>
      </c>
      <c r="S3" s="15" t="s">
        <v>38</v>
      </c>
      <c r="T3" s="15" t="s">
        <v>39</v>
      </c>
    </row>
    <row r="4" spans="1:20">
      <c r="B4" s="16" t="s">
        <v>40</v>
      </c>
      <c r="C4" s="17">
        <f>abs_btm_mass</f>
        <v>992.77371722049941</v>
      </c>
      <c r="D4" s="18" t="s">
        <v>22</v>
      </c>
      <c r="E4" s="19">
        <f xml:space="preserve"> fat_oil_mass+fuel_gas_mass</f>
        <v>992.77371722049941</v>
      </c>
      <c r="F4" s="19" t="b">
        <f>(D_4_Feed=D_4_Product)</f>
        <v>1</v>
      </c>
      <c r="G4" s="17" t="s">
        <v>1088</v>
      </c>
      <c r="H4">
        <f>acid_gas_vol*acid_gas_dens</f>
        <v>92.515217216876636</v>
      </c>
      <c r="J4" s="17" t="s">
        <v>1089</v>
      </c>
      <c r="K4" s="20">
        <f t="array" ref="K4">L4:N4</f>
        <v>92.515217216876636</v>
      </c>
      <c r="L4" s="20">
        <v>92.515217216876636</v>
      </c>
      <c r="M4" s="20"/>
      <c r="N4" s="20"/>
      <c r="P4" s="17" t="s">
        <v>1090</v>
      </c>
      <c r="Q4" s="20">
        <f t="array" ref="Q4">R4:T4</f>
        <v>1</v>
      </c>
      <c r="R4" s="20">
        <v>1</v>
      </c>
      <c r="S4" s="20">
        <v>0.05</v>
      </c>
      <c r="T4" s="20">
        <v>1</v>
      </c>
    </row>
    <row r="5" spans="1:20">
      <c r="B5" s="16" t="s">
        <v>42</v>
      </c>
      <c r="C5" s="17">
        <f>abs_ovhd_mass</f>
        <v>97.484698605315941</v>
      </c>
      <c r="D5" s="18" t="s">
        <v>22</v>
      </c>
      <c r="E5" s="19">
        <f>(bypass_mass+treat_gas_mass)</f>
        <v>97.484698605315941</v>
      </c>
      <c r="F5" s="19" t="b">
        <f>J_4_Feed=J_4_Product</f>
        <v>1</v>
      </c>
      <c r="G5" s="17" t="s">
        <v>1091</v>
      </c>
      <c r="H5">
        <f>treat_gas_vol*treat_gas_dens</f>
        <v>7.4846986053161295</v>
      </c>
      <c r="J5" s="17" t="s">
        <v>1092</v>
      </c>
      <c r="K5" s="20">
        <f t="array" ref="K5">L5:N5</f>
        <v>7.4846986053161295</v>
      </c>
      <c r="L5" s="20">
        <v>7.4846986053161295</v>
      </c>
      <c r="M5" s="20"/>
      <c r="N5" s="20"/>
      <c r="P5" s="17" t="s">
        <v>1093</v>
      </c>
      <c r="Q5" s="20">
        <f t="array" ref="Q5">R5:T5</f>
        <v>1</v>
      </c>
      <c r="R5" s="20">
        <v>1</v>
      </c>
      <c r="S5" s="20">
        <v>0.05</v>
      </c>
      <c r="T5" s="20">
        <v>1</v>
      </c>
    </row>
    <row r="6" spans="1:20">
      <c r="B6" s="16" t="s">
        <v>44</v>
      </c>
      <c r="C6" s="19">
        <f>fat_oil_mass+condensate_mass</f>
        <v>1492.7737172206278</v>
      </c>
      <c r="D6" s="18" t="s">
        <v>22</v>
      </c>
      <c r="E6" s="19">
        <f>recycle_mass</f>
        <v>1492.7737172206275</v>
      </c>
      <c r="F6" s="19" t="b">
        <f>J_6_Feed=J_6_Product</f>
        <v>1</v>
      </c>
      <c r="G6" s="17" t="s">
        <v>1094</v>
      </c>
      <c r="H6">
        <f>abs_btm_vol*abs_btm_dens</f>
        <v>992.77371722049941</v>
      </c>
      <c r="J6" s="17" t="s">
        <v>1095</v>
      </c>
      <c r="K6" s="20">
        <f t="array" ref="K6">L6:N6</f>
        <v>992.77371722037799</v>
      </c>
      <c r="L6" s="20">
        <v>992.77371722037799</v>
      </c>
      <c r="M6" s="20"/>
      <c r="N6" s="20"/>
      <c r="P6" s="17" t="s">
        <v>1096</v>
      </c>
      <c r="Q6" s="20">
        <f t="array" ref="Q6">R6:T6</f>
        <v>1.0000000000001223</v>
      </c>
      <c r="R6" s="20">
        <v>1.0000000000001223</v>
      </c>
      <c r="S6" s="20">
        <v>0.05</v>
      </c>
      <c r="T6" s="20">
        <v>1</v>
      </c>
    </row>
    <row r="7" spans="1:20">
      <c r="B7" s="16" t="s">
        <v>46</v>
      </c>
      <c r="C7" s="19">
        <f>recycle_mass</f>
        <v>1492.7737172206275</v>
      </c>
      <c r="D7" s="18" t="s">
        <v>22</v>
      </c>
      <c r="E7" s="19">
        <f>lean_oil_mass+sep_ovhd_mass</f>
        <v>1492.77363336438</v>
      </c>
      <c r="F7" s="19" t="b">
        <f>T_5_Feed=T_5_Product</f>
        <v>0</v>
      </c>
      <c r="G7" s="17" t="s">
        <v>1097</v>
      </c>
      <c r="H7">
        <f>recycle_vol*recycle_dens</f>
        <v>1492.7737172206275</v>
      </c>
      <c r="J7" s="17" t="s">
        <v>1098</v>
      </c>
      <c r="K7" s="20">
        <f t="array" ref="K7">L7:N7</f>
        <v>1473.45375097233</v>
      </c>
      <c r="L7" s="20">
        <v>1473.45375097233</v>
      </c>
      <c r="M7" s="20">
        <v>140</v>
      </c>
      <c r="N7" s="20">
        <v>1400</v>
      </c>
      <c r="P7" s="17" t="s">
        <v>1099</v>
      </c>
      <c r="Q7" s="20">
        <f t="array" ref="Q7">R7:T7</f>
        <v>1.0131120275987953</v>
      </c>
      <c r="R7" s="20">
        <v>1.0131120275987953</v>
      </c>
      <c r="S7" s="20">
        <v>0.05</v>
      </c>
      <c r="T7" s="20">
        <v>1</v>
      </c>
    </row>
    <row r="8" spans="1:20">
      <c r="B8" s="16" t="s">
        <v>48</v>
      </c>
      <c r="C8" s="19">
        <f>lean_oil_mass+sour_gas_mass</f>
        <v>1090.2584161105272</v>
      </c>
      <c r="D8" s="18" t="s">
        <v>22</v>
      </c>
      <c r="E8" s="19">
        <f>abs_btm_mass+abs_ovhd_mass</f>
        <v>1090.2584158258153</v>
      </c>
      <c r="F8" s="19" t="b">
        <f>T_3_Feed=T_3_Product</f>
        <v>0</v>
      </c>
      <c r="G8" s="17" t="s">
        <v>1100</v>
      </c>
      <c r="H8">
        <f>lean_oil_vol*lean_oil_dens</f>
        <v>990.25841611052738</v>
      </c>
      <c r="J8" s="17" t="s">
        <v>1101</v>
      </c>
      <c r="K8" s="20">
        <f t="array" ref="K8">L8:N8</f>
        <v>999.62515900691733</v>
      </c>
      <c r="L8" s="20">
        <v>999.62515900691733</v>
      </c>
      <c r="M8" s="20">
        <v>10</v>
      </c>
      <c r="N8" s="20">
        <v>1000</v>
      </c>
      <c r="P8" s="17" t="s">
        <v>1102</v>
      </c>
      <c r="Q8" s="20">
        <f t="array" ref="Q8">R8:T8</f>
        <v>0.99062974474782584</v>
      </c>
      <c r="R8" s="20">
        <v>0.99062974474782584</v>
      </c>
      <c r="S8" s="20">
        <v>0.05</v>
      </c>
      <c r="T8" s="20">
        <v>1</v>
      </c>
    </row>
    <row r="9" spans="1:20">
      <c r="B9" s="16" t="s">
        <v>50</v>
      </c>
      <c r="C9" s="19">
        <f>sep_ovhd_mass+bypass_mass</f>
        <v>592.51521725385248</v>
      </c>
      <c r="D9" s="18" t="s">
        <v>22</v>
      </c>
      <c r="E9" s="19">
        <f>acid_gas_mass+condensate_mass</f>
        <v>592.51521721700487</v>
      </c>
      <c r="F9" s="19" t="b">
        <f>D_7_Feed=D_7_Product</f>
        <v>0</v>
      </c>
      <c r="G9" s="17" t="s">
        <v>1103</v>
      </c>
      <c r="H9">
        <f>abs_ovhd_vol*abs_ovhd_dens</f>
        <v>97.484698605315941</v>
      </c>
      <c r="J9" s="17" t="s">
        <v>1104</v>
      </c>
      <c r="K9" s="20">
        <f t="array" ref="K9">L9:N9</f>
        <v>97.484698605316055</v>
      </c>
      <c r="L9" s="20">
        <v>97.484698605316055</v>
      </c>
      <c r="M9" s="20"/>
      <c r="N9" s="20"/>
      <c r="P9" s="17" t="s">
        <v>1105</v>
      </c>
      <c r="Q9" s="20">
        <f t="array" ref="Q9">R9:T9</f>
        <v>0.99999999999999878</v>
      </c>
      <c r="R9" s="20">
        <v>0.99999999999999878</v>
      </c>
      <c r="S9" s="20">
        <v>0.05</v>
      </c>
      <c r="T9" s="20">
        <v>1</v>
      </c>
    </row>
    <row r="10" spans="1:20">
      <c r="B10" s="16" t="s">
        <v>52</v>
      </c>
      <c r="C10" s="19">
        <f>sour_gas_mass</f>
        <v>99.99999999999973</v>
      </c>
      <c r="D10" s="18" t="s">
        <v>22</v>
      </c>
      <c r="E10" s="17">
        <f xml:space="preserve"> (treat_gas_mass + (acid_gas_mass + fuel_gas_mass))</f>
        <v>99.999915822192676</v>
      </c>
      <c r="F10" s="19" t="b">
        <f>World_Feed=World_Product</f>
        <v>0</v>
      </c>
      <c r="G10" s="17" t="s">
        <v>1106</v>
      </c>
      <c r="H10">
        <f>fat_oil_vol*fat_oil_dens</f>
        <v>992.77371722049952</v>
      </c>
      <c r="J10" s="17" t="s">
        <v>1107</v>
      </c>
      <c r="K10" s="20">
        <f t="array" ref="K10">L10:N10</f>
        <v>992.77371722025532</v>
      </c>
      <c r="L10" s="20">
        <v>992.77371722025532</v>
      </c>
      <c r="M10" s="20"/>
      <c r="N10" s="20"/>
      <c r="P10" s="17" t="s">
        <v>1108</v>
      </c>
      <c r="Q10" s="20">
        <f t="array" ref="Q10">R10:T10</f>
        <v>1.000000000000246</v>
      </c>
      <c r="R10" s="20">
        <v>1.000000000000246</v>
      </c>
      <c r="S10" s="20">
        <v>0.05</v>
      </c>
      <c r="T10" s="20">
        <v>1</v>
      </c>
    </row>
    <row r="11" spans="1:20">
      <c r="B11" s="22"/>
      <c r="G11" s="17" t="s">
        <v>1109</v>
      </c>
      <c r="H11">
        <f>sep_ovhd_vol*sep_ovhd_dens</f>
        <v>502.51521725385265</v>
      </c>
      <c r="J11" s="17" t="s">
        <v>1110</v>
      </c>
      <c r="K11" s="20">
        <f t="array" ref="K11">L11:N11</f>
        <v>504.90441022361887</v>
      </c>
      <c r="L11" s="20">
        <v>504.90441022361887</v>
      </c>
      <c r="M11" s="20">
        <v>5.05</v>
      </c>
      <c r="N11" s="20">
        <v>505</v>
      </c>
      <c r="P11" s="17" t="s">
        <v>1111</v>
      </c>
      <c r="Q11" s="20">
        <f t="array" ref="Q11">R11:T11</f>
        <v>0.99526802911325718</v>
      </c>
      <c r="R11" s="20">
        <v>0.99526802911325718</v>
      </c>
      <c r="S11" s="20">
        <v>0.05</v>
      </c>
      <c r="T11" s="20">
        <v>1</v>
      </c>
    </row>
    <row r="12" spans="1:20">
      <c r="B12" s="2"/>
      <c r="G12" s="17" t="s">
        <v>1112</v>
      </c>
      <c r="H12">
        <f>sour_gas_vol*sour_gas_dens</f>
        <v>99.99999999999973</v>
      </c>
      <c r="J12" s="17" t="s">
        <v>1113</v>
      </c>
      <c r="K12" s="20">
        <f t="array" ref="K12">L12:N12</f>
        <v>100</v>
      </c>
      <c r="L12" s="20">
        <v>100</v>
      </c>
      <c r="M12" s="20">
        <v>1</v>
      </c>
      <c r="N12" s="20">
        <v>100</v>
      </c>
      <c r="P12" s="17" t="s">
        <v>1114</v>
      </c>
      <c r="Q12" s="20">
        <f t="array" ref="Q12">R12:T12</f>
        <v>0.99999999999999734</v>
      </c>
      <c r="R12" s="20">
        <v>0.99999999999999734</v>
      </c>
      <c r="S12" s="20">
        <v>0.05</v>
      </c>
      <c r="T12" s="20">
        <v>1</v>
      </c>
    </row>
    <row r="13" spans="1:20" ht="18.75">
      <c r="B13" s="64" t="s">
        <v>60</v>
      </c>
      <c r="C13" s="66"/>
      <c r="G13" s="17" t="s">
        <v>1115</v>
      </c>
      <c r="H13">
        <f>fuel_gas_vol*fuel_gas_dens</f>
        <v>-8.8780432000974463E-14</v>
      </c>
      <c r="J13" s="17" t="s">
        <v>1116</v>
      </c>
      <c r="K13" s="20">
        <f t="array" ref="K13">L13:N13</f>
        <v>-8.8780432000974463E-14</v>
      </c>
      <c r="L13" s="20">
        <v>-8.8780432000974463E-14</v>
      </c>
      <c r="M13" s="20">
        <v>1</v>
      </c>
      <c r="N13" s="20">
        <v>0</v>
      </c>
      <c r="P13" s="17" t="s">
        <v>1117</v>
      </c>
      <c r="Q13" s="20">
        <f t="array" ref="Q13">R13:T13</f>
        <v>1</v>
      </c>
      <c r="R13" s="20">
        <v>1</v>
      </c>
      <c r="S13" s="20">
        <v>0.05</v>
      </c>
      <c r="T13" s="20">
        <v>1</v>
      </c>
    </row>
    <row r="14" spans="1:20">
      <c r="B14" s="2" t="s">
        <v>61</v>
      </c>
      <c r="C14" t="e">
        <f ca="1">MIN($C$18)</f>
        <v>#NAME?</v>
      </c>
      <c r="G14" s="17" t="s">
        <v>1118</v>
      </c>
      <c r="H14">
        <f>condensate_vol*condensate_dens</f>
        <v>500.0000000001283</v>
      </c>
      <c r="J14" s="17" t="s">
        <v>1119</v>
      </c>
      <c r="K14" s="20">
        <f t="array" ref="K14">L14:N14</f>
        <v>500.00000000000495</v>
      </c>
      <c r="L14" s="20">
        <v>500.00000000000495</v>
      </c>
      <c r="M14" s="20">
        <v>5</v>
      </c>
      <c r="N14" s="20">
        <v>500</v>
      </c>
      <c r="P14" s="17" t="s">
        <v>1120</v>
      </c>
      <c r="Q14" s="20">
        <f t="array" ref="Q14">R14:T14</f>
        <v>1.0000000000002467</v>
      </c>
      <c r="R14" s="20">
        <v>1.0000000000002467</v>
      </c>
      <c r="S14" s="20">
        <v>0.05</v>
      </c>
      <c r="T14" s="20">
        <v>1</v>
      </c>
    </row>
    <row r="15" spans="1:20">
      <c r="B15" s="2" t="s">
        <v>1</v>
      </c>
      <c r="C15">
        <f>COUNT($K$4:$K$15,$Q$4:$Q$15)</f>
        <v>24</v>
      </c>
      <c r="G15" s="17" t="s">
        <v>1121</v>
      </c>
      <c r="H15">
        <f>bypass_vol*bypass_dens</f>
        <v>89.999999999999815</v>
      </c>
      <c r="J15" s="17" t="s">
        <v>1122</v>
      </c>
      <c r="K15" s="20">
        <f t="array" ref="K15">L15:N15</f>
        <v>89.999999999999986</v>
      </c>
      <c r="L15" s="20">
        <v>89.999999999999986</v>
      </c>
      <c r="M15" s="20">
        <v>0.9</v>
      </c>
      <c r="N15" s="20">
        <v>90</v>
      </c>
      <c r="P15" s="17" t="s">
        <v>1123</v>
      </c>
      <c r="Q15" s="20">
        <f t="array" ref="Q15">R15:T15</f>
        <v>0.99999999999999811</v>
      </c>
      <c r="R15" s="20">
        <v>0.99999999999999811</v>
      </c>
      <c r="S15" s="20">
        <v>0.05</v>
      </c>
      <c r="T15" s="20">
        <v>1</v>
      </c>
    </row>
    <row r="16" spans="1:20">
      <c r="B16" s="2" t="s">
        <v>20</v>
      </c>
      <c r="C16" t="b">
        <f t="array" ref="C16">$C$4:$C$9=$E$4:$E$9</f>
        <v>1</v>
      </c>
      <c r="D16" s="22"/>
      <c r="N16" s="14"/>
    </row>
    <row r="17" spans="1:18">
      <c r="B17" s="2" t="s">
        <v>62</v>
      </c>
      <c r="C17">
        <f>{10,20,0.000001,5,TRUE,TRUE,TRUE,1,1,1,0.0001,FALSE,FALSE}</f>
        <v>10</v>
      </c>
      <c r="R17" s="14"/>
    </row>
    <row r="18" spans="1:18">
      <c r="A18" s="14"/>
      <c r="B18" s="2" t="s">
        <v>63</v>
      </c>
      <c r="C18" s="14" t="e">
        <f ca="1">[1]!Gaussian($K$4:$K$15,$Q$4:$Q$15)</f>
        <v>#NAME?</v>
      </c>
    </row>
    <row r="19" spans="1:18">
      <c r="A19" s="14"/>
      <c r="C19" s="25"/>
    </row>
    <row r="32" spans="1:18">
      <c r="M32" t="e">
        <f ca="1">[1]!Gaussian(M20:M30)</f>
        <v>#NAME?</v>
      </c>
    </row>
  </sheetData>
  <mergeCells count="5">
    <mergeCell ref="B2:F2"/>
    <mergeCell ref="G2:I2"/>
    <mergeCell ref="J2:N2"/>
    <mergeCell ref="P2:T2"/>
    <mergeCell ref="B13:C13"/>
  </mergeCells>
  <hyperlinks>
    <hyperlink ref="B4" r:id="rId1" display="mass_balance@D_2"/>
    <hyperlink ref="B5" r:id="rId2" display="mass_balance@J_4"/>
    <hyperlink ref="B6" r:id="rId3" display="mass_balance@J_6"/>
    <hyperlink ref="B7" r:id="rId4" display="mass_balance@T_5"/>
    <hyperlink ref="B8" r:id="rId5" display="mass_balance@T_3"/>
    <hyperlink ref="B9" r:id="rId6" display="mass_balance@D_7"/>
    <hyperlink ref="B10" r:id="rId7" display="mass_balance@world"/>
  </hyperlinks>
  <pageMargins left="0.7" right="0.7" top="0.75" bottom="0.75" header="0.3" footer="0.3"/>
  <pageSetup orientation="portrait" r:id="rId8"/>
  <drawing r:id="rId9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I402"/>
  <sheetViews>
    <sheetView topLeftCell="A88" workbookViewId="0">
      <selection activeCell="E411" sqref="E411"/>
    </sheetView>
  </sheetViews>
  <sheetFormatPr defaultRowHeight="15"/>
  <cols>
    <col min="1" max="1" width="2.7109375" customWidth="1"/>
    <col min="2" max="2" width="13.28515625" customWidth="1"/>
    <col min="3" max="10" width="15.28515625" customWidth="1"/>
  </cols>
  <sheetData>
    <row r="1" spans="1:9">
      <c r="A1" s="34" t="s">
        <v>1124</v>
      </c>
    </row>
    <row r="2" spans="1:9">
      <c r="A2" s="34" t="s">
        <v>1125</v>
      </c>
    </row>
    <row r="3" spans="1:9">
      <c r="A3" s="34" t="s">
        <v>1126</v>
      </c>
    </row>
    <row r="5" spans="1:9" ht="15.75" thickBot="1">
      <c r="A5" s="34" t="s">
        <v>67</v>
      </c>
    </row>
    <row r="6" spans="1:9" ht="30.75" thickBot="1">
      <c r="B6" s="35" t="s">
        <v>1127</v>
      </c>
      <c r="C6" s="35" t="s">
        <v>1128</v>
      </c>
      <c r="D6" s="35" t="s">
        <v>1129</v>
      </c>
      <c r="E6" s="35" t="s">
        <v>1130</v>
      </c>
      <c r="F6" s="35" t="s">
        <v>1131</v>
      </c>
      <c r="G6" s="35" t="s">
        <v>1</v>
      </c>
      <c r="H6" s="35" t="s">
        <v>1132</v>
      </c>
    </row>
    <row r="7" spans="1:9">
      <c r="B7">
        <v>146</v>
      </c>
      <c r="C7">
        <v>91</v>
      </c>
      <c r="D7">
        <v>55</v>
      </c>
      <c r="E7">
        <v>0</v>
      </c>
      <c r="F7">
        <v>0</v>
      </c>
      <c r="G7">
        <v>237</v>
      </c>
      <c r="H7">
        <v>70</v>
      </c>
    </row>
    <row r="8" spans="1:9" ht="15.75" thickBot="1">
      <c r="A8" s="34" t="s">
        <v>1133</v>
      </c>
    </row>
    <row r="9" spans="1:9" ht="15.75" thickBot="1">
      <c r="B9" s="35" t="s">
        <v>1134</v>
      </c>
      <c r="C9" s="35" t="s">
        <v>1135</v>
      </c>
      <c r="D9" s="35" t="s">
        <v>1136</v>
      </c>
      <c r="E9" s="35" t="s">
        <v>1137</v>
      </c>
      <c r="F9" s="35" t="s">
        <v>1138</v>
      </c>
      <c r="G9" s="35" t="s">
        <v>1133</v>
      </c>
    </row>
    <row r="10" spans="1:9">
      <c r="B10" t="b">
        <v>1</v>
      </c>
      <c r="C10" t="s">
        <v>1139</v>
      </c>
      <c r="D10">
        <v>0.16700000000000001</v>
      </c>
      <c r="E10">
        <v>2</v>
      </c>
      <c r="F10">
        <v>1.3334034188474404E-8</v>
      </c>
      <c r="G10">
        <v>4.8690815585786414E-4</v>
      </c>
    </row>
    <row r="11" spans="1:9" ht="15.75" thickBot="1">
      <c r="A11" s="34" t="s">
        <v>61</v>
      </c>
    </row>
    <row r="12" spans="1:9" ht="30.75" thickBot="1">
      <c r="B12" s="35" t="s">
        <v>1140</v>
      </c>
      <c r="C12" s="35" t="s">
        <v>1141</v>
      </c>
      <c r="D12" s="35" t="s">
        <v>1142</v>
      </c>
      <c r="E12" s="35" t="s">
        <v>1143</v>
      </c>
      <c r="F12" s="35" t="s">
        <v>1144</v>
      </c>
      <c r="G12" s="35" t="s">
        <v>1145</v>
      </c>
    </row>
    <row r="13" spans="1:9">
      <c r="B13" t="s">
        <v>1146</v>
      </c>
      <c r="C13">
        <v>5.0784411178330845E-8</v>
      </c>
      <c r="D13">
        <v>194.88254262217077</v>
      </c>
      <c r="E13">
        <v>164</v>
      </c>
      <c r="F13">
        <v>2.262266262807346</v>
      </c>
      <c r="G13">
        <v>2.4631195665574248</v>
      </c>
    </row>
    <row r="15" spans="1:9" ht="15.75" thickBot="1">
      <c r="A15" s="34" t="s">
        <v>1147</v>
      </c>
    </row>
    <row r="16" spans="1:9" ht="30.75" thickBot="1">
      <c r="B16" s="35" t="s">
        <v>1140</v>
      </c>
      <c r="C16" s="35" t="s">
        <v>1148</v>
      </c>
      <c r="D16" s="35" t="s">
        <v>1149</v>
      </c>
      <c r="E16" s="35" t="s">
        <v>1150</v>
      </c>
      <c r="F16" s="35" t="s">
        <v>1151</v>
      </c>
      <c r="G16" s="35" t="s">
        <v>1152</v>
      </c>
      <c r="H16" s="35" t="s">
        <v>1153</v>
      </c>
      <c r="I16" s="35" t="s">
        <v>1154</v>
      </c>
    </row>
    <row r="17" spans="2:9">
      <c r="B17" t="s">
        <v>1155</v>
      </c>
      <c r="C17">
        <v>995.62790687132156</v>
      </c>
      <c r="D17">
        <v>995.62795319999998</v>
      </c>
      <c r="E17" t="s">
        <v>1156</v>
      </c>
      <c r="F17">
        <v>-9.7808635524146003E-6</v>
      </c>
      <c r="G17">
        <v>-4.6532119024547726E-7</v>
      </c>
      <c r="H17">
        <v>99.562795320000006</v>
      </c>
      <c r="I17">
        <v>4.7366654461744417</v>
      </c>
    </row>
    <row r="18" spans="2:9">
      <c r="B18" t="s">
        <v>1157</v>
      </c>
      <c r="C18">
        <v>0.38985905592140768</v>
      </c>
      <c r="D18">
        <v>0.38985900000000001</v>
      </c>
      <c r="E18" t="s">
        <v>1156</v>
      </c>
      <c r="F18">
        <v>3.4766419838919903E-4</v>
      </c>
      <c r="G18">
        <v>1.4344008390517833E-6</v>
      </c>
      <c r="H18">
        <v>3.8985899999999997E-2</v>
      </c>
      <c r="I18">
        <v>1.608489109039254E-4</v>
      </c>
    </row>
    <row r="19" spans="2:9">
      <c r="B19" t="s">
        <v>1158</v>
      </c>
      <c r="C19">
        <v>415.59365227979447</v>
      </c>
      <c r="D19">
        <v>415.59363000000002</v>
      </c>
      <c r="E19" t="s">
        <v>1156</v>
      </c>
      <c r="F19">
        <v>1.5117361873924754E-6</v>
      </c>
      <c r="G19">
        <v>5.3609566754528349E-7</v>
      </c>
      <c r="H19">
        <v>41.559362999999998</v>
      </c>
      <c r="I19">
        <v>14.737885244826447</v>
      </c>
    </row>
    <row r="20" spans="2:9">
      <c r="B20" t="s">
        <v>1159</v>
      </c>
      <c r="C20">
        <v>0.3908298779607039</v>
      </c>
      <c r="D20">
        <v>0.39082990000000001</v>
      </c>
      <c r="E20" t="s">
        <v>1156</v>
      </c>
      <c r="F20">
        <v>0</v>
      </c>
      <c r="G20">
        <v>-5.6391018472056966E-7</v>
      </c>
      <c r="H20">
        <v>3.9082989999999998E-2</v>
      </c>
      <c r="I20">
        <v>8.0424455451962726E-5</v>
      </c>
    </row>
    <row r="21" spans="2:9">
      <c r="B21" t="s">
        <v>1160</v>
      </c>
      <c r="C21">
        <v>0</v>
      </c>
      <c r="D21">
        <v>0</v>
      </c>
      <c r="E21" t="s">
        <v>1161</v>
      </c>
      <c r="F21">
        <v>0</v>
      </c>
      <c r="G21">
        <v>0</v>
      </c>
      <c r="H21">
        <v>0</v>
      </c>
      <c r="I21">
        <v>0</v>
      </c>
    </row>
    <row r="22" spans="2:9">
      <c r="B22" t="s">
        <v>1162</v>
      </c>
      <c r="C22">
        <v>0.39082987796070384</v>
      </c>
      <c r="D22">
        <v>0.39082990000000001</v>
      </c>
      <c r="E22" t="s">
        <v>1156</v>
      </c>
      <c r="F22">
        <v>0</v>
      </c>
      <c r="G22">
        <v>-5.6391018614091008E-7</v>
      </c>
      <c r="H22">
        <v>3.9082989999999998E-2</v>
      </c>
      <c r="I22">
        <v>8.0424455451962726E-5</v>
      </c>
    </row>
    <row r="23" spans="2:9">
      <c r="B23" t="s">
        <v>1163</v>
      </c>
      <c r="C23">
        <v>1287.6652647000001</v>
      </c>
      <c r="D23">
        <v>1287.6652647000001</v>
      </c>
      <c r="E23" t="s">
        <v>1161</v>
      </c>
      <c r="F23">
        <v>0</v>
      </c>
      <c r="G23">
        <v>0</v>
      </c>
      <c r="H23">
        <v>0</v>
      </c>
      <c r="I23">
        <v>0</v>
      </c>
    </row>
    <row r="24" spans="2:9">
      <c r="B24" t="s">
        <v>1164</v>
      </c>
      <c r="C24">
        <v>0.3918007</v>
      </c>
      <c r="D24">
        <v>0.3918007</v>
      </c>
      <c r="E24" t="s">
        <v>1161</v>
      </c>
      <c r="F24">
        <v>0</v>
      </c>
      <c r="G24">
        <v>0</v>
      </c>
      <c r="H24">
        <v>0</v>
      </c>
      <c r="I24">
        <v>0</v>
      </c>
    </row>
    <row r="25" spans="2:9">
      <c r="B25" t="s">
        <v>1165</v>
      </c>
      <c r="C25">
        <v>123.55629445111595</v>
      </c>
      <c r="D25">
        <v>123.55631839999999</v>
      </c>
      <c r="E25" t="s">
        <v>1156</v>
      </c>
      <c r="F25">
        <v>-2.2643662673335717E-6</v>
      </c>
      <c r="G25">
        <v>-1.9382969935771879E-6</v>
      </c>
      <c r="H25">
        <v>12.355631839999999</v>
      </c>
      <c r="I25">
        <v>10.576417956190381</v>
      </c>
    </row>
    <row r="26" spans="2:9">
      <c r="B26" t="s">
        <v>1166</v>
      </c>
      <c r="C26">
        <v>0.37288929999999998</v>
      </c>
      <c r="D26">
        <v>0.37288929999999998</v>
      </c>
      <c r="E26" t="s">
        <v>1156</v>
      </c>
      <c r="F26">
        <v>0</v>
      </c>
      <c r="G26">
        <v>0</v>
      </c>
      <c r="H26">
        <v>3.7288929999999998E-2</v>
      </c>
      <c r="I26">
        <v>9.4628336681129971E-8</v>
      </c>
    </row>
    <row r="27" spans="2:9">
      <c r="B27" t="s">
        <v>1167</v>
      </c>
      <c r="C27">
        <v>5086</v>
      </c>
      <c r="D27">
        <v>5086</v>
      </c>
      <c r="E27" t="s">
        <v>1161</v>
      </c>
      <c r="F27">
        <v>0</v>
      </c>
      <c r="G27">
        <v>0</v>
      </c>
      <c r="H27">
        <v>0</v>
      </c>
      <c r="I27">
        <v>0</v>
      </c>
    </row>
    <row r="28" spans="2:9">
      <c r="B28" t="s">
        <v>1168</v>
      </c>
      <c r="C28">
        <v>5086</v>
      </c>
      <c r="D28">
        <v>5086</v>
      </c>
      <c r="E28" t="s">
        <v>1156</v>
      </c>
      <c r="F28">
        <v>0</v>
      </c>
      <c r="G28">
        <v>0</v>
      </c>
      <c r="H28">
        <v>508.6</v>
      </c>
      <c r="I28">
        <v>0</v>
      </c>
    </row>
    <row r="29" spans="2:9">
      <c r="B29" t="s">
        <v>1169</v>
      </c>
      <c r="C29">
        <v>4.869334192259382</v>
      </c>
      <c r="D29">
        <v>4.8693339</v>
      </c>
      <c r="E29" t="s">
        <v>1156</v>
      </c>
      <c r="F29">
        <v>6.0128937089117836E-6</v>
      </c>
      <c r="G29">
        <v>6.0020402796510498E-7</v>
      </c>
      <c r="H29">
        <v>0.48693339000000002</v>
      </c>
      <c r="I29">
        <v>4.8605446258852401E-2</v>
      </c>
    </row>
    <row r="30" spans="2:9">
      <c r="B30" t="s">
        <v>1170</v>
      </c>
      <c r="C30">
        <v>0.41959999999999997</v>
      </c>
      <c r="D30">
        <v>0.41959999999999997</v>
      </c>
      <c r="E30" t="s">
        <v>1156</v>
      </c>
      <c r="F30">
        <v>0</v>
      </c>
      <c r="G30">
        <v>0</v>
      </c>
      <c r="H30">
        <v>4.1959999999999997E-2</v>
      </c>
      <c r="I30">
        <v>0</v>
      </c>
    </row>
    <row r="31" spans="2:9">
      <c r="B31" t="s">
        <v>1171</v>
      </c>
      <c r="C31">
        <v>76.660854328765268</v>
      </c>
      <c r="D31">
        <v>76.660853500000002</v>
      </c>
      <c r="E31" t="s">
        <v>1156</v>
      </c>
      <c r="F31">
        <v>1.0824445196087563E-7</v>
      </c>
      <c r="G31">
        <v>1.0810801450208507E-7</v>
      </c>
      <c r="H31">
        <v>7.6660853500000004</v>
      </c>
      <c r="I31">
        <v>7.6564225803607444</v>
      </c>
    </row>
    <row r="32" spans="2:9">
      <c r="B32" t="s">
        <v>1172</v>
      </c>
      <c r="C32">
        <v>361.39702899999997</v>
      </c>
      <c r="D32">
        <v>361.39702899999997</v>
      </c>
      <c r="E32" t="s">
        <v>1156</v>
      </c>
      <c r="F32">
        <v>0</v>
      </c>
      <c r="G32">
        <v>0</v>
      </c>
      <c r="H32">
        <v>36.139702900000003</v>
      </c>
      <c r="I32">
        <v>20.865267197748103</v>
      </c>
    </row>
    <row r="33" spans="2:9">
      <c r="B33" t="s">
        <v>1173</v>
      </c>
      <c r="C33">
        <v>3.7107842999999998</v>
      </c>
      <c r="D33">
        <v>3.7107842999999998</v>
      </c>
      <c r="E33" t="s">
        <v>1161</v>
      </c>
      <c r="F33">
        <v>0</v>
      </c>
      <c r="G33">
        <v>0</v>
      </c>
      <c r="H33">
        <v>0</v>
      </c>
      <c r="I33">
        <v>0</v>
      </c>
    </row>
    <row r="34" spans="2:9">
      <c r="B34" t="s">
        <v>1174</v>
      </c>
      <c r="C34">
        <v>2.5967184759200328</v>
      </c>
      <c r="D34">
        <v>2.5967175</v>
      </c>
      <c r="E34" t="s">
        <v>1156</v>
      </c>
      <c r="F34">
        <v>9.0615708327852832E-6</v>
      </c>
      <c r="G34">
        <v>3.7582834204581293E-6</v>
      </c>
      <c r="H34">
        <v>0.25967174999999998</v>
      </c>
      <c r="I34">
        <v>0.1076987699809633</v>
      </c>
    </row>
    <row r="35" spans="2:9">
      <c r="B35" t="s">
        <v>1175</v>
      </c>
      <c r="C35">
        <v>5537.2600852161841</v>
      </c>
      <c r="D35">
        <v>5537.2619653000002</v>
      </c>
      <c r="E35" t="s">
        <v>1156</v>
      </c>
      <c r="F35">
        <v>-2.3360730825988973E-5</v>
      </c>
      <c r="G35">
        <v>-3.3953311724927592E-6</v>
      </c>
      <c r="H35">
        <v>553.72619653000004</v>
      </c>
      <c r="I35">
        <v>80.48052221091281</v>
      </c>
    </row>
    <row r="36" spans="2:9">
      <c r="B36" t="s">
        <v>1176</v>
      </c>
      <c r="C36">
        <v>0.37390586182217755</v>
      </c>
      <c r="D36">
        <v>0.37390590000000001</v>
      </c>
      <c r="E36" t="s">
        <v>1156</v>
      </c>
      <c r="F36">
        <v>0</v>
      </c>
      <c r="G36">
        <v>-1.0210542935792773E-6</v>
      </c>
      <c r="H36">
        <v>3.7390590000000001E-2</v>
      </c>
      <c r="I36">
        <v>9.9738793142584192E-6</v>
      </c>
    </row>
    <row r="37" spans="2:9">
      <c r="B37" t="s">
        <v>1177</v>
      </c>
      <c r="C37">
        <v>1544.1567937583741</v>
      </c>
      <c r="D37">
        <v>1544.1572060999999</v>
      </c>
      <c r="E37" t="s">
        <v>1156</v>
      </c>
      <c r="F37">
        <v>-5.7605183496235608E-6</v>
      </c>
      <c r="G37">
        <v>-2.6703344985334805E-6</v>
      </c>
      <c r="H37">
        <v>154.41572060999999</v>
      </c>
      <c r="I37">
        <v>71.580646190934559</v>
      </c>
    </row>
    <row r="38" spans="2:9">
      <c r="B38" t="s">
        <v>1178</v>
      </c>
      <c r="C38">
        <v>0.37421393091108873</v>
      </c>
      <c r="D38">
        <v>0.37421399999999999</v>
      </c>
      <c r="E38" t="s">
        <v>1156</v>
      </c>
      <c r="F38">
        <v>0</v>
      </c>
      <c r="G38">
        <v>-1.8462406873787339E-6</v>
      </c>
      <c r="H38">
        <v>3.74214E-2</v>
      </c>
      <c r="I38">
        <v>4.986939657129213E-6</v>
      </c>
    </row>
    <row r="39" spans="2:9">
      <c r="B39" t="s">
        <v>1179</v>
      </c>
      <c r="C39">
        <v>0</v>
      </c>
      <c r="D39">
        <v>0</v>
      </c>
      <c r="E39" t="s">
        <v>1161</v>
      </c>
      <c r="F39">
        <v>0</v>
      </c>
      <c r="G39">
        <v>0</v>
      </c>
      <c r="H39">
        <v>0</v>
      </c>
      <c r="I39">
        <v>0</v>
      </c>
    </row>
    <row r="40" spans="2:9">
      <c r="B40" t="s">
        <v>1180</v>
      </c>
      <c r="C40">
        <v>0.37421393091108873</v>
      </c>
      <c r="D40">
        <v>0.37421399999999999</v>
      </c>
      <c r="E40" t="s">
        <v>1156</v>
      </c>
      <c r="F40">
        <v>0</v>
      </c>
      <c r="G40">
        <v>-1.8462406873787339E-6</v>
      </c>
      <c r="H40">
        <v>3.74214E-2</v>
      </c>
      <c r="I40">
        <v>4.9869396571292079E-6</v>
      </c>
    </row>
    <row r="41" spans="2:9">
      <c r="B41" t="s">
        <v>1181</v>
      </c>
      <c r="C41">
        <v>4700.4379387999998</v>
      </c>
      <c r="D41">
        <v>4700.4379387999998</v>
      </c>
      <c r="E41" t="s">
        <v>1161</v>
      </c>
      <c r="F41">
        <v>0</v>
      </c>
      <c r="G41">
        <v>0</v>
      </c>
      <c r="H41">
        <v>0</v>
      </c>
      <c r="I41">
        <v>0</v>
      </c>
    </row>
    <row r="42" spans="2:9">
      <c r="B42" t="s">
        <v>1182</v>
      </c>
      <c r="C42">
        <v>0.37452200000000002</v>
      </c>
      <c r="D42">
        <v>0.37452200000000002</v>
      </c>
      <c r="E42" t="s">
        <v>1161</v>
      </c>
      <c r="F42">
        <v>0</v>
      </c>
      <c r="G42">
        <v>0</v>
      </c>
      <c r="H42">
        <v>0</v>
      </c>
      <c r="I42">
        <v>0</v>
      </c>
    </row>
    <row r="43" spans="2:9">
      <c r="B43" t="s">
        <v>1183</v>
      </c>
      <c r="C43">
        <v>2380.9789401745593</v>
      </c>
      <c r="D43">
        <v>2380.9812327</v>
      </c>
      <c r="E43" t="s">
        <v>1156</v>
      </c>
      <c r="F43">
        <v>-4.2612669872293246E-5</v>
      </c>
      <c r="G43">
        <v>-9.6284901753733914E-6</v>
      </c>
      <c r="H43">
        <v>238.09812327</v>
      </c>
      <c r="I43">
        <v>53.799150523789116</v>
      </c>
    </row>
    <row r="44" spans="2:9">
      <c r="B44" t="s">
        <v>1184</v>
      </c>
      <c r="C44">
        <v>0.37288929999999998</v>
      </c>
      <c r="D44">
        <v>0.37288929999999998</v>
      </c>
      <c r="E44" t="s">
        <v>1156</v>
      </c>
      <c r="F44">
        <v>0</v>
      </c>
      <c r="G44">
        <v>0</v>
      </c>
      <c r="H44">
        <v>3.7288929999999998E-2</v>
      </c>
      <c r="I44">
        <v>9.4628336681129971E-8</v>
      </c>
    </row>
    <row r="45" spans="2:9">
      <c r="B45" t="s">
        <v>1185</v>
      </c>
      <c r="C45">
        <v>5086</v>
      </c>
      <c r="D45">
        <v>5086</v>
      </c>
      <c r="E45" t="s">
        <v>1161</v>
      </c>
      <c r="F45">
        <v>0</v>
      </c>
      <c r="G45">
        <v>0</v>
      </c>
      <c r="H45">
        <v>0</v>
      </c>
      <c r="I45">
        <v>0</v>
      </c>
    </row>
    <row r="46" spans="2:9">
      <c r="B46" t="s">
        <v>1186</v>
      </c>
      <c r="C46">
        <v>5086</v>
      </c>
      <c r="D46">
        <v>5086</v>
      </c>
      <c r="E46" t="s">
        <v>1156</v>
      </c>
      <c r="F46">
        <v>0</v>
      </c>
      <c r="G46">
        <v>0</v>
      </c>
      <c r="H46">
        <v>508.6</v>
      </c>
      <c r="I46">
        <v>0</v>
      </c>
    </row>
    <row r="47" spans="2:9">
      <c r="B47" t="s">
        <v>1187</v>
      </c>
      <c r="C47">
        <v>0.67950479156639565</v>
      </c>
      <c r="D47">
        <v>0.67950449999999996</v>
      </c>
      <c r="E47" t="s">
        <v>1156</v>
      </c>
      <c r="F47">
        <v>1.0920190427293033E-5</v>
      </c>
      <c r="G47">
        <v>4.2908677675235548E-6</v>
      </c>
      <c r="H47">
        <v>6.7950449999999996E-2</v>
      </c>
      <c r="I47">
        <v>2.6699753784970966E-2</v>
      </c>
    </row>
    <row r="48" spans="2:9">
      <c r="B48" t="s">
        <v>1188</v>
      </c>
      <c r="C48">
        <v>0.43959999999999999</v>
      </c>
      <c r="D48">
        <v>0.43959999999999999</v>
      </c>
      <c r="E48" t="s">
        <v>1156</v>
      </c>
      <c r="F48">
        <v>0</v>
      </c>
      <c r="G48">
        <v>0</v>
      </c>
      <c r="H48">
        <v>4.3959999999999999E-2</v>
      </c>
      <c r="I48">
        <v>0</v>
      </c>
    </row>
    <row r="49" spans="2:9">
      <c r="B49" t="s">
        <v>1189</v>
      </c>
      <c r="C49">
        <v>0.5202</v>
      </c>
      <c r="D49">
        <v>0.5202</v>
      </c>
      <c r="E49" t="s">
        <v>1156</v>
      </c>
      <c r="F49">
        <v>0</v>
      </c>
      <c r="G49">
        <v>0</v>
      </c>
      <c r="H49">
        <v>5.2019999999999997E-2</v>
      </c>
      <c r="I49">
        <v>0</v>
      </c>
    </row>
    <row r="50" spans="2:9">
      <c r="B50" t="s">
        <v>1190</v>
      </c>
      <c r="C50">
        <v>5703.9210722830094</v>
      </c>
      <c r="D50">
        <v>5703.9251413000002</v>
      </c>
      <c r="E50" t="s">
        <v>1156</v>
      </c>
      <c r="F50">
        <v>-1.4531067847308726E-5</v>
      </c>
      <c r="G50">
        <v>-7.1337138724617858E-6</v>
      </c>
      <c r="H50">
        <v>570.39251413</v>
      </c>
      <c r="I50">
        <v>280.0218837014894</v>
      </c>
    </row>
    <row r="51" spans="2:9">
      <c r="B51" t="s">
        <v>1191</v>
      </c>
      <c r="C51">
        <v>0.84302679999999997</v>
      </c>
      <c r="D51">
        <v>0.84302679999999997</v>
      </c>
      <c r="E51" t="s">
        <v>1161</v>
      </c>
      <c r="F51">
        <v>0</v>
      </c>
      <c r="G51">
        <v>0</v>
      </c>
      <c r="H51">
        <v>0</v>
      </c>
      <c r="I51">
        <v>0</v>
      </c>
    </row>
    <row r="52" spans="2:9">
      <c r="B52" t="s">
        <v>1192</v>
      </c>
      <c r="C52">
        <v>2.5967184759200328</v>
      </c>
      <c r="D52">
        <v>2.5967175</v>
      </c>
      <c r="E52" t="s">
        <v>1156</v>
      </c>
      <c r="F52">
        <v>9.0615708327852832E-6</v>
      </c>
      <c r="G52">
        <v>3.7582834204581293E-6</v>
      </c>
      <c r="H52">
        <v>0.25967174999999998</v>
      </c>
      <c r="I52">
        <v>0.10769876998096328</v>
      </c>
    </row>
    <row r="53" spans="2:9">
      <c r="B53" t="s">
        <v>1193</v>
      </c>
      <c r="C53">
        <v>5780.5819266117751</v>
      </c>
      <c r="D53">
        <v>5780.5859947999998</v>
      </c>
      <c r="E53" t="s">
        <v>1156</v>
      </c>
      <c r="F53">
        <v>-1.4525092094861384E-5</v>
      </c>
      <c r="G53">
        <v>-7.0376744301080765E-6</v>
      </c>
      <c r="H53">
        <v>578.05859948</v>
      </c>
      <c r="I53">
        <v>280.08002965459377</v>
      </c>
    </row>
    <row r="54" spans="2:9">
      <c r="B54" t="s">
        <v>1194</v>
      </c>
      <c r="C54">
        <v>2504.5352346256741</v>
      </c>
      <c r="D54">
        <v>2504.5375511000002</v>
      </c>
      <c r="E54" t="s">
        <v>1156</v>
      </c>
      <c r="F54">
        <v>-4.3528583703790943E-5</v>
      </c>
      <c r="G54">
        <v>-9.2491099807639427E-6</v>
      </c>
      <c r="H54">
        <v>250.45375511</v>
      </c>
      <c r="I54">
        <v>53.217314440349348</v>
      </c>
    </row>
    <row r="55" spans="2:9">
      <c r="B55" t="s">
        <v>1195</v>
      </c>
      <c r="C55">
        <v>0.37288929999999998</v>
      </c>
      <c r="D55">
        <v>0.37288929999999998</v>
      </c>
      <c r="E55" t="s">
        <v>1156</v>
      </c>
      <c r="F55">
        <v>0</v>
      </c>
      <c r="G55">
        <v>0</v>
      </c>
      <c r="H55">
        <v>3.7288929999999998E-2</v>
      </c>
      <c r="I55">
        <v>9.4628336681129997E-8</v>
      </c>
    </row>
    <row r="56" spans="2:9">
      <c r="B56" t="s">
        <v>1196</v>
      </c>
      <c r="C56">
        <v>2.5967184759200328</v>
      </c>
      <c r="D56">
        <v>2.5967175</v>
      </c>
      <c r="E56" t="s">
        <v>1156</v>
      </c>
      <c r="F56">
        <v>9.0615708327852832E-6</v>
      </c>
      <c r="G56">
        <v>3.7582834204581293E-6</v>
      </c>
      <c r="H56">
        <v>0.25967174999999998</v>
      </c>
      <c r="I56">
        <v>0.1076987699809633</v>
      </c>
    </row>
    <row r="57" spans="2:9">
      <c r="B57" t="s">
        <v>1197</v>
      </c>
      <c r="C57">
        <v>2504.5352346256741</v>
      </c>
      <c r="D57">
        <v>2504.5375511000002</v>
      </c>
      <c r="E57" t="s">
        <v>1156</v>
      </c>
      <c r="F57">
        <v>-4.3528583703790943E-5</v>
      </c>
      <c r="G57">
        <v>-9.2491099807639427E-6</v>
      </c>
      <c r="H57">
        <v>250.45375511</v>
      </c>
      <c r="I57">
        <v>53.217314440349348</v>
      </c>
    </row>
    <row r="58" spans="2:9">
      <c r="B58" t="s">
        <v>1198</v>
      </c>
      <c r="C58">
        <v>0.37288929999999998</v>
      </c>
      <c r="D58">
        <v>0.37288929999999998</v>
      </c>
      <c r="E58" t="s">
        <v>1161</v>
      </c>
      <c r="F58">
        <v>0</v>
      </c>
      <c r="G58">
        <v>0</v>
      </c>
      <c r="H58">
        <v>0</v>
      </c>
      <c r="I58">
        <v>0</v>
      </c>
    </row>
    <row r="59" spans="2:9">
      <c r="B59" t="s">
        <v>1199</v>
      </c>
      <c r="C59">
        <v>0</v>
      </c>
      <c r="D59">
        <v>0</v>
      </c>
      <c r="E59" t="s">
        <v>1161</v>
      </c>
      <c r="F59">
        <v>0</v>
      </c>
      <c r="G59">
        <v>0</v>
      </c>
      <c r="H59">
        <v>0</v>
      </c>
      <c r="I59">
        <v>0</v>
      </c>
    </row>
    <row r="60" spans="2:9">
      <c r="B60" t="s">
        <v>1200</v>
      </c>
      <c r="C60">
        <v>0.37421393091108873</v>
      </c>
      <c r="D60">
        <v>0.37421399999999999</v>
      </c>
      <c r="E60" t="s">
        <v>1156</v>
      </c>
      <c r="F60">
        <v>0</v>
      </c>
      <c r="G60">
        <v>-1.8462406873787339E-6</v>
      </c>
      <c r="H60">
        <v>3.74214E-2</v>
      </c>
      <c r="I60">
        <v>4.9869396571292079E-6</v>
      </c>
    </row>
    <row r="61" spans="2:9">
      <c r="B61" t="s">
        <v>1201</v>
      </c>
      <c r="C61">
        <v>0</v>
      </c>
      <c r="D61">
        <v>0</v>
      </c>
      <c r="E61" t="s">
        <v>1161</v>
      </c>
      <c r="F61">
        <v>0</v>
      </c>
      <c r="G61">
        <v>0</v>
      </c>
      <c r="H61">
        <v>0</v>
      </c>
      <c r="I61">
        <v>0</v>
      </c>
    </row>
    <row r="62" spans="2:9">
      <c r="B62" t="s">
        <v>1202</v>
      </c>
      <c r="C62">
        <v>0.39082987796070384</v>
      </c>
      <c r="D62">
        <v>0.39082990000000001</v>
      </c>
      <c r="E62" t="s">
        <v>1156</v>
      </c>
      <c r="F62">
        <v>0</v>
      </c>
      <c r="G62">
        <v>-5.6391018614091008E-7</v>
      </c>
      <c r="H62">
        <v>3.9082989999999998E-2</v>
      </c>
      <c r="I62">
        <v>8.0424455451962712E-5</v>
      </c>
    </row>
    <row r="63" spans="2:9">
      <c r="B63" t="s">
        <v>1203</v>
      </c>
      <c r="C63">
        <v>0</v>
      </c>
      <c r="D63">
        <v>0</v>
      </c>
      <c r="E63" t="s">
        <v>1161</v>
      </c>
      <c r="F63">
        <v>0</v>
      </c>
      <c r="G63">
        <v>0</v>
      </c>
      <c r="H63">
        <v>0</v>
      </c>
      <c r="I63">
        <v>0</v>
      </c>
    </row>
    <row r="64" spans="2:9">
      <c r="B64" t="s">
        <v>1204</v>
      </c>
      <c r="C64">
        <v>0.37421393091108873</v>
      </c>
      <c r="D64">
        <v>0.37421399999999999</v>
      </c>
      <c r="E64" t="s">
        <v>1156</v>
      </c>
      <c r="F64">
        <v>0</v>
      </c>
      <c r="G64">
        <v>-1.8462406873787339E-6</v>
      </c>
      <c r="H64">
        <v>3.74214E-2</v>
      </c>
      <c r="I64">
        <v>4.9869396571292096E-6</v>
      </c>
    </row>
    <row r="65" spans="2:9">
      <c r="B65" t="s">
        <v>1205</v>
      </c>
      <c r="C65">
        <v>0</v>
      </c>
      <c r="D65">
        <v>0</v>
      </c>
      <c r="E65" t="s">
        <v>1161</v>
      </c>
      <c r="F65">
        <v>0</v>
      </c>
      <c r="G65">
        <v>0</v>
      </c>
      <c r="H65">
        <v>0</v>
      </c>
      <c r="I65">
        <v>0</v>
      </c>
    </row>
    <row r="66" spans="2:9">
      <c r="B66" t="s">
        <v>1206</v>
      </c>
      <c r="C66">
        <v>0.3908298779607039</v>
      </c>
      <c r="D66">
        <v>0.39082990000000001</v>
      </c>
      <c r="E66" t="s">
        <v>1156</v>
      </c>
      <c r="F66">
        <v>0</v>
      </c>
      <c r="G66">
        <v>-5.6391018472056966E-7</v>
      </c>
      <c r="H66">
        <v>3.9082989999999998E-2</v>
      </c>
      <c r="I66">
        <v>8.0424455451962726E-5</v>
      </c>
    </row>
    <row r="67" spans="2:9">
      <c r="B67" t="s">
        <v>1207</v>
      </c>
      <c r="C67">
        <v>2.5967184759200324</v>
      </c>
      <c r="D67">
        <v>2.5967175</v>
      </c>
      <c r="E67" t="s">
        <v>1156</v>
      </c>
      <c r="F67">
        <v>9.0615708286595399E-6</v>
      </c>
      <c r="G67">
        <v>3.758283418747935E-6</v>
      </c>
      <c r="H67">
        <v>0.25967174999999998</v>
      </c>
      <c r="I67">
        <v>0.10769876998099069</v>
      </c>
    </row>
    <row r="68" spans="2:9">
      <c r="B68" t="s">
        <v>1208</v>
      </c>
      <c r="C68">
        <v>0.41959999999999997</v>
      </c>
      <c r="D68">
        <v>0.41959999999999997</v>
      </c>
      <c r="E68" t="s">
        <v>1161</v>
      </c>
      <c r="F68">
        <v>0</v>
      </c>
      <c r="G68">
        <v>0</v>
      </c>
      <c r="H68">
        <v>0</v>
      </c>
      <c r="I68">
        <v>0</v>
      </c>
    </row>
    <row r="69" spans="2:9">
      <c r="B69" t="s">
        <v>1209</v>
      </c>
      <c r="C69">
        <v>0.5202</v>
      </c>
      <c r="D69">
        <v>0.5202</v>
      </c>
      <c r="E69" t="s">
        <v>1161</v>
      </c>
      <c r="F69">
        <v>0</v>
      </c>
      <c r="G69">
        <v>0</v>
      </c>
      <c r="H69">
        <v>0</v>
      </c>
      <c r="I69">
        <v>0</v>
      </c>
    </row>
    <row r="70" spans="2:9">
      <c r="B70" t="s">
        <v>1210</v>
      </c>
      <c r="C70">
        <v>0.43959999999999999</v>
      </c>
      <c r="D70">
        <v>0.43959999999999999</v>
      </c>
      <c r="E70" t="s">
        <v>1161</v>
      </c>
      <c r="F70">
        <v>0</v>
      </c>
      <c r="G70">
        <v>0</v>
      </c>
      <c r="H70">
        <v>0</v>
      </c>
      <c r="I70">
        <v>0</v>
      </c>
    </row>
    <row r="71" spans="2:9">
      <c r="B71" t="s">
        <v>1211</v>
      </c>
      <c r="C71">
        <v>361.39702899999997</v>
      </c>
      <c r="D71">
        <v>361.39702899999997</v>
      </c>
      <c r="E71" t="s">
        <v>1156</v>
      </c>
      <c r="F71">
        <v>0</v>
      </c>
      <c r="G71">
        <v>0</v>
      </c>
      <c r="H71">
        <v>36.139702900000003</v>
      </c>
      <c r="I71">
        <v>20.865267197748103</v>
      </c>
    </row>
    <row r="72" spans="2:9">
      <c r="B72" t="s">
        <v>1212</v>
      </c>
      <c r="C72">
        <v>0</v>
      </c>
      <c r="D72">
        <v>0</v>
      </c>
      <c r="E72" t="s">
        <v>1161</v>
      </c>
      <c r="F72">
        <v>0</v>
      </c>
      <c r="G72">
        <v>0</v>
      </c>
      <c r="H72">
        <v>0</v>
      </c>
      <c r="I72">
        <v>0</v>
      </c>
    </row>
    <row r="73" spans="2:9">
      <c r="B73" t="s">
        <v>1213</v>
      </c>
      <c r="C73">
        <v>0.37773758471833613</v>
      </c>
      <c r="D73">
        <v>0.37773760000000001</v>
      </c>
      <c r="E73" t="s">
        <v>1156</v>
      </c>
      <c r="F73">
        <v>-9.4794823039845926E-5</v>
      </c>
      <c r="G73">
        <v>-4.045576579817152E-7</v>
      </c>
      <c r="H73">
        <v>3.7773760000000003E-2</v>
      </c>
      <c r="I73">
        <v>1.6120778950491762E-4</v>
      </c>
    </row>
    <row r="74" spans="2:9">
      <c r="B74" t="s">
        <v>1214</v>
      </c>
      <c r="C74">
        <v>0</v>
      </c>
      <c r="D74">
        <v>0</v>
      </c>
      <c r="E74" t="s">
        <v>1161</v>
      </c>
      <c r="F74">
        <v>0</v>
      </c>
      <c r="G74">
        <v>0</v>
      </c>
      <c r="H74">
        <v>0</v>
      </c>
      <c r="I74">
        <v>0</v>
      </c>
    </row>
    <row r="75" spans="2:9">
      <c r="B75" t="s">
        <v>1215</v>
      </c>
      <c r="C75">
        <v>0.37773758471833613</v>
      </c>
      <c r="D75">
        <v>0.37773760000000001</v>
      </c>
      <c r="E75" t="s">
        <v>1156</v>
      </c>
      <c r="F75">
        <v>-9.4794823039845926E-5</v>
      </c>
      <c r="G75">
        <v>-4.045576579817152E-7</v>
      </c>
      <c r="H75">
        <v>3.7773760000000003E-2</v>
      </c>
      <c r="I75">
        <v>1.6120778950491762E-4</v>
      </c>
    </row>
    <row r="76" spans="2:9">
      <c r="B76" t="s">
        <v>1216</v>
      </c>
      <c r="C76">
        <v>667.31086771851994</v>
      </c>
      <c r="D76">
        <v>667.31095500000004</v>
      </c>
      <c r="E76" t="s">
        <v>1156</v>
      </c>
      <c r="F76">
        <v>-1.5146351024889702E-6</v>
      </c>
      <c r="G76">
        <v>-1.3079581481081138E-6</v>
      </c>
      <c r="H76">
        <v>66.731095499999995</v>
      </c>
      <c r="I76">
        <v>57.625417467202318</v>
      </c>
    </row>
    <row r="77" spans="2:9">
      <c r="B77" t="s">
        <v>1217</v>
      </c>
      <c r="C77">
        <v>0.37773758471833613</v>
      </c>
      <c r="D77">
        <v>0.37773760000000001</v>
      </c>
      <c r="E77" t="s">
        <v>1156</v>
      </c>
      <c r="F77">
        <v>-9.4794823039845926E-5</v>
      </c>
      <c r="G77">
        <v>-4.045576579817152E-7</v>
      </c>
      <c r="H77">
        <v>3.7773760000000003E-2</v>
      </c>
      <c r="I77">
        <v>1.6120778950491762E-4</v>
      </c>
    </row>
    <row r="78" spans="2:9">
      <c r="B78" t="s">
        <v>1218</v>
      </c>
      <c r="C78">
        <v>1292.4395783196485</v>
      </c>
      <c r="D78">
        <v>1292.4398811000001</v>
      </c>
      <c r="E78" t="s">
        <v>1156</v>
      </c>
      <c r="F78">
        <v>-3.8681602021442386E-6</v>
      </c>
      <c r="G78">
        <v>-2.3427035642513802E-6</v>
      </c>
      <c r="H78">
        <v>129.24398811</v>
      </c>
      <c r="I78">
        <v>78.275028897593145</v>
      </c>
    </row>
    <row r="79" spans="2:9">
      <c r="B79" t="s">
        <v>1219</v>
      </c>
      <c r="C79">
        <v>0.37773758471833613</v>
      </c>
      <c r="D79">
        <v>0.37773760000000001</v>
      </c>
      <c r="E79" t="s">
        <v>1156</v>
      </c>
      <c r="F79">
        <v>-9.4794823039845872E-5</v>
      </c>
      <c r="G79">
        <v>-4.045576579817152E-7</v>
      </c>
      <c r="H79">
        <v>3.7773760000000003E-2</v>
      </c>
      <c r="I79">
        <v>1.612077895049177E-4</v>
      </c>
    </row>
    <row r="80" spans="2:9">
      <c r="B80" t="s">
        <v>1220</v>
      </c>
      <c r="C80">
        <v>1959.7504460381695</v>
      </c>
      <c r="D80">
        <v>1959.7508361</v>
      </c>
      <c r="E80" t="s">
        <v>1156</v>
      </c>
      <c r="F80">
        <v>-5.4482009421283492E-6</v>
      </c>
      <c r="G80">
        <v>-1.9903644043552978E-6</v>
      </c>
      <c r="H80">
        <v>195.97508361000001</v>
      </c>
      <c r="I80">
        <v>71.594611634408437</v>
      </c>
    </row>
    <row r="81" spans="2:9">
      <c r="B81" t="s">
        <v>1221</v>
      </c>
      <c r="C81">
        <v>0.37773758471833613</v>
      </c>
      <c r="D81">
        <v>0.37773760000000001</v>
      </c>
      <c r="E81" t="s">
        <v>1156</v>
      </c>
      <c r="F81">
        <v>-9.4794823039845926E-5</v>
      </c>
      <c r="G81">
        <v>-4.045576579817152E-7</v>
      </c>
      <c r="H81">
        <v>3.7773760000000003E-2</v>
      </c>
      <c r="I81">
        <v>1.6120778950491762E-4</v>
      </c>
    </row>
    <row r="82" spans="2:9">
      <c r="B82" t="s">
        <v>1222</v>
      </c>
      <c r="C82">
        <v>0.43535870843024971</v>
      </c>
      <c r="D82">
        <v>0.43535869999999999</v>
      </c>
      <c r="E82" t="s">
        <v>1156</v>
      </c>
      <c r="F82">
        <v>4.1239421527509224E-5</v>
      </c>
      <c r="G82">
        <v>1.9363916973580064E-7</v>
      </c>
      <c r="H82">
        <v>4.3535869999999997E-2</v>
      </c>
      <c r="I82">
        <v>2.0442211379958998E-4</v>
      </c>
    </row>
    <row r="83" spans="2:9">
      <c r="B83" t="s">
        <v>1223</v>
      </c>
      <c r="C83">
        <v>0.43535870843024971</v>
      </c>
      <c r="D83">
        <v>0.43535869999999999</v>
      </c>
      <c r="E83" t="s">
        <v>1156</v>
      </c>
      <c r="F83">
        <v>4.1239421527509217E-5</v>
      </c>
      <c r="G83">
        <v>1.9363916973580064E-7</v>
      </c>
      <c r="H83">
        <v>4.3535869999999997E-2</v>
      </c>
      <c r="I83">
        <v>2.0442211379959001E-4</v>
      </c>
    </row>
    <row r="84" spans="2:9">
      <c r="B84" t="s">
        <v>1224</v>
      </c>
      <c r="C84">
        <v>0.43535870843024971</v>
      </c>
      <c r="D84">
        <v>0.43535869999999999</v>
      </c>
      <c r="E84" t="s">
        <v>1156</v>
      </c>
      <c r="F84">
        <v>4.1239421527509217E-5</v>
      </c>
      <c r="G84">
        <v>1.9363916973580064E-7</v>
      </c>
      <c r="H84">
        <v>4.3535869999999997E-2</v>
      </c>
      <c r="I84">
        <v>2.0442211379959001E-4</v>
      </c>
    </row>
    <row r="85" spans="2:9">
      <c r="B85" t="s">
        <v>1225</v>
      </c>
      <c r="C85">
        <v>0.43535870843024971</v>
      </c>
      <c r="D85">
        <v>0.43535869999999999</v>
      </c>
      <c r="E85" t="s">
        <v>1156</v>
      </c>
      <c r="F85">
        <v>4.1239421527509217E-5</v>
      </c>
      <c r="G85">
        <v>1.9363916973580064E-7</v>
      </c>
      <c r="H85">
        <v>4.3535869999999997E-2</v>
      </c>
      <c r="I85">
        <v>2.0442211379959001E-4</v>
      </c>
    </row>
    <row r="86" spans="2:9">
      <c r="B86" t="s">
        <v>1226</v>
      </c>
      <c r="C86">
        <v>0.43535870843024971</v>
      </c>
      <c r="D86">
        <v>0.43535869999999999</v>
      </c>
      <c r="E86" t="s">
        <v>1156</v>
      </c>
      <c r="F86">
        <v>4.1239421527509217E-5</v>
      </c>
      <c r="G86">
        <v>1.9363916973580064E-7</v>
      </c>
      <c r="H86">
        <v>4.3535869999999997E-2</v>
      </c>
      <c r="I86">
        <v>2.0442211379959001E-4</v>
      </c>
    </row>
    <row r="87" spans="2:9">
      <c r="B87" t="s">
        <v>1227</v>
      </c>
      <c r="C87">
        <v>1544.1567937583741</v>
      </c>
      <c r="D87">
        <v>1544.1572060999999</v>
      </c>
      <c r="E87" t="s">
        <v>1156</v>
      </c>
      <c r="F87">
        <v>-5.7605183496235608E-6</v>
      </c>
      <c r="G87">
        <v>-2.6703344985334805E-6</v>
      </c>
      <c r="H87">
        <v>154.41572060999999</v>
      </c>
      <c r="I87">
        <v>71.580646190934559</v>
      </c>
    </row>
    <row r="88" spans="2:9">
      <c r="B88" t="s">
        <v>1228</v>
      </c>
      <c r="C88">
        <v>0.37421393091108873</v>
      </c>
      <c r="D88">
        <v>0.37421399999999999</v>
      </c>
      <c r="E88" t="s">
        <v>1156</v>
      </c>
      <c r="F88">
        <v>0</v>
      </c>
      <c r="G88">
        <v>-1.8462406873787339E-6</v>
      </c>
      <c r="H88">
        <v>3.74214E-2</v>
      </c>
      <c r="I88">
        <v>4.9869396571292147E-6</v>
      </c>
    </row>
    <row r="89" spans="2:9">
      <c r="B89" t="s">
        <v>1229</v>
      </c>
      <c r="C89">
        <v>0</v>
      </c>
      <c r="D89">
        <v>0</v>
      </c>
      <c r="E89" t="s">
        <v>1161</v>
      </c>
      <c r="F89">
        <v>0</v>
      </c>
      <c r="G89">
        <v>0</v>
      </c>
      <c r="H89">
        <v>0</v>
      </c>
      <c r="I89">
        <v>0</v>
      </c>
    </row>
    <row r="90" spans="2:9">
      <c r="B90" t="s">
        <v>1230</v>
      </c>
      <c r="C90">
        <v>0.39082987796070384</v>
      </c>
      <c r="D90">
        <v>0.39082990000000001</v>
      </c>
      <c r="E90" t="s">
        <v>1156</v>
      </c>
      <c r="F90">
        <v>0</v>
      </c>
      <c r="G90">
        <v>-5.6391018614091008E-7</v>
      </c>
      <c r="H90">
        <v>3.9082989999999998E-2</v>
      </c>
      <c r="I90">
        <v>8.0424455451962726E-5</v>
      </c>
    </row>
    <row r="91" spans="2:9">
      <c r="B91" t="s">
        <v>1231</v>
      </c>
      <c r="C91">
        <v>415.59365227979447</v>
      </c>
      <c r="D91">
        <v>415.59363000000002</v>
      </c>
      <c r="E91" t="s">
        <v>1156</v>
      </c>
      <c r="F91">
        <v>1.511736187392475E-6</v>
      </c>
      <c r="G91">
        <v>5.3609566754528349E-7</v>
      </c>
      <c r="H91">
        <v>41.559362999999998</v>
      </c>
      <c r="I91">
        <v>14.737885244826451</v>
      </c>
    </row>
    <row r="92" spans="2:9">
      <c r="B92" t="s">
        <v>1232</v>
      </c>
      <c r="C92">
        <v>0.3908298779607039</v>
      </c>
      <c r="D92">
        <v>0.39082990000000001</v>
      </c>
      <c r="E92" t="s">
        <v>1156</v>
      </c>
      <c r="F92">
        <v>0</v>
      </c>
      <c r="G92">
        <v>-5.6391018472056966E-7</v>
      </c>
      <c r="H92">
        <v>3.9082989999999998E-2</v>
      </c>
      <c r="I92">
        <v>8.0424455451962726E-5</v>
      </c>
    </row>
    <row r="93" spans="2:9">
      <c r="B93" t="s">
        <v>1233</v>
      </c>
      <c r="C93">
        <v>0</v>
      </c>
      <c r="D93">
        <v>0</v>
      </c>
      <c r="E93" t="s">
        <v>1161</v>
      </c>
      <c r="F93">
        <v>0</v>
      </c>
      <c r="G93">
        <v>0</v>
      </c>
      <c r="H93">
        <v>0</v>
      </c>
      <c r="I93">
        <v>0</v>
      </c>
    </row>
    <row r="94" spans="2:9">
      <c r="B94" t="s">
        <v>1234</v>
      </c>
      <c r="C94">
        <v>0.37421393091108873</v>
      </c>
      <c r="D94">
        <v>0.37421399999999999</v>
      </c>
      <c r="E94" t="s">
        <v>1156</v>
      </c>
      <c r="F94">
        <v>0</v>
      </c>
      <c r="G94">
        <v>-1.8462406873787339E-6</v>
      </c>
      <c r="H94">
        <v>3.74214E-2</v>
      </c>
      <c r="I94">
        <v>4.986939657129213E-6</v>
      </c>
    </row>
    <row r="95" spans="2:9">
      <c r="B95" t="s">
        <v>1235</v>
      </c>
      <c r="C95">
        <v>361.39702899999997</v>
      </c>
      <c r="D95">
        <v>361.39702899999997</v>
      </c>
      <c r="E95" t="s">
        <v>1156</v>
      </c>
      <c r="F95">
        <v>0</v>
      </c>
      <c r="G95">
        <v>0</v>
      </c>
      <c r="H95">
        <v>36.139702900000003</v>
      </c>
      <c r="I95">
        <v>20.865267197748107</v>
      </c>
    </row>
    <row r="96" spans="2:9">
      <c r="B96" t="s">
        <v>1236</v>
      </c>
      <c r="C96">
        <v>0.43959999999999999</v>
      </c>
      <c r="D96">
        <v>0.43959999999999999</v>
      </c>
      <c r="E96" t="s">
        <v>1156</v>
      </c>
      <c r="F96">
        <v>0</v>
      </c>
      <c r="G96">
        <v>0</v>
      </c>
      <c r="H96">
        <v>4.3959999999999999E-2</v>
      </c>
      <c r="I96">
        <v>0</v>
      </c>
    </row>
    <row r="97" spans="2:9">
      <c r="B97" t="s">
        <v>1237</v>
      </c>
      <c r="C97">
        <v>0.5202</v>
      </c>
      <c r="D97">
        <v>0.5202</v>
      </c>
      <c r="E97" t="s">
        <v>1161</v>
      </c>
      <c r="F97">
        <v>0</v>
      </c>
      <c r="G97">
        <v>0</v>
      </c>
      <c r="H97">
        <v>0</v>
      </c>
      <c r="I97">
        <v>0</v>
      </c>
    </row>
    <row r="98" spans="2:9">
      <c r="B98" t="s">
        <v>1238</v>
      </c>
      <c r="C98">
        <v>0.41959999999999997</v>
      </c>
      <c r="D98">
        <v>0.41959999999999997</v>
      </c>
      <c r="E98" t="s">
        <v>1156</v>
      </c>
      <c r="F98">
        <v>0</v>
      </c>
      <c r="G98">
        <v>0</v>
      </c>
      <c r="H98">
        <v>4.1959999999999997E-2</v>
      </c>
      <c r="I98">
        <v>0</v>
      </c>
    </row>
    <row r="99" spans="2:9">
      <c r="B99" t="s">
        <v>1239</v>
      </c>
      <c r="C99">
        <v>1771.3037138098055</v>
      </c>
      <c r="D99">
        <v>1771.3037405</v>
      </c>
      <c r="E99" t="s">
        <v>1156</v>
      </c>
      <c r="F99">
        <v>-3.0088001505376423E-7</v>
      </c>
      <c r="G99">
        <v>-1.5068107143283957E-7</v>
      </c>
      <c r="H99">
        <v>177.13037405</v>
      </c>
      <c r="I99">
        <v>88.707103196549539</v>
      </c>
    </row>
    <row r="100" spans="2:9">
      <c r="B100" t="s">
        <v>1240</v>
      </c>
      <c r="C100">
        <v>0.37367426675211463</v>
      </c>
      <c r="D100">
        <v>0.37367430000000001</v>
      </c>
      <c r="E100" t="s">
        <v>1156</v>
      </c>
      <c r="F100">
        <v>0</v>
      </c>
      <c r="G100">
        <v>-8.8975574154486729E-7</v>
      </c>
      <c r="H100">
        <v>3.736743E-2</v>
      </c>
      <c r="I100">
        <v>7.1025081553772882E-5</v>
      </c>
    </row>
    <row r="101" spans="2:9">
      <c r="B101" t="s">
        <v>1241</v>
      </c>
      <c r="C101">
        <v>0</v>
      </c>
      <c r="D101">
        <v>0</v>
      </c>
      <c r="E101" t="s">
        <v>1161</v>
      </c>
      <c r="F101">
        <v>0</v>
      </c>
      <c r="G101">
        <v>0</v>
      </c>
      <c r="H101">
        <v>0</v>
      </c>
      <c r="I101">
        <v>0</v>
      </c>
    </row>
    <row r="102" spans="2:9">
      <c r="B102" t="s">
        <v>1242</v>
      </c>
      <c r="C102">
        <v>0.30489260000000001</v>
      </c>
      <c r="D102">
        <v>0.30489260000000001</v>
      </c>
      <c r="E102" t="s">
        <v>1156</v>
      </c>
      <c r="F102">
        <v>0</v>
      </c>
      <c r="G102">
        <v>0</v>
      </c>
      <c r="H102">
        <v>3.0489260000000001E-2</v>
      </c>
      <c r="I102">
        <v>2.1559162499359758E-2</v>
      </c>
    </row>
    <row r="103" spans="2:9">
      <c r="B103" t="s">
        <v>1243</v>
      </c>
      <c r="C103">
        <v>1771.3037138098055</v>
      </c>
      <c r="D103">
        <v>1771.3037405</v>
      </c>
      <c r="E103" t="s">
        <v>1156</v>
      </c>
      <c r="F103">
        <v>-3.0088001505376423E-7</v>
      </c>
      <c r="G103">
        <v>-1.5068107143283957E-7</v>
      </c>
      <c r="H103">
        <v>177.13037405</v>
      </c>
      <c r="I103">
        <v>88.707103196549554</v>
      </c>
    </row>
    <row r="104" spans="2:9">
      <c r="B104" t="s">
        <v>1244</v>
      </c>
      <c r="C104">
        <v>0.37367426675211463</v>
      </c>
      <c r="D104">
        <v>0.37367430000000001</v>
      </c>
      <c r="E104" t="s">
        <v>1156</v>
      </c>
      <c r="F104">
        <v>0</v>
      </c>
      <c r="G104">
        <v>-8.8975574154486729E-7</v>
      </c>
      <c r="H104">
        <v>3.736743E-2</v>
      </c>
      <c r="I104">
        <v>7.1024955527355702E-5</v>
      </c>
    </row>
    <row r="105" spans="2:9">
      <c r="B105" t="s">
        <v>1245</v>
      </c>
      <c r="C105">
        <v>0</v>
      </c>
      <c r="D105">
        <v>0</v>
      </c>
      <c r="E105" t="s">
        <v>1161</v>
      </c>
      <c r="F105">
        <v>0</v>
      </c>
      <c r="G105">
        <v>0</v>
      </c>
      <c r="H105">
        <v>0</v>
      </c>
      <c r="I105">
        <v>0</v>
      </c>
    </row>
    <row r="106" spans="2:9">
      <c r="B106" t="s">
        <v>1246</v>
      </c>
      <c r="C106">
        <v>0.3216</v>
      </c>
      <c r="D106">
        <v>0.3216</v>
      </c>
      <c r="E106" t="s">
        <v>1156</v>
      </c>
      <c r="F106">
        <v>0</v>
      </c>
      <c r="G106">
        <v>0</v>
      </c>
      <c r="H106">
        <v>3.2160000000000001E-2</v>
      </c>
      <c r="I106">
        <v>2.2740554082959372E-2</v>
      </c>
    </row>
    <row r="107" spans="2:9">
      <c r="B107" t="s">
        <v>1247</v>
      </c>
      <c r="C107">
        <v>0</v>
      </c>
      <c r="D107">
        <v>0</v>
      </c>
      <c r="E107" t="s">
        <v>1161</v>
      </c>
      <c r="F107">
        <v>0</v>
      </c>
      <c r="G107">
        <v>0</v>
      </c>
      <c r="H107">
        <v>0</v>
      </c>
      <c r="I107">
        <v>0</v>
      </c>
    </row>
    <row r="108" spans="2:9">
      <c r="B108" t="s">
        <v>1248</v>
      </c>
      <c r="C108">
        <v>0.37247654969142308</v>
      </c>
      <c r="D108">
        <v>0.37247659999999999</v>
      </c>
      <c r="E108" t="s">
        <v>1156</v>
      </c>
      <c r="F108">
        <v>-3.8157389034289063E-4</v>
      </c>
      <c r="G108">
        <v>-1.3506506694771901E-6</v>
      </c>
      <c r="H108">
        <v>3.7247660000000002E-2</v>
      </c>
      <c r="I108">
        <v>1.3184491441552872E-4</v>
      </c>
    </row>
    <row r="109" spans="2:9">
      <c r="B109" t="s">
        <v>1249</v>
      </c>
      <c r="C109">
        <v>0.45278775510033453</v>
      </c>
      <c r="D109">
        <v>0.45278770000000002</v>
      </c>
      <c r="E109" t="s">
        <v>1156</v>
      </c>
      <c r="F109">
        <v>1.8583123987723376E-4</v>
      </c>
      <c r="G109">
        <v>1.2169132358780365E-6</v>
      </c>
      <c r="H109">
        <v>4.5278770000000003E-2</v>
      </c>
      <c r="I109">
        <v>2.9650738247066777E-4</v>
      </c>
    </row>
    <row r="110" spans="2:9">
      <c r="B110" t="s">
        <v>1250</v>
      </c>
      <c r="C110">
        <v>0.53920000000000001</v>
      </c>
      <c r="D110">
        <v>0.53920000000000001</v>
      </c>
      <c r="E110" t="s">
        <v>1156</v>
      </c>
      <c r="F110">
        <v>0</v>
      </c>
      <c r="G110">
        <v>0</v>
      </c>
      <c r="H110">
        <v>5.3920000000000003E-2</v>
      </c>
      <c r="I110">
        <v>3.8127197641578639E-2</v>
      </c>
    </row>
    <row r="111" spans="2:9">
      <c r="B111" t="s">
        <v>1251</v>
      </c>
      <c r="C111">
        <v>0.44257865250220579</v>
      </c>
      <c r="D111">
        <v>0.44257859999999999</v>
      </c>
      <c r="E111" t="s">
        <v>1156</v>
      </c>
      <c r="F111">
        <v>2.8236623089360186E-4</v>
      </c>
      <c r="G111">
        <v>1.1862798112042697E-6</v>
      </c>
      <c r="H111">
        <v>4.4257860000000003E-2</v>
      </c>
      <c r="I111">
        <v>1.8593656061120252E-4</v>
      </c>
    </row>
    <row r="112" spans="2:9">
      <c r="B112" t="s">
        <v>1252</v>
      </c>
      <c r="C112">
        <v>0.51060000000000005</v>
      </c>
      <c r="D112">
        <v>0.51060000000000005</v>
      </c>
      <c r="E112" t="s">
        <v>1156</v>
      </c>
      <c r="F112">
        <v>0</v>
      </c>
      <c r="G112">
        <v>0</v>
      </c>
      <c r="H112">
        <v>5.1060000000000001E-2</v>
      </c>
      <c r="I112">
        <v>3.6104872247385109E-2</v>
      </c>
    </row>
    <row r="113" spans="2:9">
      <c r="B113" t="s">
        <v>1253</v>
      </c>
      <c r="C113">
        <v>0.45278775510033453</v>
      </c>
      <c r="D113">
        <v>0.45278770000000002</v>
      </c>
      <c r="E113" t="s">
        <v>1156</v>
      </c>
      <c r="F113">
        <v>1.8583125879424655E-4</v>
      </c>
      <c r="G113">
        <v>1.2169132358780365E-6</v>
      </c>
      <c r="H113">
        <v>4.5278770000000003E-2</v>
      </c>
      <c r="I113">
        <v>2.9650735228718851E-4</v>
      </c>
    </row>
    <row r="114" spans="2:9">
      <c r="B114" t="s">
        <v>1254</v>
      </c>
      <c r="C114">
        <v>6386.6919303881377</v>
      </c>
      <c r="D114">
        <v>6386.6891825000002</v>
      </c>
      <c r="E114" t="s">
        <v>1156</v>
      </c>
      <c r="F114">
        <v>5.8443041393877852E-6</v>
      </c>
      <c r="G114">
        <v>4.3025236691042419E-6</v>
      </c>
      <c r="H114">
        <v>638.66891825000005</v>
      </c>
      <c r="I114">
        <v>470.18226155829046</v>
      </c>
    </row>
    <row r="115" spans="2:9">
      <c r="B115" t="s">
        <v>1255</v>
      </c>
      <c r="C115">
        <v>3.0994999999999998E-3</v>
      </c>
      <c r="D115">
        <v>3.0994999999999998E-3</v>
      </c>
      <c r="E115" t="s">
        <v>1156</v>
      </c>
      <c r="F115">
        <v>0</v>
      </c>
      <c r="G115">
        <v>0</v>
      </c>
      <c r="H115">
        <v>3.0995000000000003E-4</v>
      </c>
      <c r="I115">
        <v>0</v>
      </c>
    </row>
    <row r="116" spans="2:9">
      <c r="B116" t="s">
        <v>1256</v>
      </c>
      <c r="C116">
        <v>27689.409078333763</v>
      </c>
      <c r="D116">
        <v>27689.391790999998</v>
      </c>
      <c r="E116" t="s">
        <v>1156</v>
      </c>
      <c r="F116">
        <v>1.3644955217245734E-5</v>
      </c>
      <c r="G116">
        <v>6.2433057019130137E-6</v>
      </c>
      <c r="H116">
        <v>2768.9391790999998</v>
      </c>
      <c r="I116">
        <v>1266.9395750948354</v>
      </c>
    </row>
    <row r="117" spans="2:9">
      <c r="B117" t="s">
        <v>1257</v>
      </c>
      <c r="C117">
        <v>3.0994999999999998E-3</v>
      </c>
      <c r="D117">
        <v>3.0994999999999998E-3</v>
      </c>
      <c r="E117" t="s">
        <v>1156</v>
      </c>
      <c r="F117">
        <v>0</v>
      </c>
      <c r="G117">
        <v>0</v>
      </c>
      <c r="H117">
        <v>3.0995000000000003E-4</v>
      </c>
      <c r="I117">
        <v>0</v>
      </c>
    </row>
    <row r="118" spans="2:9">
      <c r="B118" t="s">
        <v>1258</v>
      </c>
      <c r="C118">
        <v>22039.520695306364</v>
      </c>
      <c r="D118">
        <v>22039.5212842</v>
      </c>
      <c r="E118" t="s">
        <v>1156</v>
      </c>
      <c r="F118">
        <v>-5.274210186609102E-7</v>
      </c>
      <c r="G118">
        <v>-2.671989233017131E-7</v>
      </c>
      <c r="H118">
        <v>2203.95212842</v>
      </c>
      <c r="I118">
        <v>1116.5532181813837</v>
      </c>
    </row>
    <row r="119" spans="2:9">
      <c r="B119" t="s">
        <v>1259</v>
      </c>
      <c r="C119">
        <v>3.0994999999999998E-3</v>
      </c>
      <c r="D119">
        <v>3.0994999999999998E-3</v>
      </c>
      <c r="E119" t="s">
        <v>1156</v>
      </c>
      <c r="F119">
        <v>0</v>
      </c>
      <c r="G119">
        <v>0</v>
      </c>
      <c r="H119">
        <v>3.0995000000000003E-4</v>
      </c>
      <c r="I119">
        <v>0</v>
      </c>
    </row>
    <row r="120" spans="2:9">
      <c r="B120" t="s">
        <v>1260</v>
      </c>
      <c r="C120">
        <v>56115.621704028265</v>
      </c>
      <c r="D120">
        <v>56115.602257600003</v>
      </c>
      <c r="E120" t="s">
        <v>1156</v>
      </c>
      <c r="F120">
        <v>1.630910986611764E-5</v>
      </c>
      <c r="G120">
        <v>3.4654227129240364E-6</v>
      </c>
      <c r="H120">
        <v>5611.5602257600003</v>
      </c>
      <c r="I120">
        <v>1192.3660102192341</v>
      </c>
    </row>
    <row r="121" spans="2:9">
      <c r="B121" t="s">
        <v>1261</v>
      </c>
      <c r="C121">
        <v>3.0994999999999998E-3</v>
      </c>
      <c r="D121">
        <v>3.0994999999999998E-3</v>
      </c>
      <c r="E121" t="s">
        <v>1161</v>
      </c>
      <c r="F121">
        <v>0</v>
      </c>
      <c r="G121">
        <v>0</v>
      </c>
      <c r="H121">
        <v>0</v>
      </c>
      <c r="I121">
        <v>0</v>
      </c>
    </row>
    <row r="122" spans="2:9">
      <c r="B122" t="s">
        <v>1262</v>
      </c>
      <c r="C122">
        <v>2.8654906320044731</v>
      </c>
      <c r="D122">
        <v>2.8654912000000001</v>
      </c>
      <c r="E122" t="s">
        <v>1156</v>
      </c>
      <c r="F122">
        <v>-6.8535079793162388E-6</v>
      </c>
      <c r="G122">
        <v>-1.9821925366811558E-6</v>
      </c>
      <c r="H122">
        <v>0.28654911999999999</v>
      </c>
      <c r="I122">
        <v>8.2876612790231355E-2</v>
      </c>
    </row>
    <row r="123" spans="2:9">
      <c r="B123" t="s">
        <v>1263</v>
      </c>
      <c r="C123">
        <v>2.8654906320044731</v>
      </c>
      <c r="D123">
        <v>2.8654912000000001</v>
      </c>
      <c r="E123" t="s">
        <v>1156</v>
      </c>
      <c r="F123">
        <v>-6.8535079793162388E-6</v>
      </c>
      <c r="G123">
        <v>-1.9821925366811558E-6</v>
      </c>
      <c r="H123">
        <v>0.28654911999999999</v>
      </c>
      <c r="I123">
        <v>8.2876612790231355E-2</v>
      </c>
    </row>
    <row r="124" spans="2:9">
      <c r="B124" t="s">
        <v>1264</v>
      </c>
      <c r="C124">
        <v>2.8654906320044731</v>
      </c>
      <c r="D124">
        <v>2.8654912000000001</v>
      </c>
      <c r="E124" t="s">
        <v>1156</v>
      </c>
      <c r="F124">
        <v>-6.8535079793162388E-6</v>
      </c>
      <c r="G124">
        <v>-1.9821925366811558E-6</v>
      </c>
      <c r="H124">
        <v>0.28654911999999999</v>
      </c>
      <c r="I124">
        <v>8.2876612790231355E-2</v>
      </c>
    </row>
    <row r="125" spans="2:9">
      <c r="B125" t="s">
        <v>1265</v>
      </c>
      <c r="C125">
        <v>2.8654906320044731</v>
      </c>
      <c r="D125">
        <v>2.8654912000000001</v>
      </c>
      <c r="E125" t="s">
        <v>1156</v>
      </c>
      <c r="F125">
        <v>-6.8535079793162388E-6</v>
      </c>
      <c r="G125">
        <v>-1.9821925366811558E-6</v>
      </c>
      <c r="H125">
        <v>0.28654911999999999</v>
      </c>
      <c r="I125">
        <v>8.2876612790231355E-2</v>
      </c>
    </row>
    <row r="126" spans="2:9">
      <c r="B126" t="s">
        <v>1266</v>
      </c>
      <c r="C126">
        <v>58620.156938653941</v>
      </c>
      <c r="D126">
        <v>58620.139808699998</v>
      </c>
      <c r="E126" t="s">
        <v>1156</v>
      </c>
      <c r="F126">
        <v>1.3752555613334519E-5</v>
      </c>
      <c r="G126">
        <v>2.92219602328981E-6</v>
      </c>
      <c r="H126">
        <v>5862.0139808699996</v>
      </c>
      <c r="I126">
        <v>1245.5833246555519</v>
      </c>
    </row>
    <row r="127" spans="2:9">
      <c r="B127" t="s">
        <v>1267</v>
      </c>
      <c r="C127">
        <v>1.8898700000000001E-2</v>
      </c>
      <c r="D127">
        <v>1.8898700000000001E-2</v>
      </c>
      <c r="E127" t="s">
        <v>1161</v>
      </c>
      <c r="F127">
        <v>0</v>
      </c>
      <c r="G127">
        <v>0</v>
      </c>
      <c r="H127">
        <v>0</v>
      </c>
      <c r="I127">
        <v>0</v>
      </c>
    </row>
    <row r="128" spans="2:9">
      <c r="B128" t="s">
        <v>1268</v>
      </c>
      <c r="C128">
        <v>253.91860838921988</v>
      </c>
      <c r="D128">
        <v>253.91860819999999</v>
      </c>
      <c r="E128" t="s">
        <v>1156</v>
      </c>
      <c r="F128">
        <v>7.5119121602701262E-9</v>
      </c>
      <c r="G128">
        <v>7.4519898669953955E-9</v>
      </c>
      <c r="H128">
        <v>25.391860820000002</v>
      </c>
      <c r="I128">
        <v>25.189310723781563</v>
      </c>
    </row>
    <row r="129" spans="2:9">
      <c r="B129" t="s">
        <v>1269</v>
      </c>
      <c r="C129">
        <v>463.89691073156871</v>
      </c>
      <c r="D129">
        <v>463.89691010000001</v>
      </c>
      <c r="E129" t="s">
        <v>1156</v>
      </c>
      <c r="F129">
        <v>1.3990486390037987E-8</v>
      </c>
      <c r="G129">
        <v>1.3614419114620639E-8</v>
      </c>
      <c r="H129">
        <v>46.38969101</v>
      </c>
      <c r="I129">
        <v>45.142726164088309</v>
      </c>
    </row>
    <row r="130" spans="2:9">
      <c r="B130" t="s">
        <v>1270</v>
      </c>
      <c r="C130">
        <v>605.09418172371932</v>
      </c>
      <c r="D130">
        <v>605.09418119999998</v>
      </c>
      <c r="E130" t="s">
        <v>1271</v>
      </c>
      <c r="F130">
        <v>8.6553861399045636E-9</v>
      </c>
      <c r="G130">
        <v>8.6551705935123118E-9</v>
      </c>
      <c r="H130">
        <v>60.509418119999999</v>
      </c>
      <c r="I130">
        <v>60.507911244793945</v>
      </c>
    </row>
    <row r="131" spans="2:9">
      <c r="B131" t="s">
        <v>1272</v>
      </c>
      <c r="C131">
        <v>2.6943581507929664</v>
      </c>
      <c r="D131">
        <v>2.6943586000000002</v>
      </c>
      <c r="E131" t="s">
        <v>1156</v>
      </c>
      <c r="F131">
        <v>-5.7211037633420094E-6</v>
      </c>
      <c r="G131">
        <v>-1.6672132424855244E-6</v>
      </c>
      <c r="H131">
        <v>0.26943586000000003</v>
      </c>
      <c r="I131">
        <v>7.8517547028384857E-2</v>
      </c>
    </row>
    <row r="132" spans="2:9">
      <c r="B132" t="s">
        <v>1273</v>
      </c>
      <c r="C132">
        <v>157.71617747300124</v>
      </c>
      <c r="D132">
        <v>157.71617739999999</v>
      </c>
      <c r="E132" t="s">
        <v>1156</v>
      </c>
      <c r="F132">
        <v>4.6429001927561621E-9</v>
      </c>
      <c r="G132">
        <v>4.6286466702762593E-9</v>
      </c>
      <c r="H132">
        <v>15.77161774</v>
      </c>
      <c r="I132">
        <v>15.723199488762926</v>
      </c>
    </row>
    <row r="133" spans="2:9">
      <c r="B133" t="s">
        <v>1274</v>
      </c>
      <c r="C133">
        <v>5148.3941379136731</v>
      </c>
      <c r="D133">
        <v>5148.3941000000004</v>
      </c>
      <c r="E133" t="s">
        <v>1156</v>
      </c>
      <c r="F133">
        <v>7.3774866439370483E-8</v>
      </c>
      <c r="G133">
        <v>7.3641745322740563E-8</v>
      </c>
      <c r="H133">
        <v>514.83941000000004</v>
      </c>
      <c r="I133">
        <v>513.9104215727474</v>
      </c>
    </row>
    <row r="134" spans="2:9">
      <c r="B134" t="s">
        <v>1275</v>
      </c>
      <c r="C134">
        <v>0</v>
      </c>
      <c r="D134">
        <v>0</v>
      </c>
      <c r="E134" t="s">
        <v>1161</v>
      </c>
      <c r="F134">
        <v>0</v>
      </c>
      <c r="G134">
        <v>0</v>
      </c>
      <c r="H134">
        <v>0</v>
      </c>
      <c r="I134">
        <v>0</v>
      </c>
    </row>
    <row r="135" spans="2:9">
      <c r="B135" t="s">
        <v>1276</v>
      </c>
      <c r="C135">
        <v>0</v>
      </c>
      <c r="D135">
        <v>0</v>
      </c>
      <c r="E135" t="s">
        <v>1161</v>
      </c>
      <c r="F135">
        <v>0</v>
      </c>
      <c r="G135">
        <v>0</v>
      </c>
      <c r="H135">
        <v>0</v>
      </c>
      <c r="I135">
        <v>0</v>
      </c>
    </row>
    <row r="136" spans="2:9">
      <c r="B136" t="s">
        <v>1277</v>
      </c>
      <c r="C136">
        <v>2481.5069074081207</v>
      </c>
      <c r="D136">
        <v>2481.5068986000001</v>
      </c>
      <c r="E136" t="s">
        <v>1156</v>
      </c>
      <c r="F136">
        <v>3.5509923344178071E-8</v>
      </c>
      <c r="G136">
        <v>3.5495047739319857E-8</v>
      </c>
      <c r="H136">
        <v>248.15068986</v>
      </c>
      <c r="I136">
        <v>248.04673605610489</v>
      </c>
    </row>
    <row r="137" spans="2:9">
      <c r="B137" t="s">
        <v>1278</v>
      </c>
      <c r="C137">
        <v>0</v>
      </c>
      <c r="D137">
        <v>0</v>
      </c>
      <c r="E137" t="s">
        <v>1161</v>
      </c>
      <c r="F137">
        <v>0</v>
      </c>
      <c r="G137">
        <v>0</v>
      </c>
      <c r="H137">
        <v>0</v>
      </c>
      <c r="I137">
        <v>0</v>
      </c>
    </row>
    <row r="138" spans="2:9">
      <c r="B138" t="s">
        <v>1279</v>
      </c>
      <c r="C138">
        <v>248.13664728070054</v>
      </c>
      <c r="D138">
        <v>248.1366471</v>
      </c>
      <c r="E138" t="s">
        <v>1156</v>
      </c>
      <c r="F138">
        <v>7.3381904306291659E-9</v>
      </c>
      <c r="G138">
        <v>7.2822995348861006E-9</v>
      </c>
      <c r="H138">
        <v>24.813664710000001</v>
      </c>
      <c r="I138">
        <v>24.624672892409478</v>
      </c>
    </row>
    <row r="139" spans="2:9">
      <c r="B139" t="s">
        <v>1280</v>
      </c>
      <c r="C139">
        <v>0</v>
      </c>
      <c r="D139">
        <v>0</v>
      </c>
      <c r="E139" t="s">
        <v>1161</v>
      </c>
      <c r="F139">
        <v>0</v>
      </c>
      <c r="G139">
        <v>0</v>
      </c>
      <c r="H139">
        <v>0</v>
      </c>
      <c r="I139">
        <v>0</v>
      </c>
    </row>
    <row r="140" spans="2:9">
      <c r="B140" t="s">
        <v>1281</v>
      </c>
      <c r="C140">
        <v>22362.388486126776</v>
      </c>
      <c r="D140">
        <v>22362.388009800001</v>
      </c>
      <c r="E140" t="s">
        <v>1156</v>
      </c>
      <c r="F140">
        <v>4.3378019716095874E-7</v>
      </c>
      <c r="G140">
        <v>2.1300353747265194E-7</v>
      </c>
      <c r="H140">
        <v>2236.2388009800002</v>
      </c>
      <c r="I140">
        <v>1098.0832651187061</v>
      </c>
    </row>
    <row r="141" spans="2:9">
      <c r="B141" t="s">
        <v>1282</v>
      </c>
      <c r="C141">
        <v>6731.53541662106</v>
      </c>
      <c r="D141">
        <v>6731.5353421</v>
      </c>
      <c r="E141" t="s">
        <v>1156</v>
      </c>
      <c r="F141">
        <v>1.1613388228384938E-7</v>
      </c>
      <c r="G141">
        <v>1.107044028251785E-7</v>
      </c>
      <c r="H141">
        <v>673.15353420999998</v>
      </c>
      <c r="I141">
        <v>641.68232860962394</v>
      </c>
    </row>
    <row r="142" spans="2:9">
      <c r="B142" t="s">
        <v>1283</v>
      </c>
      <c r="C142">
        <v>15630.853069505711</v>
      </c>
      <c r="D142">
        <v>15630.852667700001</v>
      </c>
      <c r="E142" t="s">
        <v>1156</v>
      </c>
      <c r="F142">
        <v>3.6079527366027098E-7</v>
      </c>
      <c r="G142">
        <v>2.5705936733784124E-7</v>
      </c>
      <c r="H142">
        <v>1563.0852667700001</v>
      </c>
      <c r="I142">
        <v>1113.6667775458222</v>
      </c>
    </row>
    <row r="143" spans="2:9">
      <c r="B143" t="s">
        <v>1284</v>
      </c>
      <c r="C143">
        <v>58620.156938653941</v>
      </c>
      <c r="D143">
        <v>58620.139808699998</v>
      </c>
      <c r="E143" t="s">
        <v>1156</v>
      </c>
      <c r="F143">
        <v>1.375255561333452E-5</v>
      </c>
      <c r="G143">
        <v>2.92219602328981E-6</v>
      </c>
      <c r="H143">
        <v>5862.0139808699996</v>
      </c>
      <c r="I143">
        <v>1245.5833246555517</v>
      </c>
    </row>
    <row r="144" spans="2:9">
      <c r="B144" t="s">
        <v>1285</v>
      </c>
      <c r="C144">
        <v>1.8898700000000001E-2</v>
      </c>
      <c r="D144">
        <v>1.8898700000000001E-2</v>
      </c>
      <c r="E144" t="s">
        <v>1156</v>
      </c>
      <c r="F144">
        <v>0</v>
      </c>
      <c r="G144">
        <v>0</v>
      </c>
      <c r="H144">
        <v>1.8898700000000001E-3</v>
      </c>
      <c r="I144">
        <v>4.0429779753323457E-9</v>
      </c>
    </row>
    <row r="145" spans="2:9">
      <c r="B145" t="s">
        <v>1286</v>
      </c>
      <c r="C145">
        <v>58620.156938653941</v>
      </c>
      <c r="D145">
        <v>58620.139808699998</v>
      </c>
      <c r="E145" t="s">
        <v>1156</v>
      </c>
      <c r="F145">
        <v>1.3752555613334524E-5</v>
      </c>
      <c r="G145">
        <v>2.92219602328981E-6</v>
      </c>
      <c r="H145">
        <v>5862.0139808699996</v>
      </c>
      <c r="I145">
        <v>1245.5833246555515</v>
      </c>
    </row>
    <row r="146" spans="2:9">
      <c r="B146" t="s">
        <v>1287</v>
      </c>
      <c r="C146">
        <v>1.8898700000000001E-2</v>
      </c>
      <c r="D146">
        <v>1.8898700000000001E-2</v>
      </c>
      <c r="E146" t="s">
        <v>1156</v>
      </c>
      <c r="F146">
        <v>0</v>
      </c>
      <c r="G146">
        <v>0</v>
      </c>
      <c r="H146">
        <v>1.8898700000000001E-3</v>
      </c>
      <c r="I146">
        <v>5.7176342850841762E-9</v>
      </c>
    </row>
    <row r="147" spans="2:9">
      <c r="B147" t="s">
        <v>1288</v>
      </c>
      <c r="C147">
        <v>1.6232731135401459</v>
      </c>
      <c r="D147">
        <v>1.6232734</v>
      </c>
      <c r="E147" t="s">
        <v>1156</v>
      </c>
      <c r="F147">
        <v>-4.2127227982243217E-6</v>
      </c>
      <c r="G147">
        <v>-1.7647049108285058E-6</v>
      </c>
      <c r="H147">
        <v>0.16232733999999999</v>
      </c>
      <c r="I147">
        <v>6.7998742803697512E-2</v>
      </c>
    </row>
    <row r="148" spans="2:9">
      <c r="B148" t="s">
        <v>1289</v>
      </c>
      <c r="C148">
        <v>3.0899400506937159E-2</v>
      </c>
      <c r="D148">
        <v>3.08994E-2</v>
      </c>
      <c r="E148" t="s">
        <v>1156</v>
      </c>
      <c r="F148">
        <v>1.6413049792141195E-7</v>
      </c>
      <c r="G148">
        <v>1.6406051862406823E-7</v>
      </c>
      <c r="H148">
        <v>3.0899399999999998E-3</v>
      </c>
      <c r="I148">
        <v>3.0886225615423535E-3</v>
      </c>
    </row>
    <row r="149" spans="2:9">
      <c r="B149" t="s">
        <v>1290</v>
      </c>
      <c r="C149">
        <v>0</v>
      </c>
      <c r="D149">
        <v>0</v>
      </c>
      <c r="E149" t="s">
        <v>1161</v>
      </c>
      <c r="F149">
        <v>0</v>
      </c>
      <c r="G149">
        <v>0</v>
      </c>
      <c r="H149">
        <v>0</v>
      </c>
      <c r="I149">
        <v>0</v>
      </c>
    </row>
    <row r="150" spans="2:9">
      <c r="B150" t="s">
        <v>1291</v>
      </c>
      <c r="C150">
        <v>0</v>
      </c>
      <c r="D150">
        <v>0</v>
      </c>
      <c r="E150" t="s">
        <v>1161</v>
      </c>
      <c r="F150">
        <v>0</v>
      </c>
      <c r="G150">
        <v>0</v>
      </c>
      <c r="H150">
        <v>0</v>
      </c>
      <c r="I150">
        <v>0</v>
      </c>
    </row>
    <row r="151" spans="2:9">
      <c r="B151" t="s">
        <v>1292</v>
      </c>
      <c r="C151">
        <v>14651.831890698824</v>
      </c>
      <c r="D151">
        <v>14651.8309589</v>
      </c>
      <c r="E151" t="s">
        <v>1156</v>
      </c>
      <c r="F151">
        <v>6.4701706812877684E-7</v>
      </c>
      <c r="G151">
        <v>6.3596067061782422E-7</v>
      </c>
      <c r="H151">
        <v>1465.18309589</v>
      </c>
      <c r="I151">
        <v>1440.1456625169692</v>
      </c>
    </row>
    <row r="152" spans="2:9">
      <c r="B152" t="s">
        <v>1293</v>
      </c>
      <c r="C152">
        <v>893.28649626353763</v>
      </c>
      <c r="D152">
        <v>893.28649280000002</v>
      </c>
      <c r="E152" t="s">
        <v>1271</v>
      </c>
      <c r="F152">
        <v>3.8775418355019754E-8</v>
      </c>
      <c r="G152">
        <v>3.8772976391352282E-8</v>
      </c>
      <c r="H152">
        <v>89.328649279999993</v>
      </c>
      <c r="I152">
        <v>89.323023620103584</v>
      </c>
    </row>
    <row r="153" spans="2:9">
      <c r="B153" t="s">
        <v>1294</v>
      </c>
      <c r="C153">
        <v>266.76222061593518</v>
      </c>
      <c r="D153">
        <v>266.7622202</v>
      </c>
      <c r="E153" t="s">
        <v>1156</v>
      </c>
      <c r="F153">
        <v>1.5730558558214272E-8</v>
      </c>
      <c r="G153">
        <v>1.5591982094287359E-8</v>
      </c>
      <c r="H153">
        <v>26.676222020000001</v>
      </c>
      <c r="I153">
        <v>26.44122105008654</v>
      </c>
    </row>
    <row r="154" spans="2:9">
      <c r="B154" t="s">
        <v>1295</v>
      </c>
      <c r="C154">
        <v>0</v>
      </c>
      <c r="D154">
        <v>0</v>
      </c>
      <c r="E154" t="s">
        <v>1161</v>
      </c>
      <c r="F154">
        <v>0</v>
      </c>
      <c r="G154">
        <v>0</v>
      </c>
      <c r="H154">
        <v>0</v>
      </c>
      <c r="I154">
        <v>0</v>
      </c>
    </row>
    <row r="155" spans="2:9">
      <c r="B155" t="s">
        <v>1296</v>
      </c>
      <c r="C155">
        <v>194.48565422108132</v>
      </c>
      <c r="D155">
        <v>194.48565400000001</v>
      </c>
      <c r="E155" t="s">
        <v>1156</v>
      </c>
      <c r="F155">
        <v>1.1420853213393271E-8</v>
      </c>
      <c r="G155">
        <v>1.136748666959809E-8</v>
      </c>
      <c r="H155">
        <v>19.4485654</v>
      </c>
      <c r="I155">
        <v>19.357687538444488</v>
      </c>
    </row>
    <row r="156" spans="2:9">
      <c r="B156" t="s">
        <v>1297</v>
      </c>
      <c r="C156">
        <v>189.03318040885893</v>
      </c>
      <c r="D156">
        <v>189.0331802</v>
      </c>
      <c r="E156" t="s">
        <v>1156</v>
      </c>
      <c r="F156">
        <v>1.1097780547772217E-8</v>
      </c>
      <c r="G156">
        <v>1.1048796885711176E-8</v>
      </c>
      <c r="H156">
        <v>18.90331802</v>
      </c>
      <c r="I156">
        <v>18.819882080918475</v>
      </c>
    </row>
    <row r="157" spans="2:9">
      <c r="B157" t="s">
        <v>1298</v>
      </c>
      <c r="C157">
        <v>28906.407261324082</v>
      </c>
      <c r="D157">
        <v>28906.403634499999</v>
      </c>
      <c r="E157" t="s">
        <v>1156</v>
      </c>
      <c r="F157">
        <v>1.3466184919207113E-6</v>
      </c>
      <c r="G157">
        <v>1.2546784199188626E-6</v>
      </c>
      <c r="H157">
        <v>2890.6403634500002</v>
      </c>
      <c r="I157">
        <v>2693.282548492346</v>
      </c>
    </row>
    <row r="158" spans="2:9">
      <c r="B158" t="s">
        <v>1299</v>
      </c>
      <c r="C158">
        <v>189.03318040885893</v>
      </c>
      <c r="D158">
        <v>189.0331802</v>
      </c>
      <c r="E158" t="s">
        <v>1156</v>
      </c>
      <c r="F158">
        <v>1.1097780547772214E-8</v>
      </c>
      <c r="G158">
        <v>1.1048796885711176E-8</v>
      </c>
      <c r="H158">
        <v>18.90331802</v>
      </c>
      <c r="I158">
        <v>18.819882080918482</v>
      </c>
    </row>
    <row r="159" spans="2:9">
      <c r="B159" t="s">
        <v>1300</v>
      </c>
      <c r="C159">
        <v>-84.795708157973337</v>
      </c>
      <c r="D159">
        <v>-84.795708200000007</v>
      </c>
      <c r="E159" t="s">
        <v>1271</v>
      </c>
      <c r="F159">
        <v>4.96062410101669E-9</v>
      </c>
      <c r="G159">
        <v>4.2026670143968659E-4</v>
      </c>
      <c r="H159">
        <v>-8.4795708199999993</v>
      </c>
      <c r="I159">
        <v>8.472052969172811</v>
      </c>
    </row>
    <row r="160" spans="2:9">
      <c r="B160" t="s">
        <v>1301</v>
      </c>
      <c r="C160">
        <v>29976.929686930569</v>
      </c>
      <c r="D160">
        <v>29976.9257865</v>
      </c>
      <c r="E160" t="s">
        <v>1156</v>
      </c>
      <c r="F160">
        <v>1.4045614442917423E-6</v>
      </c>
      <c r="G160">
        <v>1.3011442857170565E-6</v>
      </c>
      <c r="H160">
        <v>2997.6925786500001</v>
      </c>
      <c r="I160">
        <v>2776.9739692760031</v>
      </c>
    </row>
    <row r="161" spans="2:9">
      <c r="B161" t="s">
        <v>1302</v>
      </c>
      <c r="C161">
        <v>18162.223100280047</v>
      </c>
      <c r="D161">
        <v>18162.221668499998</v>
      </c>
      <c r="E161" t="s">
        <v>1156</v>
      </c>
      <c r="F161">
        <v>8.0968914640745013E-7</v>
      </c>
      <c r="G161">
        <v>7.8832869395960504E-7</v>
      </c>
      <c r="H161">
        <v>1816.2221668499999</v>
      </c>
      <c r="I161">
        <v>1768.3083132410507</v>
      </c>
    </row>
    <row r="162" spans="2:9">
      <c r="B162" t="s">
        <v>1303</v>
      </c>
      <c r="C162">
        <v>62787.172978404356</v>
      </c>
      <c r="D162">
        <v>62787.163178199997</v>
      </c>
      <c r="E162" t="s">
        <v>1156</v>
      </c>
      <c r="F162">
        <v>2.1535790469897936E-6</v>
      </c>
      <c r="G162">
        <v>1.5608611479739417E-6</v>
      </c>
      <c r="H162">
        <v>6278.7163178199999</v>
      </c>
      <c r="I162">
        <v>4550.6592262464983</v>
      </c>
    </row>
    <row r="163" spans="2:9">
      <c r="B163" t="s">
        <v>1304</v>
      </c>
      <c r="C163">
        <v>699.99999639472503</v>
      </c>
      <c r="D163">
        <v>700</v>
      </c>
      <c r="E163" t="s">
        <v>1156</v>
      </c>
      <c r="F163">
        <v>-5.4464986221081231E-8</v>
      </c>
      <c r="G163">
        <v>-5.1503928131881236E-8</v>
      </c>
      <c r="H163">
        <v>70</v>
      </c>
      <c r="I163">
        <v>66.194361173568566</v>
      </c>
    </row>
    <row r="164" spans="2:9">
      <c r="B164" t="s">
        <v>1305</v>
      </c>
      <c r="C164">
        <v>0.37064396874194594</v>
      </c>
      <c r="D164">
        <v>0.37064399999999997</v>
      </c>
      <c r="E164" t="s">
        <v>1156</v>
      </c>
      <c r="F164">
        <v>-2.4390008971774728E-4</v>
      </c>
      <c r="G164">
        <v>-8.4334439607908073E-7</v>
      </c>
      <c r="H164">
        <v>3.7064399999999997E-2</v>
      </c>
      <c r="I164">
        <v>1.2815925598964222E-4</v>
      </c>
    </row>
    <row r="165" spans="2:9">
      <c r="B165" t="s">
        <v>1306</v>
      </c>
      <c r="C165">
        <v>1771.3037174150807</v>
      </c>
      <c r="D165">
        <v>1771.3037405</v>
      </c>
      <c r="E165" t="s">
        <v>1156</v>
      </c>
      <c r="F165">
        <v>-2.2942215584420045E-7</v>
      </c>
      <c r="G165">
        <v>-1.3032727713899548E-7</v>
      </c>
      <c r="H165">
        <v>177.13037405</v>
      </c>
      <c r="I165">
        <v>100.62201387482884</v>
      </c>
    </row>
    <row r="166" spans="2:9">
      <c r="B166" t="s">
        <v>1307</v>
      </c>
      <c r="C166">
        <v>0.37064396874194594</v>
      </c>
      <c r="D166">
        <v>0.37064399999999997</v>
      </c>
      <c r="E166" t="s">
        <v>1156</v>
      </c>
      <c r="F166">
        <v>-2.4390008971774733E-4</v>
      </c>
      <c r="G166">
        <v>-8.4334439607908073E-7</v>
      </c>
      <c r="H166">
        <v>3.7064399999999997E-2</v>
      </c>
      <c r="I166">
        <v>1.2815925598964219E-4</v>
      </c>
    </row>
    <row r="167" spans="2:9">
      <c r="B167" t="s">
        <v>1308</v>
      </c>
      <c r="C167">
        <v>700</v>
      </c>
      <c r="D167">
        <v>700</v>
      </c>
      <c r="E167" t="s">
        <v>1161</v>
      </c>
      <c r="F167">
        <v>0</v>
      </c>
      <c r="G167">
        <v>0</v>
      </c>
      <c r="H167">
        <v>0</v>
      </c>
      <c r="I167">
        <v>0</v>
      </c>
    </row>
    <row r="168" spans="2:9">
      <c r="B168" t="s">
        <v>1309</v>
      </c>
      <c r="C168">
        <v>0.36297600000000002</v>
      </c>
      <c r="D168">
        <v>0.36297600000000002</v>
      </c>
      <c r="E168" t="s">
        <v>1161</v>
      </c>
      <c r="F168">
        <v>0</v>
      </c>
      <c r="G168">
        <v>0</v>
      </c>
      <c r="H168">
        <v>0</v>
      </c>
      <c r="I168">
        <v>0</v>
      </c>
    </row>
    <row r="169" spans="2:9">
      <c r="B169" t="s">
        <v>1310</v>
      </c>
      <c r="C169">
        <v>0.45308671124467131</v>
      </c>
      <c r="D169">
        <v>0.45308670000000001</v>
      </c>
      <c r="E169" t="s">
        <v>1156</v>
      </c>
      <c r="F169">
        <v>5.2319138733430714E-5</v>
      </c>
      <c r="G169">
        <v>2.4817924042350968E-7</v>
      </c>
      <c r="H169">
        <v>4.5308670000000002E-2</v>
      </c>
      <c r="I169">
        <v>2.1492462562298215E-4</v>
      </c>
    </row>
    <row r="170" spans="2:9">
      <c r="B170" t="s">
        <v>1311</v>
      </c>
      <c r="C170">
        <v>0.45308671124467131</v>
      </c>
      <c r="D170">
        <v>0.45308670000000001</v>
      </c>
      <c r="E170" t="s">
        <v>1156</v>
      </c>
      <c r="F170">
        <v>5.2319138733430714E-5</v>
      </c>
      <c r="G170">
        <v>2.4817924042350968E-7</v>
      </c>
      <c r="H170">
        <v>4.5308670000000002E-2</v>
      </c>
      <c r="I170">
        <v>2.1492462562298215E-4</v>
      </c>
    </row>
    <row r="171" spans="2:9">
      <c r="B171" t="s">
        <v>1312</v>
      </c>
      <c r="C171">
        <v>0.4538432</v>
      </c>
      <c r="D171">
        <v>0.4538432</v>
      </c>
      <c r="E171" t="s">
        <v>1161</v>
      </c>
      <c r="F171">
        <v>0</v>
      </c>
      <c r="G171">
        <v>0</v>
      </c>
      <c r="H171">
        <v>0</v>
      </c>
      <c r="I171">
        <v>0</v>
      </c>
    </row>
    <row r="172" spans="2:9">
      <c r="B172" t="s">
        <v>1313</v>
      </c>
      <c r="C172">
        <v>0</v>
      </c>
      <c r="D172">
        <v>0</v>
      </c>
      <c r="E172" t="s">
        <v>1161</v>
      </c>
      <c r="F172">
        <v>0</v>
      </c>
      <c r="G172">
        <v>0</v>
      </c>
      <c r="H172">
        <v>0</v>
      </c>
      <c r="I172">
        <v>0</v>
      </c>
    </row>
    <row r="173" spans="2:9">
      <c r="B173" t="s">
        <v>1314</v>
      </c>
      <c r="C173">
        <v>0</v>
      </c>
      <c r="D173">
        <v>0</v>
      </c>
      <c r="E173" t="s">
        <v>1161</v>
      </c>
      <c r="F173">
        <v>0</v>
      </c>
      <c r="G173">
        <v>0</v>
      </c>
      <c r="H173">
        <v>0</v>
      </c>
      <c r="I173">
        <v>0</v>
      </c>
    </row>
    <row r="174" spans="2:9">
      <c r="B174" t="s">
        <v>1315</v>
      </c>
      <c r="C174">
        <v>0</v>
      </c>
      <c r="D174">
        <v>0</v>
      </c>
      <c r="E174" t="s">
        <v>1161</v>
      </c>
      <c r="F174">
        <v>0</v>
      </c>
      <c r="G174">
        <v>0</v>
      </c>
      <c r="H174">
        <v>0</v>
      </c>
      <c r="I174">
        <v>0</v>
      </c>
    </row>
    <row r="175" spans="2:9">
      <c r="B175" t="s">
        <v>1316</v>
      </c>
      <c r="C175">
        <v>163612.84664094695</v>
      </c>
      <c r="D175">
        <v>163612.82689900001</v>
      </c>
      <c r="E175" t="s">
        <v>1156</v>
      </c>
      <c r="F175">
        <v>4.6033583031144891E-6</v>
      </c>
      <c r="G175">
        <v>1.206625869250936E-6</v>
      </c>
      <c r="H175">
        <v>16361.282689899999</v>
      </c>
      <c r="I175">
        <v>4288.5966391979728</v>
      </c>
    </row>
    <row r="176" spans="2:9">
      <c r="B176" t="s">
        <v>1317</v>
      </c>
      <c r="C176">
        <v>12305.299431607991</v>
      </c>
      <c r="D176">
        <v>12305.298778099999</v>
      </c>
      <c r="E176" t="s">
        <v>1156</v>
      </c>
      <c r="F176">
        <v>3.9026762791583367E-6</v>
      </c>
      <c r="G176">
        <v>5.3107852457748558E-7</v>
      </c>
      <c r="H176">
        <v>1230.52987781</v>
      </c>
      <c r="I176">
        <v>167.45124248347494</v>
      </c>
    </row>
    <row r="177" spans="2:9">
      <c r="B177" t="s">
        <v>1318</v>
      </c>
      <c r="C177">
        <v>2.6626932568074467E-3</v>
      </c>
      <c r="D177">
        <v>2.6627E-3</v>
      </c>
      <c r="E177" t="s">
        <v>1156</v>
      </c>
      <c r="F177">
        <v>0</v>
      </c>
      <c r="G177">
        <v>-2.5324642480876508E-5</v>
      </c>
      <c r="H177">
        <v>2.6626999999999998E-4</v>
      </c>
      <c r="I177">
        <v>9.5308161077432303E-6</v>
      </c>
    </row>
    <row r="178" spans="2:9">
      <c r="B178" t="s">
        <v>1319</v>
      </c>
      <c r="C178">
        <v>9243.6334976801445</v>
      </c>
      <c r="D178">
        <v>9243.6314031999991</v>
      </c>
      <c r="E178" t="s">
        <v>1156</v>
      </c>
      <c r="F178">
        <v>3.6690998349272717E-6</v>
      </c>
      <c r="G178">
        <v>2.2658628995773863E-6</v>
      </c>
      <c r="H178">
        <v>924.36314031999996</v>
      </c>
      <c r="I178">
        <v>570.84305132554402</v>
      </c>
    </row>
    <row r="179" spans="2:9">
      <c r="B179" t="s">
        <v>1320</v>
      </c>
      <c r="C179">
        <v>2.6626932568074467E-3</v>
      </c>
      <c r="D179">
        <v>2.6627E-3</v>
      </c>
      <c r="E179" t="s">
        <v>1156</v>
      </c>
      <c r="F179">
        <v>0</v>
      </c>
      <c r="G179">
        <v>-2.5324642480876508E-5</v>
      </c>
      <c r="H179">
        <v>2.6626999999999998E-4</v>
      </c>
      <c r="I179">
        <v>9.5308161077432303E-6</v>
      </c>
    </row>
    <row r="180" spans="2:9">
      <c r="B180" t="s">
        <v>1321</v>
      </c>
      <c r="C180">
        <v>15162.240998900001</v>
      </c>
      <c r="D180">
        <v>15162.240998900001</v>
      </c>
      <c r="E180" t="s">
        <v>1161</v>
      </c>
      <c r="F180">
        <v>0</v>
      </c>
      <c r="G180">
        <v>0</v>
      </c>
      <c r="H180">
        <v>0</v>
      </c>
      <c r="I180">
        <v>0</v>
      </c>
    </row>
    <row r="181" spans="2:9">
      <c r="B181" t="s">
        <v>1322</v>
      </c>
      <c r="C181">
        <v>2.4786999999999999E-3</v>
      </c>
      <c r="D181">
        <v>2.4786999999999999E-3</v>
      </c>
      <c r="E181" t="s">
        <v>1161</v>
      </c>
      <c r="F181">
        <v>0</v>
      </c>
      <c r="G181">
        <v>0</v>
      </c>
      <c r="H181">
        <v>0</v>
      </c>
      <c r="I181">
        <v>0</v>
      </c>
    </row>
    <row r="182" spans="2:9">
      <c r="B182" t="s">
        <v>1323</v>
      </c>
      <c r="C182">
        <v>89291.287670000005</v>
      </c>
      <c r="D182">
        <v>89291.287670000005</v>
      </c>
      <c r="E182" t="s">
        <v>1161</v>
      </c>
      <c r="F182">
        <v>0</v>
      </c>
      <c r="G182">
        <v>0</v>
      </c>
      <c r="H182">
        <v>0</v>
      </c>
      <c r="I182">
        <v>0</v>
      </c>
    </row>
    <row r="183" spans="2:9">
      <c r="B183" t="s">
        <v>1324</v>
      </c>
      <c r="C183">
        <v>89291.287670000005</v>
      </c>
      <c r="D183">
        <v>89291.287670000005</v>
      </c>
      <c r="E183" t="s">
        <v>1156</v>
      </c>
      <c r="F183">
        <v>0</v>
      </c>
      <c r="G183">
        <v>0</v>
      </c>
      <c r="H183">
        <v>8929.1287670000002</v>
      </c>
      <c r="I183">
        <v>0</v>
      </c>
    </row>
    <row r="184" spans="2:9">
      <c r="B184" t="s">
        <v>1325</v>
      </c>
      <c r="C184">
        <v>6.8918280884205805</v>
      </c>
      <c r="D184">
        <v>6.8918283000000002</v>
      </c>
      <c r="E184" t="s">
        <v>1156</v>
      </c>
      <c r="F184">
        <v>-1.0713474606129112E-6</v>
      </c>
      <c r="G184">
        <v>-3.0700042216973283E-7</v>
      </c>
      <c r="H184">
        <v>0.68918283000000002</v>
      </c>
      <c r="I184">
        <v>0.19748907571133645</v>
      </c>
    </row>
    <row r="185" spans="2:9">
      <c r="B185" t="s">
        <v>1326</v>
      </c>
      <c r="C185">
        <v>8805.222670379515</v>
      </c>
      <c r="D185">
        <v>8805.2223959999992</v>
      </c>
      <c r="E185" t="s">
        <v>1156</v>
      </c>
      <c r="F185">
        <v>3.1928666466528775E-7</v>
      </c>
      <c r="G185">
        <v>3.116099780547584E-7</v>
      </c>
      <c r="H185">
        <v>880.52223960000003</v>
      </c>
      <c r="I185">
        <v>859.35163012873795</v>
      </c>
    </row>
    <row r="186" spans="2:9">
      <c r="B186" t="s">
        <v>1327</v>
      </c>
      <c r="C186">
        <v>0.91462150340873694</v>
      </c>
      <c r="D186">
        <v>0.91462149999999998</v>
      </c>
      <c r="E186" t="s">
        <v>1156</v>
      </c>
      <c r="F186">
        <v>3.8322259227487404E-8</v>
      </c>
      <c r="G186">
        <v>3.7269372733583717E-8</v>
      </c>
      <c r="H186">
        <v>9.1462150000000006E-2</v>
      </c>
      <c r="I186">
        <v>8.8949269382321797E-2</v>
      </c>
    </row>
    <row r="187" spans="2:9">
      <c r="B187" t="s">
        <v>1328</v>
      </c>
      <c r="C187">
        <v>5.5245560999999999</v>
      </c>
      <c r="D187">
        <v>5.5245560999999999</v>
      </c>
      <c r="E187" t="s">
        <v>1161</v>
      </c>
      <c r="F187">
        <v>0</v>
      </c>
      <c r="G187">
        <v>0</v>
      </c>
      <c r="H187">
        <v>0</v>
      </c>
      <c r="I187">
        <v>0</v>
      </c>
    </row>
    <row r="188" spans="2:9">
      <c r="B188" t="s">
        <v>1329</v>
      </c>
      <c r="C188">
        <v>12131.013598367601</v>
      </c>
      <c r="D188">
        <v>12131.0120971</v>
      </c>
      <c r="E188" t="s">
        <v>1156</v>
      </c>
      <c r="F188">
        <v>3.9786744079676908E-6</v>
      </c>
      <c r="G188">
        <v>1.2375452182008103E-6</v>
      </c>
      <c r="H188">
        <v>1213.1012097099999</v>
      </c>
      <c r="I188">
        <v>377.32858920644304</v>
      </c>
    </row>
    <row r="189" spans="2:9">
      <c r="B189" t="s">
        <v>1330</v>
      </c>
      <c r="C189">
        <v>2.9174958577399923E-3</v>
      </c>
      <c r="D189">
        <v>2.9175E-3</v>
      </c>
      <c r="E189" t="s">
        <v>1156</v>
      </c>
      <c r="F189">
        <v>0</v>
      </c>
      <c r="G189">
        <v>-1.4197977746894299E-5</v>
      </c>
      <c r="H189">
        <v>2.9175000000000002E-4</v>
      </c>
      <c r="I189">
        <v>5.852300429001725E-6</v>
      </c>
    </row>
    <row r="190" spans="2:9">
      <c r="B190" t="s">
        <v>1331</v>
      </c>
      <c r="C190">
        <v>27270.307315366161</v>
      </c>
      <c r="D190">
        <v>27270.291529300001</v>
      </c>
      <c r="E190" t="s">
        <v>1156</v>
      </c>
      <c r="F190">
        <v>1.1561091203194268E-5</v>
      </c>
      <c r="G190">
        <v>5.7887412546566107E-6</v>
      </c>
      <c r="H190">
        <v>2727.0291529299998</v>
      </c>
      <c r="I190">
        <v>1365.4477663713571</v>
      </c>
    </row>
    <row r="191" spans="2:9">
      <c r="B191" t="s">
        <v>1332</v>
      </c>
      <c r="C191">
        <v>2.9174958577399923E-3</v>
      </c>
      <c r="D191">
        <v>2.9175E-3</v>
      </c>
      <c r="E191" t="s">
        <v>1156</v>
      </c>
      <c r="F191">
        <v>0</v>
      </c>
      <c r="G191">
        <v>-1.4197977746894299E-5</v>
      </c>
      <c r="H191">
        <v>2.9175000000000002E-4</v>
      </c>
      <c r="I191">
        <v>5.8523004290017216E-6</v>
      </c>
    </row>
    <row r="192" spans="2:9">
      <c r="B192" t="s">
        <v>1333</v>
      </c>
      <c r="C192">
        <v>11711.9118354</v>
      </c>
      <c r="D192">
        <v>11711.9118354</v>
      </c>
      <c r="E192" t="s">
        <v>1161</v>
      </c>
      <c r="F192">
        <v>0</v>
      </c>
      <c r="G192">
        <v>0</v>
      </c>
      <c r="H192">
        <v>0</v>
      </c>
      <c r="I192">
        <v>0</v>
      </c>
    </row>
    <row r="193" spans="2:9">
      <c r="B193" t="s">
        <v>1334</v>
      </c>
      <c r="C193">
        <v>2.4872000000000002E-3</v>
      </c>
      <c r="D193">
        <v>2.4872000000000002E-3</v>
      </c>
      <c r="E193" t="s">
        <v>1161</v>
      </c>
      <c r="F193">
        <v>0</v>
      </c>
      <c r="G193">
        <v>0</v>
      </c>
      <c r="H193">
        <v>0</v>
      </c>
      <c r="I193">
        <v>0</v>
      </c>
    </row>
    <row r="194" spans="2:9">
      <c r="B194" t="s">
        <v>1335</v>
      </c>
      <c r="C194">
        <v>89291.287670000005</v>
      </c>
      <c r="D194">
        <v>89291.287670000005</v>
      </c>
      <c r="E194" t="s">
        <v>1161</v>
      </c>
      <c r="F194">
        <v>0</v>
      </c>
      <c r="G194">
        <v>0</v>
      </c>
      <c r="H194">
        <v>0</v>
      </c>
      <c r="I194">
        <v>0</v>
      </c>
    </row>
    <row r="195" spans="2:9">
      <c r="B195" t="s">
        <v>1336</v>
      </c>
      <c r="C195">
        <v>89291.287670000005</v>
      </c>
      <c r="D195">
        <v>89291.287670000005</v>
      </c>
      <c r="E195" t="s">
        <v>1156</v>
      </c>
      <c r="F195">
        <v>0</v>
      </c>
      <c r="G195">
        <v>0</v>
      </c>
      <c r="H195">
        <v>8929.1287670000002</v>
      </c>
      <c r="I195">
        <v>0</v>
      </c>
    </row>
    <row r="196" spans="2:9">
      <c r="B196" t="s">
        <v>1337</v>
      </c>
      <c r="C196">
        <v>6.9960797378982047</v>
      </c>
      <c r="D196">
        <v>6.9960801999999997</v>
      </c>
      <c r="E196" t="s">
        <v>1156</v>
      </c>
      <c r="F196">
        <v>-1.0091902382726431E-6</v>
      </c>
      <c r="G196">
        <v>-6.6051529119297343E-7</v>
      </c>
      <c r="H196">
        <v>0.69960802</v>
      </c>
      <c r="I196">
        <v>0.45789364336518484</v>
      </c>
    </row>
    <row r="197" spans="2:9">
      <c r="B197" t="s">
        <v>1338</v>
      </c>
      <c r="C197">
        <v>58281.762093979029</v>
      </c>
      <c r="D197">
        <v>58281.747225200001</v>
      </c>
      <c r="E197" t="s">
        <v>1156</v>
      </c>
      <c r="F197">
        <v>3.9428022695131997E-6</v>
      </c>
      <c r="G197">
        <v>2.5511896495552804E-6</v>
      </c>
      <c r="H197">
        <v>5828.1747225199997</v>
      </c>
      <c r="I197">
        <v>3771.1196280021732</v>
      </c>
    </row>
    <row r="198" spans="2:9">
      <c r="B198" t="s">
        <v>1339</v>
      </c>
      <c r="C198">
        <v>0.77794274850799694</v>
      </c>
      <c r="D198">
        <v>0.77794269999999999</v>
      </c>
      <c r="E198" t="s">
        <v>1156</v>
      </c>
      <c r="F198">
        <v>7.3505036161082605E-7</v>
      </c>
      <c r="G198">
        <v>6.2354202889944823E-7</v>
      </c>
      <c r="H198">
        <v>7.7794269999999999E-2</v>
      </c>
      <c r="I198">
        <v>6.5992752994840559E-2</v>
      </c>
    </row>
    <row r="199" spans="2:9">
      <c r="B199" t="s">
        <v>1340</v>
      </c>
      <c r="C199">
        <v>7.2594719999999997</v>
      </c>
      <c r="D199">
        <v>7.2594719999999997</v>
      </c>
      <c r="E199" t="s">
        <v>1161</v>
      </c>
      <c r="F199">
        <v>0</v>
      </c>
      <c r="G199">
        <v>0</v>
      </c>
      <c r="H199">
        <v>0</v>
      </c>
      <c r="I199">
        <v>0</v>
      </c>
    </row>
    <row r="200" spans="2:9">
      <c r="B200" t="s">
        <v>1341</v>
      </c>
      <c r="C200">
        <v>13626.388276930449</v>
      </c>
      <c r="D200">
        <v>13626.386096300001</v>
      </c>
      <c r="E200" t="s">
        <v>1156</v>
      </c>
      <c r="F200">
        <v>5.6719990607887711E-6</v>
      </c>
      <c r="G200">
        <v>1.6002999130376205E-6</v>
      </c>
      <c r="H200">
        <v>1362.63860963</v>
      </c>
      <c r="I200">
        <v>384.45536135003272</v>
      </c>
    </row>
    <row r="201" spans="2:9">
      <c r="B201" t="s">
        <v>1342</v>
      </c>
      <c r="C201">
        <v>2.8702365691825626E-3</v>
      </c>
      <c r="D201">
        <v>2.8701999999999998E-3</v>
      </c>
      <c r="E201" t="s">
        <v>1156</v>
      </c>
      <c r="F201">
        <v>0</v>
      </c>
      <c r="G201">
        <v>1.2740987583708532E-4</v>
      </c>
      <c r="H201">
        <v>2.8702000000000003E-4</v>
      </c>
      <c r="I201">
        <v>7.8025710072580469E-6</v>
      </c>
    </row>
    <row r="202" spans="2:9">
      <c r="B202" t="s">
        <v>1343</v>
      </c>
      <c r="C202">
        <v>19181.381229375915</v>
      </c>
      <c r="D202">
        <v>19181.383998900001</v>
      </c>
      <c r="E202" t="s">
        <v>1156</v>
      </c>
      <c r="F202">
        <v>-2.2758020563550607E-6</v>
      </c>
      <c r="G202">
        <v>-1.4438604045426284E-6</v>
      </c>
      <c r="H202">
        <v>1918.1383998900001</v>
      </c>
      <c r="I202">
        <v>1216.9441882259362</v>
      </c>
    </row>
    <row r="203" spans="2:9">
      <c r="B203" t="s">
        <v>1344</v>
      </c>
      <c r="C203">
        <v>2.8702365691825626E-3</v>
      </c>
      <c r="D203">
        <v>2.8701999999999998E-3</v>
      </c>
      <c r="E203" t="s">
        <v>1156</v>
      </c>
      <c r="F203">
        <v>0</v>
      </c>
      <c r="G203">
        <v>1.2740987583708532E-4</v>
      </c>
      <c r="H203">
        <v>2.8702000000000003E-4</v>
      </c>
      <c r="I203">
        <v>7.8025710072580367E-6</v>
      </c>
    </row>
    <row r="204" spans="2:9">
      <c r="B204" t="s">
        <v>1345</v>
      </c>
      <c r="C204">
        <v>10768.248810999999</v>
      </c>
      <c r="D204">
        <v>10768.248810999999</v>
      </c>
      <c r="E204" t="s">
        <v>1161</v>
      </c>
      <c r="F204">
        <v>0</v>
      </c>
      <c r="G204">
        <v>0</v>
      </c>
      <c r="H204">
        <v>0</v>
      </c>
      <c r="I204">
        <v>0</v>
      </c>
    </row>
    <row r="205" spans="2:9">
      <c r="B205" t="s">
        <v>1346</v>
      </c>
      <c r="C205">
        <v>2.4009999999999999E-3</v>
      </c>
      <c r="D205">
        <v>2.4009999999999999E-3</v>
      </c>
      <c r="E205" t="s">
        <v>1161</v>
      </c>
      <c r="F205">
        <v>0</v>
      </c>
      <c r="G205">
        <v>0</v>
      </c>
      <c r="H205">
        <v>0</v>
      </c>
      <c r="I205">
        <v>0</v>
      </c>
    </row>
    <row r="206" spans="2:9">
      <c r="B206" t="s">
        <v>1347</v>
      </c>
      <c r="C206">
        <v>89291.287670000005</v>
      </c>
      <c r="D206">
        <v>89291.287670000005</v>
      </c>
      <c r="E206" t="s">
        <v>1161</v>
      </c>
      <c r="F206">
        <v>0</v>
      </c>
      <c r="G206">
        <v>0</v>
      </c>
      <c r="H206">
        <v>0</v>
      </c>
      <c r="I206">
        <v>0</v>
      </c>
    </row>
    <row r="207" spans="2:9">
      <c r="B207" t="s">
        <v>1348</v>
      </c>
      <c r="C207">
        <v>89291.287670000005</v>
      </c>
      <c r="D207">
        <v>89291.287670000005</v>
      </c>
      <c r="E207" t="s">
        <v>1156</v>
      </c>
      <c r="F207">
        <v>0</v>
      </c>
      <c r="G207">
        <v>0</v>
      </c>
      <c r="H207">
        <v>8929.1287670000002</v>
      </c>
      <c r="I207">
        <v>0</v>
      </c>
    </row>
    <row r="208" spans="2:9">
      <c r="B208" t="s">
        <v>1349</v>
      </c>
      <c r="C208">
        <v>6.1883209592409649</v>
      </c>
      <c r="D208">
        <v>6.1883223999999997</v>
      </c>
      <c r="E208" t="s">
        <v>1156</v>
      </c>
      <c r="F208">
        <v>-3.8964388077274238E-6</v>
      </c>
      <c r="G208">
        <v>-2.3281900030663666E-6</v>
      </c>
      <c r="H208">
        <v>0.61883224000000003</v>
      </c>
      <c r="I208">
        <v>0.36976303384666293</v>
      </c>
    </row>
    <row r="209" spans="2:9">
      <c r="B209" t="s">
        <v>1350</v>
      </c>
      <c r="C209">
        <v>43519.803403720172</v>
      </c>
      <c r="D209">
        <v>43519.808261300001</v>
      </c>
      <c r="E209" t="s">
        <v>1156</v>
      </c>
      <c r="F209">
        <v>-1.4960300179364973E-6</v>
      </c>
      <c r="G209">
        <v>-1.1161767531406109E-6</v>
      </c>
      <c r="H209">
        <v>4351.9808261300004</v>
      </c>
      <c r="I209">
        <v>3246.9801875634353</v>
      </c>
    </row>
    <row r="210" spans="2:9">
      <c r="B210" t="s">
        <v>1351</v>
      </c>
      <c r="C210">
        <v>1.0779220107867102</v>
      </c>
      <c r="D210">
        <v>1.0779221000000001</v>
      </c>
      <c r="E210" t="s">
        <v>1156</v>
      </c>
      <c r="F210">
        <v>-9.7529538253207749E-7</v>
      </c>
      <c r="G210">
        <v>-8.2764134687156988E-7</v>
      </c>
      <c r="H210">
        <v>0.10779221</v>
      </c>
      <c r="I210">
        <v>9.1473097755314023E-2</v>
      </c>
    </row>
    <row r="211" spans="2:9">
      <c r="B211" t="s">
        <v>1352</v>
      </c>
      <c r="C211">
        <v>7.9275899000000001</v>
      </c>
      <c r="D211">
        <v>7.9275899000000001</v>
      </c>
      <c r="E211" t="s">
        <v>1161</v>
      </c>
      <c r="F211">
        <v>0</v>
      </c>
      <c r="G211">
        <v>0</v>
      </c>
      <c r="H211">
        <v>0</v>
      </c>
      <c r="I211">
        <v>0</v>
      </c>
    </row>
    <row r="212" spans="2:9">
      <c r="B212" t="s">
        <v>1353</v>
      </c>
      <c r="C212">
        <v>110606.78816807871</v>
      </c>
      <c r="D212">
        <v>110606.777883</v>
      </c>
      <c r="E212" t="s">
        <v>1156</v>
      </c>
      <c r="F212">
        <v>2.3859795022806958E-6</v>
      </c>
      <c r="G212">
        <v>9.2987779816220598E-7</v>
      </c>
      <c r="H212">
        <v>11060.6777883</v>
      </c>
      <c r="I212">
        <v>4310.6316287020836</v>
      </c>
    </row>
    <row r="213" spans="2:9">
      <c r="B213" t="s">
        <v>1354</v>
      </c>
      <c r="C213">
        <v>54463.752358598693</v>
      </c>
      <c r="D213">
        <v>54463.764163</v>
      </c>
      <c r="E213" t="s">
        <v>1156</v>
      </c>
      <c r="F213">
        <v>-3.0480832005385958E-6</v>
      </c>
      <c r="G213">
        <v>-2.1673862408204376E-6</v>
      </c>
      <c r="H213">
        <v>5446.3764162999996</v>
      </c>
      <c r="I213">
        <v>3872.7293614989599</v>
      </c>
    </row>
    <row r="214" spans="2:9">
      <c r="B214" t="s">
        <v>1355</v>
      </c>
      <c r="C214">
        <v>0</v>
      </c>
      <c r="D214">
        <v>0</v>
      </c>
      <c r="E214" t="s">
        <v>1161</v>
      </c>
      <c r="F214">
        <v>0</v>
      </c>
      <c r="G214">
        <v>0</v>
      </c>
      <c r="H214">
        <v>0</v>
      </c>
      <c r="I214">
        <v>0</v>
      </c>
    </row>
    <row r="215" spans="2:9">
      <c r="B215" t="s">
        <v>1356</v>
      </c>
      <c r="C215">
        <v>56675.082796800001</v>
      </c>
      <c r="D215">
        <v>56675.082796800001</v>
      </c>
      <c r="E215" t="s">
        <v>1161</v>
      </c>
      <c r="F215">
        <v>0</v>
      </c>
      <c r="G215">
        <v>0</v>
      </c>
      <c r="H215">
        <v>0</v>
      </c>
      <c r="I215">
        <v>0</v>
      </c>
    </row>
    <row r="216" spans="2:9">
      <c r="B216" t="s">
        <v>1357</v>
      </c>
      <c r="C216">
        <v>142367.83650341776</v>
      </c>
      <c r="D216">
        <v>142367.82906700001</v>
      </c>
      <c r="E216" t="s">
        <v>1156</v>
      </c>
      <c r="F216">
        <v>1.6670774662029363E-6</v>
      </c>
      <c r="G216">
        <v>5.223383534352652E-7</v>
      </c>
      <c r="H216">
        <v>14236.7829067</v>
      </c>
      <c r="I216">
        <v>4460.7511603157609</v>
      </c>
    </row>
    <row r="217" spans="2:9">
      <c r="B217" t="s">
        <v>1358</v>
      </c>
      <c r="C217">
        <v>19033.679699327833</v>
      </c>
      <c r="D217">
        <v>19033.679198500002</v>
      </c>
      <c r="E217" t="s">
        <v>1156</v>
      </c>
      <c r="F217">
        <v>4.5017034400511893E-7</v>
      </c>
      <c r="G217">
        <v>2.6312717896066738E-7</v>
      </c>
      <c r="H217">
        <v>1903.3679198499999</v>
      </c>
      <c r="I217">
        <v>1112.5295967267652</v>
      </c>
    </row>
    <row r="218" spans="2:9">
      <c r="B218" t="s">
        <v>1359</v>
      </c>
      <c r="C218">
        <v>25980.466408727265</v>
      </c>
      <c r="D218">
        <v>25980.465189499999</v>
      </c>
      <c r="E218" t="s">
        <v>1156</v>
      </c>
      <c r="F218">
        <v>6.8539425775265797E-7</v>
      </c>
      <c r="G218">
        <v>4.6928615682074493E-7</v>
      </c>
      <c r="H218">
        <v>2598.0465189500001</v>
      </c>
      <c r="I218">
        <v>1778.8699749503146</v>
      </c>
    </row>
    <row r="219" spans="2:9">
      <c r="B219" t="s">
        <v>1360</v>
      </c>
      <c r="C219">
        <v>25980.466408727265</v>
      </c>
      <c r="D219">
        <v>25980.465189499999</v>
      </c>
      <c r="E219" t="s">
        <v>1156</v>
      </c>
      <c r="F219">
        <v>6.8539425775265744E-7</v>
      </c>
      <c r="G219">
        <v>4.6928615682074493E-7</v>
      </c>
      <c r="H219">
        <v>2598.0465189500001</v>
      </c>
      <c r="I219">
        <v>1778.869974950316</v>
      </c>
    </row>
    <row r="220" spans="2:9">
      <c r="B220" t="s">
        <v>1361</v>
      </c>
      <c r="C220">
        <v>46451.688544742072</v>
      </c>
      <c r="D220">
        <v>46451.675528200001</v>
      </c>
      <c r="E220" t="s">
        <v>1156</v>
      </c>
      <c r="F220">
        <v>1.0265673451893065E-5</v>
      </c>
      <c r="G220">
        <v>2.802168473480174E-6</v>
      </c>
      <c r="H220">
        <v>4645.1675528200003</v>
      </c>
      <c r="I220">
        <v>1267.9676722178331</v>
      </c>
    </row>
    <row r="221" spans="2:9">
      <c r="B221" t="s">
        <v>1362</v>
      </c>
      <c r="C221">
        <v>2.8979809927512628E-3</v>
      </c>
      <c r="D221">
        <v>2.898E-3</v>
      </c>
      <c r="E221" t="s">
        <v>1156</v>
      </c>
      <c r="F221">
        <v>0</v>
      </c>
      <c r="G221">
        <v>-6.5587469762507452E-5</v>
      </c>
      <c r="H221">
        <v>2.898E-4</v>
      </c>
      <c r="I221">
        <v>3.5610798147518048E-6</v>
      </c>
    </row>
    <row r="222" spans="2:9">
      <c r="B222" t="s">
        <v>1363</v>
      </c>
      <c r="C222">
        <v>0.90181373729094949</v>
      </c>
      <c r="D222">
        <v>0.9018138</v>
      </c>
      <c r="E222" t="s">
        <v>1156</v>
      </c>
      <c r="F222">
        <v>-1.3811527810032909E-6</v>
      </c>
      <c r="G222">
        <v>-6.9536583392125716E-7</v>
      </c>
      <c r="H222">
        <v>9.0181380000000005E-2</v>
      </c>
      <c r="I222">
        <v>4.540341327214862E-2</v>
      </c>
    </row>
    <row r="223" spans="2:9">
      <c r="B223" t="s">
        <v>1364</v>
      </c>
      <c r="C223">
        <v>55695.322042422238</v>
      </c>
      <c r="D223">
        <v>55695.306931400002</v>
      </c>
      <c r="E223" t="s">
        <v>1156</v>
      </c>
      <c r="F223">
        <v>1.2381928172436652E-5</v>
      </c>
      <c r="G223">
        <v>2.713158983853764E-6</v>
      </c>
      <c r="H223">
        <v>5569.53069314</v>
      </c>
      <c r="I223">
        <v>1220.4094568712362</v>
      </c>
    </row>
    <row r="224" spans="2:9">
      <c r="B224" t="s">
        <v>1365</v>
      </c>
      <c r="C224">
        <v>2.8589307903678918E-3</v>
      </c>
      <c r="D224">
        <v>2.8589000000000002E-3</v>
      </c>
      <c r="E224" t="s">
        <v>1156</v>
      </c>
      <c r="F224">
        <v>0</v>
      </c>
      <c r="G224">
        <v>1.0770005208862068E-4</v>
      </c>
      <c r="H224">
        <v>2.8589000000000002E-4</v>
      </c>
      <c r="I224">
        <v>4.0051246689518441E-6</v>
      </c>
    </row>
    <row r="225" spans="2:9">
      <c r="B225" t="s">
        <v>1366</v>
      </c>
      <c r="C225">
        <v>0.90393941484474194</v>
      </c>
      <c r="D225">
        <v>0.90393939999999995</v>
      </c>
      <c r="E225" t="s">
        <v>1156</v>
      </c>
      <c r="F225">
        <v>3.7449314210219487E-7</v>
      </c>
      <c r="G225">
        <v>1.642227564281915E-7</v>
      </c>
      <c r="H225">
        <v>9.0393940000000006E-2</v>
      </c>
      <c r="I225">
        <v>3.9639556302351719E-2</v>
      </c>
    </row>
    <row r="226" spans="2:9">
      <c r="B226" t="s">
        <v>1367</v>
      </c>
      <c r="C226">
        <v>0</v>
      </c>
      <c r="D226">
        <v>0</v>
      </c>
      <c r="E226" t="s">
        <v>1161</v>
      </c>
      <c r="F226">
        <v>0</v>
      </c>
      <c r="G226">
        <v>0</v>
      </c>
      <c r="H226">
        <v>0</v>
      </c>
      <c r="I226">
        <v>0</v>
      </c>
    </row>
    <row r="227" spans="2:9">
      <c r="B227" t="s">
        <v>1368</v>
      </c>
      <c r="C227">
        <v>0.3216</v>
      </c>
      <c r="D227">
        <v>0.3216</v>
      </c>
      <c r="E227" t="s">
        <v>1156</v>
      </c>
      <c r="F227">
        <v>0</v>
      </c>
      <c r="G227">
        <v>0</v>
      </c>
      <c r="H227">
        <v>3.2160000000000001E-2</v>
      </c>
      <c r="I227">
        <v>2.2740554082959368E-2</v>
      </c>
    </row>
    <row r="228" spans="2:9">
      <c r="B228" t="s">
        <v>1369</v>
      </c>
      <c r="C228">
        <v>0</v>
      </c>
      <c r="D228">
        <v>0</v>
      </c>
      <c r="E228" t="s">
        <v>1161</v>
      </c>
      <c r="F228">
        <v>0</v>
      </c>
      <c r="G228">
        <v>0</v>
      </c>
      <c r="H228">
        <v>0</v>
      </c>
      <c r="I228">
        <v>0</v>
      </c>
    </row>
    <row r="229" spans="2:9">
      <c r="B229" t="s">
        <v>1370</v>
      </c>
      <c r="C229">
        <v>0.3216</v>
      </c>
      <c r="D229">
        <v>0.3216</v>
      </c>
      <c r="E229" t="s">
        <v>1161</v>
      </c>
      <c r="F229">
        <v>0</v>
      </c>
      <c r="G229">
        <v>0</v>
      </c>
      <c r="H229">
        <v>0</v>
      </c>
      <c r="I229">
        <v>0</v>
      </c>
    </row>
    <row r="230" spans="2:9">
      <c r="B230" t="s">
        <v>1371</v>
      </c>
      <c r="C230">
        <v>0.53920000000000001</v>
      </c>
      <c r="D230">
        <v>0.53920000000000001</v>
      </c>
      <c r="E230" t="s">
        <v>1156</v>
      </c>
      <c r="F230">
        <v>0</v>
      </c>
      <c r="G230">
        <v>0</v>
      </c>
      <c r="H230">
        <v>5.3920000000000003E-2</v>
      </c>
      <c r="I230">
        <v>3.8127197641578639E-2</v>
      </c>
    </row>
    <row r="231" spans="2:9">
      <c r="B231" t="s">
        <v>1372</v>
      </c>
      <c r="C231">
        <v>0.53920000000000001</v>
      </c>
      <c r="D231">
        <v>0.53920000000000001</v>
      </c>
      <c r="E231" t="s">
        <v>1161</v>
      </c>
      <c r="F231">
        <v>0</v>
      </c>
      <c r="G231">
        <v>0</v>
      </c>
      <c r="H231">
        <v>0</v>
      </c>
      <c r="I231">
        <v>0</v>
      </c>
    </row>
    <row r="232" spans="2:9">
      <c r="B232" t="s">
        <v>1373</v>
      </c>
      <c r="C232">
        <v>0</v>
      </c>
      <c r="D232">
        <v>0</v>
      </c>
      <c r="E232" t="s">
        <v>1161</v>
      </c>
      <c r="F232">
        <v>0</v>
      </c>
      <c r="G232">
        <v>0</v>
      </c>
      <c r="H232">
        <v>0</v>
      </c>
      <c r="I232">
        <v>0</v>
      </c>
    </row>
    <row r="233" spans="2:9">
      <c r="B233" t="s">
        <v>1374</v>
      </c>
      <c r="C233">
        <v>0.30489260000000001</v>
      </c>
      <c r="D233">
        <v>0.30489260000000001</v>
      </c>
      <c r="E233" t="s">
        <v>1156</v>
      </c>
      <c r="F233">
        <v>0</v>
      </c>
      <c r="G233">
        <v>0</v>
      </c>
      <c r="H233">
        <v>3.0489260000000001E-2</v>
      </c>
      <c r="I233">
        <v>2.1559162499359765E-2</v>
      </c>
    </row>
    <row r="234" spans="2:9">
      <c r="B234" t="s">
        <v>1375</v>
      </c>
      <c r="C234">
        <v>0</v>
      </c>
      <c r="D234">
        <v>0</v>
      </c>
      <c r="E234" t="s">
        <v>1161</v>
      </c>
      <c r="F234">
        <v>0</v>
      </c>
      <c r="G234">
        <v>0</v>
      </c>
      <c r="H234">
        <v>0</v>
      </c>
      <c r="I234">
        <v>0</v>
      </c>
    </row>
    <row r="235" spans="2:9">
      <c r="B235" t="s">
        <v>1376</v>
      </c>
      <c r="C235">
        <v>0.30489260000000001</v>
      </c>
      <c r="D235">
        <v>0.30489260000000001</v>
      </c>
      <c r="E235" t="s">
        <v>1161</v>
      </c>
      <c r="F235">
        <v>0</v>
      </c>
      <c r="G235">
        <v>0</v>
      </c>
      <c r="H235">
        <v>0</v>
      </c>
      <c r="I235">
        <v>0</v>
      </c>
    </row>
    <row r="236" spans="2:9">
      <c r="B236" t="s">
        <v>1377</v>
      </c>
      <c r="C236">
        <v>0.51060000000000005</v>
      </c>
      <c r="D236">
        <v>0.51060000000000005</v>
      </c>
      <c r="E236" t="s">
        <v>1156</v>
      </c>
      <c r="F236">
        <v>0</v>
      </c>
      <c r="G236">
        <v>0</v>
      </c>
      <c r="H236">
        <v>5.1060000000000001E-2</v>
      </c>
      <c r="I236">
        <v>3.6104872247385109E-2</v>
      </c>
    </row>
    <row r="237" spans="2:9">
      <c r="B237" t="s">
        <v>1378</v>
      </c>
      <c r="C237">
        <v>0.51060000000000005</v>
      </c>
      <c r="D237">
        <v>0.51060000000000005</v>
      </c>
      <c r="E237" t="s">
        <v>1161</v>
      </c>
      <c r="F237">
        <v>0</v>
      </c>
      <c r="G237">
        <v>0</v>
      </c>
      <c r="H237">
        <v>0</v>
      </c>
      <c r="I237">
        <v>0</v>
      </c>
    </row>
    <row r="238" spans="2:9">
      <c r="B238" t="s">
        <v>1379</v>
      </c>
      <c r="C238">
        <v>1558.6002052087142</v>
      </c>
      <c r="D238">
        <v>1558.6002658</v>
      </c>
      <c r="E238" t="s">
        <v>1156</v>
      </c>
      <c r="F238">
        <v>-6.342618217044052E-7</v>
      </c>
      <c r="G238">
        <v>-3.887544940365152E-7</v>
      </c>
      <c r="H238">
        <v>155.86002658000001</v>
      </c>
      <c r="I238">
        <v>95.53040038071849</v>
      </c>
    </row>
    <row r="239" spans="2:9">
      <c r="B239" t="s">
        <v>1380</v>
      </c>
      <c r="C239">
        <v>0.37367426675211463</v>
      </c>
      <c r="D239">
        <v>0.37367430000000001</v>
      </c>
      <c r="E239" t="s">
        <v>1156</v>
      </c>
      <c r="F239">
        <v>0</v>
      </c>
      <c r="G239">
        <v>-8.8975574154486729E-7</v>
      </c>
      <c r="H239">
        <v>3.736743E-2</v>
      </c>
      <c r="I239">
        <v>7.1024955527355647E-5</v>
      </c>
    </row>
    <row r="240" spans="2:9">
      <c r="B240" t="s">
        <v>1381</v>
      </c>
      <c r="C240">
        <v>2662.5930512999998</v>
      </c>
      <c r="D240">
        <v>2662.5930512999998</v>
      </c>
      <c r="E240" t="s">
        <v>1161</v>
      </c>
      <c r="F240">
        <v>0</v>
      </c>
      <c r="G240">
        <v>0</v>
      </c>
      <c r="H240">
        <v>0</v>
      </c>
      <c r="I240">
        <v>0</v>
      </c>
    </row>
    <row r="241" spans="1:9">
      <c r="B241" t="s">
        <v>1382</v>
      </c>
      <c r="C241">
        <v>0.37265589999999998</v>
      </c>
      <c r="D241">
        <v>0.37265589999999998</v>
      </c>
      <c r="E241" t="s">
        <v>1161</v>
      </c>
      <c r="F241">
        <v>0</v>
      </c>
      <c r="G241">
        <v>0</v>
      </c>
      <c r="H241">
        <v>0</v>
      </c>
      <c r="I241">
        <v>0</v>
      </c>
    </row>
    <row r="242" spans="1:9">
      <c r="B242" t="s">
        <v>1383</v>
      </c>
      <c r="C242">
        <v>0.45278775510033453</v>
      </c>
      <c r="D242">
        <v>0.45278770000000002</v>
      </c>
      <c r="E242" t="s">
        <v>1156</v>
      </c>
      <c r="F242">
        <v>1.8583125879424652E-4</v>
      </c>
      <c r="G242">
        <v>1.2169132358780365E-6</v>
      </c>
      <c r="H242">
        <v>4.5278770000000003E-2</v>
      </c>
      <c r="I242">
        <v>2.9650735228718857E-4</v>
      </c>
    </row>
    <row r="243" spans="1:9">
      <c r="B243" t="s">
        <v>1384</v>
      </c>
      <c r="C243">
        <v>0.4571559</v>
      </c>
      <c r="D243">
        <v>0.4571559</v>
      </c>
      <c r="E243" t="s">
        <v>1161</v>
      </c>
      <c r="F243">
        <v>0</v>
      </c>
      <c r="G243">
        <v>0</v>
      </c>
      <c r="H243">
        <v>0</v>
      </c>
      <c r="I243">
        <v>0</v>
      </c>
    </row>
    <row r="244" spans="1:9">
      <c r="B244" t="s">
        <v>1385</v>
      </c>
      <c r="C244">
        <v>2662.892423619649</v>
      </c>
      <c r="D244">
        <v>2662.8927263999999</v>
      </c>
      <c r="E244" t="s">
        <v>1156</v>
      </c>
      <c r="F244">
        <v>-3.8681601934298197E-6</v>
      </c>
      <c r="G244">
        <v>-1.1370354799480481E-6</v>
      </c>
      <c r="H244">
        <v>266.28927263999998</v>
      </c>
      <c r="I244">
        <v>78.275028897593245</v>
      </c>
    </row>
    <row r="245" spans="1:9">
      <c r="B245" t="s">
        <v>1386</v>
      </c>
      <c r="C245">
        <v>0.37247654969142308</v>
      </c>
      <c r="D245">
        <v>0.37247659999999999</v>
      </c>
      <c r="E245" t="s">
        <v>1156</v>
      </c>
      <c r="F245">
        <v>-3.8157389034289074E-4</v>
      </c>
      <c r="G245">
        <v>-1.3506506694771901E-6</v>
      </c>
      <c r="H245">
        <v>3.7247660000000002E-2</v>
      </c>
      <c r="I245">
        <v>1.318449144155287E-4</v>
      </c>
    </row>
    <row r="246" spans="1:9">
      <c r="B246" t="s">
        <v>1387</v>
      </c>
      <c r="C246">
        <v>1370.4528453</v>
      </c>
      <c r="D246">
        <v>1370.4528453</v>
      </c>
      <c r="E246" t="s">
        <v>1161</v>
      </c>
      <c r="F246">
        <v>0</v>
      </c>
      <c r="G246">
        <v>0</v>
      </c>
      <c r="H246">
        <v>0</v>
      </c>
      <c r="I246">
        <v>0</v>
      </c>
    </row>
    <row r="247" spans="1:9">
      <c r="B247" t="s">
        <v>1388</v>
      </c>
      <c r="C247">
        <v>0.36751499999999998</v>
      </c>
      <c r="D247">
        <v>0.36751499999999998</v>
      </c>
      <c r="E247" t="s">
        <v>1161</v>
      </c>
      <c r="F247">
        <v>0</v>
      </c>
      <c r="G247">
        <v>0</v>
      </c>
      <c r="H247">
        <v>0</v>
      </c>
      <c r="I247">
        <v>0</v>
      </c>
    </row>
    <row r="248" spans="1:9">
      <c r="B248" t="s">
        <v>1389</v>
      </c>
      <c r="C248">
        <v>0.44257865250220579</v>
      </c>
      <c r="D248">
        <v>0.44257859999999999</v>
      </c>
      <c r="E248" t="s">
        <v>1156</v>
      </c>
      <c r="F248">
        <v>2.8236623089360191E-4</v>
      </c>
      <c r="G248">
        <v>1.1862798112042697E-6</v>
      </c>
      <c r="H248">
        <v>4.4257860000000003E-2</v>
      </c>
      <c r="I248">
        <v>1.859365606112025E-4</v>
      </c>
    </row>
    <row r="249" spans="1:9">
      <c r="B249" t="s">
        <v>1390</v>
      </c>
      <c r="C249">
        <v>0.4493876</v>
      </c>
      <c r="D249">
        <v>0.4493876</v>
      </c>
      <c r="E249" t="s">
        <v>1161</v>
      </c>
      <c r="F249">
        <v>0</v>
      </c>
      <c r="G249">
        <v>0</v>
      </c>
      <c r="H249">
        <v>0</v>
      </c>
      <c r="I249">
        <v>0</v>
      </c>
    </row>
    <row r="250" spans="1:9">
      <c r="B250" t="s">
        <v>1391</v>
      </c>
      <c r="C250">
        <v>1878.1868713712513</v>
      </c>
      <c r="D250">
        <v>1878.1868692</v>
      </c>
      <c r="E250" t="s">
        <v>1156</v>
      </c>
      <c r="F250">
        <v>3.1398507730639126E-8</v>
      </c>
      <c r="G250">
        <v>1.1560357965778817E-8</v>
      </c>
      <c r="H250">
        <v>187.81868692</v>
      </c>
      <c r="I250">
        <v>69.151415477589751</v>
      </c>
    </row>
    <row r="251" spans="1:9">
      <c r="B251" t="s">
        <v>1392</v>
      </c>
      <c r="C251">
        <v>3111.3005658598463</v>
      </c>
      <c r="D251">
        <v>3111.3005910000002</v>
      </c>
      <c r="E251" t="s">
        <v>1156</v>
      </c>
      <c r="F251">
        <v>-8.1543253232747682E-8</v>
      </c>
      <c r="G251">
        <v>-8.0802716198346715E-8</v>
      </c>
      <c r="H251">
        <v>311.13005909999998</v>
      </c>
      <c r="I251">
        <v>308.3045239129101</v>
      </c>
    </row>
    <row r="252" spans="1:9">
      <c r="B252" t="s">
        <v>1393</v>
      </c>
      <c r="C252">
        <v>792.75598746783885</v>
      </c>
      <c r="D252">
        <v>792.75598909999997</v>
      </c>
      <c r="E252" t="s">
        <v>1156</v>
      </c>
      <c r="F252">
        <v>-2.0600536946943592E-8</v>
      </c>
      <c r="G252">
        <v>-2.0588442572946804E-8</v>
      </c>
      <c r="H252">
        <v>79.275598909999999</v>
      </c>
      <c r="I252">
        <v>79.229056980316017</v>
      </c>
    </row>
    <row r="253" spans="1:9">
      <c r="B253" t="s">
        <v>1394</v>
      </c>
      <c r="C253">
        <v>2453.5346378999998</v>
      </c>
      <c r="D253">
        <v>2453.5346378999998</v>
      </c>
      <c r="E253" t="s">
        <v>1161</v>
      </c>
      <c r="F253">
        <v>0</v>
      </c>
      <c r="G253">
        <v>0</v>
      </c>
      <c r="H253">
        <v>0</v>
      </c>
      <c r="I253">
        <v>0</v>
      </c>
    </row>
    <row r="255" spans="1:9" ht="15.75" thickBot="1">
      <c r="A255" s="34" t="s">
        <v>20</v>
      </c>
    </row>
    <row r="256" spans="1:9" ht="30.75" thickBot="1">
      <c r="B256" s="35" t="s">
        <v>1395</v>
      </c>
      <c r="C256" s="35" t="s">
        <v>1396</v>
      </c>
      <c r="D256" s="35" t="s">
        <v>1397</v>
      </c>
      <c r="E256" s="35" t="s">
        <v>1398</v>
      </c>
      <c r="F256" s="35" t="s">
        <v>1152</v>
      </c>
      <c r="G256" s="35" t="s">
        <v>1151</v>
      </c>
      <c r="H256" s="35" t="s">
        <v>1399</v>
      </c>
      <c r="I256" s="35" t="s">
        <v>1400</v>
      </c>
    </row>
    <row r="257" spans="2:9">
      <c r="B257" t="s">
        <v>1401</v>
      </c>
      <c r="C257" t="b">
        <v>1</v>
      </c>
      <c r="D257">
        <v>-4.0917177102528512E-4</v>
      </c>
      <c r="E257">
        <v>-2.9103830456733704E-11</v>
      </c>
      <c r="F257">
        <v>-1.2829103223318145E-8</v>
      </c>
      <c r="G257">
        <v>-5.0298792370107836E-8</v>
      </c>
      <c r="H257">
        <v>8134.8229598540538</v>
      </c>
      <c r="I257" t="s">
        <v>1402</v>
      </c>
    </row>
    <row r="258" spans="2:9">
      <c r="B258" t="s">
        <v>1403</v>
      </c>
      <c r="C258" t="b">
        <v>1</v>
      </c>
      <c r="D258">
        <v>-5.5986116058193147E-4</v>
      </c>
      <c r="E258">
        <v>-1.4551915228366852E-11</v>
      </c>
      <c r="F258">
        <v>-3.9202145461596162E-8</v>
      </c>
      <c r="G258">
        <v>-8.8315060587572806E-8</v>
      </c>
      <c r="H258">
        <v>6339.3622430545211</v>
      </c>
      <c r="I258" t="s">
        <v>1404</v>
      </c>
    </row>
    <row r="259" spans="2:9">
      <c r="B259" t="s">
        <v>1405</v>
      </c>
      <c r="C259" t="b">
        <v>1</v>
      </c>
      <c r="D259">
        <v>0</v>
      </c>
      <c r="E259">
        <v>9.0949470177292824E-13</v>
      </c>
      <c r="F259">
        <v>0</v>
      </c>
      <c r="G259">
        <v>0</v>
      </c>
      <c r="H259">
        <v>428.61140683759515</v>
      </c>
      <c r="I259" t="s">
        <v>1406</v>
      </c>
    </row>
    <row r="260" spans="2:9">
      <c r="B260" t="s">
        <v>1407</v>
      </c>
      <c r="C260" t="b">
        <v>1</v>
      </c>
      <c r="D260">
        <v>0</v>
      </c>
      <c r="E260">
        <v>0</v>
      </c>
      <c r="F260">
        <v>0</v>
      </c>
      <c r="G260">
        <v>0</v>
      </c>
      <c r="H260">
        <v>28.063890289597065</v>
      </c>
      <c r="I260" t="s">
        <v>1408</v>
      </c>
    </row>
    <row r="261" spans="2:9">
      <c r="B261" t="s">
        <v>1409</v>
      </c>
      <c r="C261" t="b">
        <v>1</v>
      </c>
      <c r="D261">
        <v>1.9997241906821728E-7</v>
      </c>
      <c r="E261">
        <v>-2.9103830456733704E-11</v>
      </c>
      <c r="F261">
        <v>1.1004126660887842E-11</v>
      </c>
      <c r="G261">
        <v>2.5901920019047177E-11</v>
      </c>
      <c r="H261">
        <v>7720.3704945875061</v>
      </c>
      <c r="I261" t="s">
        <v>1410</v>
      </c>
    </row>
    <row r="262" spans="2:9">
      <c r="B262" t="s">
        <v>1411</v>
      </c>
      <c r="C262" t="b">
        <v>1</v>
      </c>
      <c r="D262">
        <v>2.8393293359840754E-4</v>
      </c>
      <c r="E262">
        <v>0</v>
      </c>
      <c r="F262">
        <v>2.4150474631851996E-7</v>
      </c>
      <c r="G262">
        <v>6.5220618235656684E-7</v>
      </c>
      <c r="H262">
        <v>435.3422909493043</v>
      </c>
      <c r="I262" t="s">
        <v>1412</v>
      </c>
    </row>
    <row r="263" spans="2:9">
      <c r="B263" t="s">
        <v>1413</v>
      </c>
      <c r="C263" t="b">
        <v>1</v>
      </c>
      <c r="D263">
        <v>-1.717658233246766E-5</v>
      </c>
      <c r="E263">
        <v>9.0949470177292824E-13</v>
      </c>
      <c r="F263">
        <v>-2.4980412854220004E-8</v>
      </c>
      <c r="G263">
        <v>-2.7497323007766111E-7</v>
      </c>
      <c r="H263">
        <v>62.466380191324269</v>
      </c>
      <c r="I263" t="s">
        <v>1414</v>
      </c>
    </row>
    <row r="264" spans="2:9">
      <c r="B264" t="s">
        <v>1415</v>
      </c>
      <c r="C264" t="b">
        <v>1</v>
      </c>
      <c r="D264">
        <v>1.1368683772161603E-13</v>
      </c>
      <c r="E264">
        <v>-4.5474735088646412E-13</v>
      </c>
      <c r="F264">
        <v>8.7199846185598811E-16</v>
      </c>
      <c r="G264">
        <v>2.4930013257932989E-15</v>
      </c>
      <c r="H264">
        <v>45.602397618236203</v>
      </c>
      <c r="I264" t="s">
        <v>1416</v>
      </c>
    </row>
    <row r="265" spans="2:9">
      <c r="B265" t="s">
        <v>1417</v>
      </c>
      <c r="C265" t="b">
        <v>1</v>
      </c>
      <c r="D265">
        <v>-1.86211508435008E-5</v>
      </c>
      <c r="E265">
        <v>2.2737367544323206E-13</v>
      </c>
      <c r="F265">
        <v>-1.1925197346756652E-7</v>
      </c>
      <c r="G265">
        <v>-4.1637192026644649E-7</v>
      </c>
      <c r="H265">
        <v>44.722398262554961</v>
      </c>
      <c r="I265" t="s">
        <v>1418</v>
      </c>
    </row>
    <row r="266" spans="2:9">
      <c r="B266" t="s">
        <v>1419</v>
      </c>
      <c r="C266" t="b">
        <v>1</v>
      </c>
      <c r="D266">
        <v>0</v>
      </c>
      <c r="E266">
        <v>-4.5474735088646412E-13</v>
      </c>
      <c r="F266">
        <v>0</v>
      </c>
      <c r="G266">
        <v>0</v>
      </c>
      <c r="H266">
        <v>52.559120643305441</v>
      </c>
      <c r="I266" t="s">
        <v>1420</v>
      </c>
    </row>
    <row r="267" spans="2:9">
      <c r="B267" t="s">
        <v>1421</v>
      </c>
      <c r="C267" t="b">
        <v>1</v>
      </c>
      <c r="D267">
        <v>0</v>
      </c>
      <c r="E267">
        <v>0</v>
      </c>
      <c r="F267">
        <v>0</v>
      </c>
      <c r="G267">
        <v>0</v>
      </c>
      <c r="H267">
        <v>46.878073176732194</v>
      </c>
      <c r="I267" t="s">
        <v>1422</v>
      </c>
    </row>
    <row r="268" spans="2:9">
      <c r="B268" t="s">
        <v>1423</v>
      </c>
      <c r="C268" t="b">
        <v>1</v>
      </c>
      <c r="D268">
        <v>0</v>
      </c>
      <c r="E268">
        <v>0</v>
      </c>
      <c r="F268">
        <v>0</v>
      </c>
      <c r="G268">
        <v>0</v>
      </c>
      <c r="H268">
        <v>56.807429859919878</v>
      </c>
      <c r="I268" t="s">
        <v>1424</v>
      </c>
    </row>
    <row r="269" spans="2:9">
      <c r="B269" t="s">
        <v>1425</v>
      </c>
      <c r="C269" t="b">
        <v>1</v>
      </c>
      <c r="D269">
        <v>-8.4150635075275204E-5</v>
      </c>
      <c r="E269">
        <v>2.2737367544323206E-13</v>
      </c>
      <c r="F269">
        <v>-6.2435317762105227E-7</v>
      </c>
      <c r="G269">
        <v>-2.1857891447229751E-6</v>
      </c>
      <c r="H269">
        <v>38.498971997566755</v>
      </c>
      <c r="I269" t="s">
        <v>1426</v>
      </c>
    </row>
    <row r="270" spans="2:9">
      <c r="B270" t="s">
        <v>1427</v>
      </c>
      <c r="C270" t="b">
        <v>1</v>
      </c>
      <c r="D270">
        <v>3.2050487698143115E-4</v>
      </c>
      <c r="E270">
        <v>-4.5474735088646412E-13</v>
      </c>
      <c r="F270">
        <v>9.744729946462904E-7</v>
      </c>
      <c r="G270">
        <v>7.1214436007340344E-6</v>
      </c>
      <c r="H270">
        <v>45.005604895669677</v>
      </c>
      <c r="I270" t="s">
        <v>1428</v>
      </c>
    </row>
    <row r="271" spans="2:9">
      <c r="B271" t="s">
        <v>1429</v>
      </c>
      <c r="C271" t="b">
        <v>1</v>
      </c>
      <c r="D271">
        <v>-4.6093762648524716E-5</v>
      </c>
      <c r="E271">
        <v>1.1368683772161603E-13</v>
      </c>
      <c r="F271">
        <v>-7.7000889104491328E-7</v>
      </c>
      <c r="G271">
        <v>-6.3817355707165961E-6</v>
      </c>
      <c r="H271">
        <v>7.2227628578081173</v>
      </c>
      <c r="I271" t="s">
        <v>1430</v>
      </c>
    </row>
    <row r="272" spans="2:9">
      <c r="B272" t="s">
        <v>1431</v>
      </c>
      <c r="C272" t="b">
        <v>1</v>
      </c>
      <c r="D272">
        <v>1.2457484262995422E-4</v>
      </c>
      <c r="E272">
        <v>0</v>
      </c>
      <c r="F272">
        <v>1.0079696277355831E-8</v>
      </c>
      <c r="G272">
        <v>3.7526602472585127E-8</v>
      </c>
      <c r="H272">
        <v>3319.6408526714281</v>
      </c>
      <c r="I272" t="s">
        <v>1432</v>
      </c>
    </row>
    <row r="273" spans="2:9">
      <c r="B273" t="s">
        <v>1433</v>
      </c>
      <c r="C273" t="b">
        <v>1</v>
      </c>
      <c r="D273">
        <v>4.397549491841346E-4</v>
      </c>
      <c r="E273">
        <v>-5.8207660913467407E-11</v>
      </c>
      <c r="F273">
        <v>2.4859031867279957E-8</v>
      </c>
      <c r="G273">
        <v>5.0826714506850021E-8</v>
      </c>
      <c r="H273">
        <v>8652.0435847740646</v>
      </c>
      <c r="I273" t="s">
        <v>1434</v>
      </c>
    </row>
    <row r="274" spans="2:9">
      <c r="B274" t="s">
        <v>1435</v>
      </c>
      <c r="C274" t="b">
        <v>1</v>
      </c>
      <c r="D274">
        <v>1.486224151449278E-3</v>
      </c>
      <c r="E274">
        <v>-8.7311491370201111E-11</v>
      </c>
      <c r="F274">
        <v>9.4096733180239277E-8</v>
      </c>
      <c r="G274">
        <v>1.9193112910075427E-7</v>
      </c>
      <c r="H274">
        <v>7743.5284125749313</v>
      </c>
      <c r="I274" t="s">
        <v>1436</v>
      </c>
    </row>
    <row r="275" spans="2:9">
      <c r="B275" t="s">
        <v>1437</v>
      </c>
      <c r="C275" t="b">
        <v>1</v>
      </c>
      <c r="D275">
        <v>2.8655631467700005E-7</v>
      </c>
      <c r="E275">
        <v>-2.9103830456733704E-11</v>
      </c>
      <c r="F275">
        <v>1.0609554173058135E-11</v>
      </c>
      <c r="G275">
        <v>3.489999273398309E-11</v>
      </c>
      <c r="H275">
        <v>8210.7843649483693</v>
      </c>
      <c r="I275" t="s">
        <v>1438</v>
      </c>
    </row>
    <row r="276" spans="2:9">
      <c r="B276" t="s">
        <v>1439</v>
      </c>
      <c r="C276" t="b">
        <v>1</v>
      </c>
      <c r="D276">
        <v>-1.1998883458517184E-3</v>
      </c>
      <c r="E276">
        <v>0</v>
      </c>
      <c r="F276">
        <v>-8.8326786340736606E-5</v>
      </c>
      <c r="G276">
        <v>-2.3794789368035687E-4</v>
      </c>
      <c r="H276">
        <v>5.0426516801345063</v>
      </c>
      <c r="I276" t="s">
        <v>1440</v>
      </c>
    </row>
    <row r="277" spans="2:9">
      <c r="B277" t="s">
        <v>1441</v>
      </c>
      <c r="C277" t="b">
        <v>1</v>
      </c>
      <c r="D277">
        <v>-1.2672609409491997E-4</v>
      </c>
      <c r="E277">
        <v>2.2737367544323206E-13</v>
      </c>
      <c r="F277">
        <v>-6.861480057800688E-7</v>
      </c>
      <c r="G277">
        <v>-2.6076581942247477E-6</v>
      </c>
      <c r="H277">
        <v>48.597662981898374</v>
      </c>
      <c r="I277" t="s">
        <v>1442</v>
      </c>
    </row>
    <row r="278" spans="2:9">
      <c r="B278" t="s">
        <v>1443</v>
      </c>
      <c r="C278" t="b">
        <v>1</v>
      </c>
      <c r="D278">
        <v>1.8275162688041746E-5</v>
      </c>
      <c r="E278">
        <v>-1.1368683772161603E-13</v>
      </c>
      <c r="F278">
        <v>1.3353868337517422E-7</v>
      </c>
      <c r="G278">
        <v>3.2867226298097585E-7</v>
      </c>
      <c r="H278">
        <v>55.602996499584592</v>
      </c>
      <c r="I278" t="s">
        <v>1444</v>
      </c>
    </row>
    <row r="279" spans="2:9">
      <c r="B279" t="s">
        <v>1445</v>
      </c>
      <c r="C279" t="b">
        <v>1</v>
      </c>
      <c r="D279">
        <v>6.981840942898998E-5</v>
      </c>
      <c r="E279">
        <v>0</v>
      </c>
      <c r="F279">
        <v>4.1905550999892778E-7</v>
      </c>
      <c r="G279">
        <v>1.0303451241592042E-6</v>
      </c>
      <c r="H279">
        <v>67.762158321430519</v>
      </c>
      <c r="I279" t="s">
        <v>1446</v>
      </c>
    </row>
    <row r="280" spans="2:9">
      <c r="B280" t="s">
        <v>1447</v>
      </c>
      <c r="C280" t="b">
        <v>1</v>
      </c>
      <c r="D280">
        <v>1.6635681062382446E-4</v>
      </c>
      <c r="E280">
        <v>0</v>
      </c>
      <c r="F280">
        <v>9.6212401083347886E-6</v>
      </c>
      <c r="G280">
        <v>2.9166294284367133E-5</v>
      </c>
      <c r="H280">
        <v>5.7037349003568885</v>
      </c>
      <c r="I280" t="s">
        <v>1448</v>
      </c>
    </row>
    <row r="281" spans="2:9">
      <c r="B281" t="s">
        <v>1449</v>
      </c>
      <c r="C281" t="b">
        <v>1</v>
      </c>
      <c r="D281">
        <v>1.4650861532317094E-4</v>
      </c>
      <c r="E281">
        <v>-7.1054273576010019E-15</v>
      </c>
      <c r="F281">
        <v>2.2763255875852823E-5</v>
      </c>
      <c r="G281">
        <v>6.7909042358108222E-5</v>
      </c>
      <c r="H281">
        <v>2.1574242580329668</v>
      </c>
      <c r="I281" t="s">
        <v>1450</v>
      </c>
    </row>
    <row r="282" spans="2:9">
      <c r="B282" t="s">
        <v>1451</v>
      </c>
      <c r="C282" t="b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1452</v>
      </c>
    </row>
    <row r="283" spans="2:9">
      <c r="B283" t="s">
        <v>1453</v>
      </c>
      <c r="C283" t="b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1454</v>
      </c>
    </row>
    <row r="284" spans="2:9">
      <c r="B284" t="s">
        <v>1455</v>
      </c>
      <c r="C284" t="b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1456</v>
      </c>
    </row>
    <row r="285" spans="2:9">
      <c r="B285" t="s">
        <v>1457</v>
      </c>
      <c r="C285" t="b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1458</v>
      </c>
    </row>
    <row r="286" spans="2:9">
      <c r="B286" t="s">
        <v>1459</v>
      </c>
      <c r="C286" t="b">
        <v>1</v>
      </c>
      <c r="D286">
        <v>-1.7633199354349927E-4</v>
      </c>
      <c r="E286">
        <v>0</v>
      </c>
      <c r="F286">
        <v>-1.1262317766206981E-6</v>
      </c>
      <c r="G286">
        <v>-2.7490991265619497E-6</v>
      </c>
      <c r="H286">
        <v>64.141737138457344</v>
      </c>
      <c r="I286" t="s">
        <v>1460</v>
      </c>
    </row>
    <row r="287" spans="2:9">
      <c r="B287" t="s">
        <v>1461</v>
      </c>
      <c r="C287" t="b">
        <v>1</v>
      </c>
      <c r="D287">
        <v>3.099103196291253E-10</v>
      </c>
      <c r="E287">
        <v>0</v>
      </c>
      <c r="F287">
        <v>1.3202662178187527E-11</v>
      </c>
      <c r="G287">
        <v>4.7162539373753101E-11</v>
      </c>
      <c r="H287">
        <v>6.5711118134066506</v>
      </c>
      <c r="I287" t="s">
        <v>1462</v>
      </c>
    </row>
    <row r="288" spans="2:9">
      <c r="B288" t="s">
        <v>1463</v>
      </c>
      <c r="C288" t="b">
        <v>1</v>
      </c>
      <c r="D288">
        <v>1.0015999237111828E-4</v>
      </c>
      <c r="E288">
        <v>-2.2737367544323206E-13</v>
      </c>
      <c r="F288">
        <v>7.7236605994291805E-7</v>
      </c>
      <c r="G288">
        <v>1.8771866192645511E-6</v>
      </c>
      <c r="H288">
        <v>53.356438482583691</v>
      </c>
      <c r="I288" t="s">
        <v>1464</v>
      </c>
    </row>
    <row r="289" spans="2:9">
      <c r="B289" t="s">
        <v>1465</v>
      </c>
      <c r="C289" t="b">
        <v>1</v>
      </c>
      <c r="D289">
        <v>1.1262277337209525E-4</v>
      </c>
      <c r="E289">
        <v>-1.1368683772161603E-13</v>
      </c>
      <c r="F289">
        <v>7.203623142789739E-7</v>
      </c>
      <c r="G289">
        <v>2.7120708529634686E-6</v>
      </c>
      <c r="H289">
        <v>41.52648639287311</v>
      </c>
      <c r="I289" t="s">
        <v>1466</v>
      </c>
    </row>
    <row r="290" spans="2:9">
      <c r="B290" t="s">
        <v>1467</v>
      </c>
      <c r="C290" t="b">
        <v>1</v>
      </c>
      <c r="D290">
        <v>-2.2737367544323206E-13</v>
      </c>
      <c r="E290">
        <v>0</v>
      </c>
      <c r="F290">
        <v>-1.1254810715345854E-15</v>
      </c>
      <c r="G290">
        <v>-2.2555526274673783E-15</v>
      </c>
      <c r="H290">
        <v>100.80619386768024</v>
      </c>
      <c r="I290" t="s">
        <v>1468</v>
      </c>
    </row>
    <row r="291" spans="2:9">
      <c r="B291" t="s">
        <v>1469</v>
      </c>
      <c r="C291" t="b">
        <v>1</v>
      </c>
      <c r="D291">
        <v>0</v>
      </c>
      <c r="E291">
        <v>0</v>
      </c>
      <c r="F291">
        <v>0</v>
      </c>
      <c r="G291">
        <v>0</v>
      </c>
      <c r="H291">
        <v>44.500848956267198</v>
      </c>
      <c r="I291" t="s">
        <v>1470</v>
      </c>
    </row>
    <row r="292" spans="2:9">
      <c r="B292" t="s">
        <v>1471</v>
      </c>
      <c r="C292" t="b">
        <v>1</v>
      </c>
      <c r="D292">
        <v>0</v>
      </c>
      <c r="E292">
        <v>0</v>
      </c>
      <c r="F292">
        <v>0</v>
      </c>
      <c r="G292">
        <v>0</v>
      </c>
      <c r="H292">
        <v>8.1460160532647077</v>
      </c>
      <c r="I292" t="s">
        <v>1472</v>
      </c>
    </row>
    <row r="293" spans="2:9">
      <c r="B293" t="s">
        <v>1473</v>
      </c>
      <c r="C293" t="b">
        <v>1</v>
      </c>
      <c r="D293">
        <v>0</v>
      </c>
      <c r="E293">
        <v>0</v>
      </c>
      <c r="F293">
        <v>0</v>
      </c>
      <c r="G293">
        <v>0</v>
      </c>
      <c r="H293">
        <v>37.881804775848309</v>
      </c>
      <c r="I293" t="s">
        <v>1474</v>
      </c>
    </row>
    <row r="294" spans="2:9">
      <c r="B294" t="s">
        <v>1475</v>
      </c>
      <c r="C294" t="b">
        <v>1</v>
      </c>
      <c r="D294">
        <v>0</v>
      </c>
      <c r="E294">
        <v>0</v>
      </c>
      <c r="F294">
        <v>0</v>
      </c>
      <c r="G294">
        <v>0</v>
      </c>
      <c r="H294">
        <v>8.7455202145738191</v>
      </c>
      <c r="I294" t="s">
        <v>1476</v>
      </c>
    </row>
    <row r="295" spans="2:9">
      <c r="B295" t="s">
        <v>1477</v>
      </c>
      <c r="C295" t="b">
        <v>1</v>
      </c>
      <c r="D295">
        <v>-2.6600318447833615E-3</v>
      </c>
      <c r="E295">
        <v>2.8421709430404007E-14</v>
      </c>
      <c r="F295">
        <v>-8.9587204352416954E-5</v>
      </c>
      <c r="G295">
        <v>-5.0206243291906502E-4</v>
      </c>
      <c r="H295">
        <v>5.2982092870752027</v>
      </c>
      <c r="I295" t="s">
        <v>1478</v>
      </c>
    </row>
    <row r="296" spans="2:9">
      <c r="B296" t="s">
        <v>1479</v>
      </c>
      <c r="C296" t="b">
        <v>1</v>
      </c>
      <c r="D296">
        <v>8.1361584307160228E-5</v>
      </c>
      <c r="E296">
        <v>0</v>
      </c>
      <c r="F296">
        <v>1.1213172257002485E-8</v>
      </c>
      <c r="G296">
        <v>2.106227635996273E-8</v>
      </c>
      <c r="H296">
        <v>3862.9055528784352</v>
      </c>
      <c r="I296" t="s">
        <v>1480</v>
      </c>
    </row>
    <row r="297" spans="2:9">
      <c r="B297" t="s">
        <v>1481</v>
      </c>
      <c r="C297" t="b">
        <v>1</v>
      </c>
      <c r="D297">
        <v>1.4717903480914174E-3</v>
      </c>
      <c r="E297">
        <v>0</v>
      </c>
      <c r="F297">
        <v>6.2777218925381457E-5</v>
      </c>
      <c r="G297">
        <v>2.2806074830566589E-4</v>
      </c>
      <c r="H297">
        <v>6.4535013544671971</v>
      </c>
      <c r="I297" t="s">
        <v>1482</v>
      </c>
    </row>
    <row r="298" spans="2:9">
      <c r="B298" t="s">
        <v>1483</v>
      </c>
      <c r="C298" t="b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1484</v>
      </c>
    </row>
    <row r="299" spans="2:9">
      <c r="B299" t="s">
        <v>1485</v>
      </c>
      <c r="C299" t="b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1486</v>
      </c>
    </row>
    <row r="300" spans="2:9">
      <c r="B300" t="s">
        <v>1487</v>
      </c>
      <c r="C300" t="b">
        <v>1</v>
      </c>
      <c r="D300">
        <v>-3.7135093807592057E-3</v>
      </c>
      <c r="E300">
        <v>7.2759576141834259E-12</v>
      </c>
      <c r="F300">
        <v>-3.9762976616493208E-7</v>
      </c>
      <c r="G300">
        <v>-1.0381435512931551E-6</v>
      </c>
      <c r="H300">
        <v>3577.0673295937759</v>
      </c>
      <c r="I300" t="s">
        <v>1488</v>
      </c>
    </row>
    <row r="301" spans="2:9">
      <c r="B301" t="s">
        <v>1489</v>
      </c>
      <c r="C301" t="b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1490</v>
      </c>
    </row>
    <row r="302" spans="2:9">
      <c r="B302" t="s">
        <v>1491</v>
      </c>
      <c r="C302" t="b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1492</v>
      </c>
    </row>
    <row r="303" spans="2:9">
      <c r="B303" t="s">
        <v>1493</v>
      </c>
      <c r="C303" t="b">
        <v>1</v>
      </c>
      <c r="D303">
        <v>1.1272481458490802E-3</v>
      </c>
      <c r="E303">
        <v>-2.2737367544323206E-13</v>
      </c>
      <c r="F303">
        <v>7.7241963401135816E-6</v>
      </c>
      <c r="G303">
        <v>3.6351939347930987E-5</v>
      </c>
      <c r="H303">
        <v>31.009298707834656</v>
      </c>
      <c r="I303" t="s">
        <v>1494</v>
      </c>
    </row>
    <row r="304" spans="2:9">
      <c r="B304" t="s">
        <v>1495</v>
      </c>
      <c r="C304" t="b">
        <v>1</v>
      </c>
      <c r="D304">
        <v>-1.1368683772161603E-13</v>
      </c>
      <c r="E304">
        <v>4.5474735088646412E-13</v>
      </c>
      <c r="F304">
        <v>-6.2345271293132923E-16</v>
      </c>
      <c r="G304">
        <v>-3.9901329575389136E-15</v>
      </c>
      <c r="H304">
        <v>28.491992354995929</v>
      </c>
      <c r="I304" t="s">
        <v>1496</v>
      </c>
    </row>
    <row r="305" spans="2:9">
      <c r="B305" t="s">
        <v>1497</v>
      </c>
      <c r="C305" t="b">
        <v>1</v>
      </c>
      <c r="D305">
        <v>-9.0949470177292824E-13</v>
      </c>
      <c r="E305">
        <v>2.7284841053187847E-12</v>
      </c>
      <c r="F305">
        <v>-7.1622362316103376E-16</v>
      </c>
      <c r="G305">
        <v>-2.1553620596625636E-15</v>
      </c>
      <c r="H305">
        <v>421.96841022399536</v>
      </c>
      <c r="I305" t="s">
        <v>1498</v>
      </c>
    </row>
    <row r="306" spans="2:9">
      <c r="B306" t="s">
        <v>1499</v>
      </c>
      <c r="C306" t="b">
        <v>1</v>
      </c>
      <c r="D306">
        <v>1.0000076144933701E-7</v>
      </c>
      <c r="E306">
        <v>-7.2759576141834259E-12</v>
      </c>
      <c r="F306">
        <v>3.3783393626597604E-11</v>
      </c>
      <c r="G306">
        <v>6.2627574921303804E-11</v>
      </c>
      <c r="H306">
        <v>1596.7528931943377</v>
      </c>
      <c r="I306" t="s">
        <v>1500</v>
      </c>
    </row>
    <row r="307" spans="2:9">
      <c r="B307" t="s">
        <v>1501</v>
      </c>
      <c r="C307" t="b">
        <v>1</v>
      </c>
      <c r="D307">
        <v>-3.0000228434801102E-7</v>
      </c>
      <c r="E307">
        <v>5.8207660913467407E-11</v>
      </c>
      <c r="F307">
        <v>-1.3367628635558899E-11</v>
      </c>
      <c r="G307">
        <v>-4.0627703716900569E-11</v>
      </c>
      <c r="H307">
        <v>7384.1801751452213</v>
      </c>
      <c r="I307" t="s">
        <v>1502</v>
      </c>
    </row>
    <row r="308" spans="2:9">
      <c r="B308" t="s">
        <v>1503</v>
      </c>
      <c r="C308" t="b">
        <v>1</v>
      </c>
      <c r="D308">
        <v>9.928294166456908E-4</v>
      </c>
      <c r="E308">
        <v>0</v>
      </c>
      <c r="F308">
        <v>3.7014921247108835E-8</v>
      </c>
      <c r="G308">
        <v>1.1609568823790366E-7</v>
      </c>
      <c r="H308">
        <v>8551.8198971453749</v>
      </c>
      <c r="I308" t="s">
        <v>1504</v>
      </c>
    </row>
    <row r="309" spans="2:9">
      <c r="B309" t="s">
        <v>1505</v>
      </c>
      <c r="C309" t="b">
        <v>1</v>
      </c>
      <c r="D309">
        <v>0</v>
      </c>
      <c r="E309">
        <v>0</v>
      </c>
      <c r="F309">
        <v>0</v>
      </c>
      <c r="G309">
        <v>0</v>
      </c>
      <c r="H309">
        <v>75.260647834615611</v>
      </c>
      <c r="I309" t="s">
        <v>1506</v>
      </c>
    </row>
    <row r="310" spans="2:9">
      <c r="B310" t="s">
        <v>1507</v>
      </c>
      <c r="C310" t="b">
        <v>1</v>
      </c>
      <c r="D310">
        <v>0</v>
      </c>
      <c r="E310">
        <v>0</v>
      </c>
      <c r="F310">
        <v>0</v>
      </c>
      <c r="G310">
        <v>0</v>
      </c>
      <c r="H310">
        <v>33.290453727450831</v>
      </c>
      <c r="I310" t="s">
        <v>1508</v>
      </c>
    </row>
    <row r="311" spans="2:9">
      <c r="B311" t="s">
        <v>1509</v>
      </c>
      <c r="C311" t="b">
        <v>1</v>
      </c>
      <c r="D311">
        <v>0</v>
      </c>
      <c r="E311">
        <v>0</v>
      </c>
      <c r="F311">
        <v>0</v>
      </c>
      <c r="G311">
        <v>0</v>
      </c>
      <c r="H311">
        <v>33.290453725763598</v>
      </c>
      <c r="I311" t="s">
        <v>1510</v>
      </c>
    </row>
    <row r="312" spans="2:9">
      <c r="B312" t="s">
        <v>1511</v>
      </c>
      <c r="C312" t="b">
        <v>1</v>
      </c>
      <c r="D312">
        <v>0</v>
      </c>
      <c r="E312">
        <v>0</v>
      </c>
      <c r="F312">
        <v>0</v>
      </c>
      <c r="G312">
        <v>0</v>
      </c>
      <c r="H312">
        <v>125.45078841939011</v>
      </c>
      <c r="I312" t="s">
        <v>1512</v>
      </c>
    </row>
    <row r="313" spans="2:9">
      <c r="B313" t="s">
        <v>1513</v>
      </c>
      <c r="C313" t="b">
        <v>1</v>
      </c>
      <c r="D313">
        <v>9.9999851954635233E-8</v>
      </c>
      <c r="E313">
        <v>0</v>
      </c>
      <c r="F313">
        <v>9.2086233790337368E-10</v>
      </c>
      <c r="G313">
        <v>5.3337853268181651E-9</v>
      </c>
      <c r="H313">
        <v>18.748383338909047</v>
      </c>
      <c r="I313" t="s">
        <v>1514</v>
      </c>
    </row>
    <row r="314" spans="2:9">
      <c r="B314" t="s">
        <v>1515</v>
      </c>
      <c r="C314" t="b">
        <v>1</v>
      </c>
      <c r="D314">
        <v>0</v>
      </c>
      <c r="E314">
        <v>9.0949470177292824E-13</v>
      </c>
      <c r="F314">
        <v>0</v>
      </c>
      <c r="G314">
        <v>0</v>
      </c>
      <c r="H314">
        <v>102.30729488009737</v>
      </c>
      <c r="I314" t="s">
        <v>1516</v>
      </c>
    </row>
    <row r="315" spans="2:9">
      <c r="B315" t="s">
        <v>1517</v>
      </c>
      <c r="C315" t="b">
        <v>1</v>
      </c>
      <c r="D315">
        <v>-9.9999851954635233E-8</v>
      </c>
      <c r="E315">
        <v>-9.0949470177292824E-13</v>
      </c>
      <c r="F315">
        <v>-1.607167174264396E-10</v>
      </c>
      <c r="G315">
        <v>-8.3058956888462746E-10</v>
      </c>
      <c r="H315">
        <v>120.39622901708468</v>
      </c>
      <c r="I315" t="s">
        <v>1518</v>
      </c>
    </row>
    <row r="316" spans="2:9">
      <c r="B316" t="s">
        <v>1519</v>
      </c>
      <c r="C316" t="b">
        <v>1</v>
      </c>
      <c r="D316">
        <v>0</v>
      </c>
      <c r="E316">
        <v>-1.1368683772161603E-12</v>
      </c>
      <c r="F316">
        <v>0</v>
      </c>
      <c r="G316">
        <v>0</v>
      </c>
      <c r="H316">
        <v>120.72057530624248</v>
      </c>
      <c r="I316" t="s">
        <v>1520</v>
      </c>
    </row>
    <row r="317" spans="2:9">
      <c r="B317" t="s">
        <v>1521</v>
      </c>
      <c r="C317" t="b">
        <v>1</v>
      </c>
      <c r="D317">
        <v>-2.5119173187704291E-5</v>
      </c>
      <c r="E317">
        <v>-7.9438411376031581E-5</v>
      </c>
      <c r="F317">
        <v>-2.8959145916093676E-8</v>
      </c>
      <c r="G317">
        <v>-4.2381634849779235E-7</v>
      </c>
      <c r="H317">
        <v>59.26900478648038</v>
      </c>
      <c r="I317" t="s">
        <v>1522</v>
      </c>
    </row>
    <row r="318" spans="2:9">
      <c r="B318" t="s">
        <v>1523</v>
      </c>
      <c r="C318" t="b">
        <v>1</v>
      </c>
      <c r="D318">
        <v>2.2212526528164744E-4</v>
      </c>
      <c r="E318">
        <v>-5.222312145633623E-3</v>
      </c>
      <c r="F318">
        <v>1.4599386438318905E-8</v>
      </c>
      <c r="G318">
        <v>3.2650560737260579E-8</v>
      </c>
      <c r="H318">
        <v>6803.1072136583471</v>
      </c>
      <c r="I318" t="s">
        <v>1524</v>
      </c>
    </row>
    <row r="319" spans="2:9">
      <c r="B319" t="s">
        <v>1525</v>
      </c>
      <c r="C319" t="b">
        <v>1</v>
      </c>
      <c r="D319">
        <v>-3.2806893614178989E-5</v>
      </c>
      <c r="E319">
        <v>7.9579586781619582E-5</v>
      </c>
      <c r="F319">
        <v>-4.0415595963410387E-8</v>
      </c>
      <c r="G319">
        <v>-1.8118291377699671E-7</v>
      </c>
      <c r="H319">
        <v>181.07057078548988</v>
      </c>
      <c r="I319" t="s">
        <v>1526</v>
      </c>
    </row>
    <row r="320" spans="2:9">
      <c r="B320" t="s">
        <v>1527</v>
      </c>
      <c r="C320" t="b">
        <v>1</v>
      </c>
      <c r="D320">
        <v>-9.3482434749603271E-5</v>
      </c>
      <c r="E320">
        <v>-2.2320028656395152E-3</v>
      </c>
      <c r="F320">
        <v>-6.1456495970354501E-9</v>
      </c>
      <c r="G320">
        <v>-3.1408639695552461E-8</v>
      </c>
      <c r="H320">
        <v>2976.3286680269889</v>
      </c>
      <c r="I320" t="s">
        <v>1528</v>
      </c>
    </row>
    <row r="321" spans="2:9">
      <c r="B321" t="s">
        <v>1529</v>
      </c>
      <c r="C321" t="b">
        <v>1</v>
      </c>
      <c r="D321">
        <v>-3.728831943590194E-4</v>
      </c>
      <c r="E321">
        <v>4.9701747775543481E-3</v>
      </c>
      <c r="F321">
        <v>-2.4557056522888732E-8</v>
      </c>
      <c r="G321">
        <v>-6.0425875947056935E-8</v>
      </c>
      <c r="H321">
        <v>6170.9191387763549</v>
      </c>
      <c r="I321" t="s">
        <v>1530</v>
      </c>
    </row>
    <row r="322" spans="2:9">
      <c r="B322" t="s">
        <v>1531</v>
      </c>
      <c r="C322" t="b">
        <v>1</v>
      </c>
      <c r="D322">
        <v>4.5474735088646412E-13</v>
      </c>
      <c r="E322">
        <v>-4.5474735088646412E-13</v>
      </c>
      <c r="F322">
        <v>1.8546359855573985E-15</v>
      </c>
      <c r="G322">
        <v>3.190467477185723E-15</v>
      </c>
      <c r="H322">
        <v>142.5331410328595</v>
      </c>
      <c r="I322" t="s">
        <v>1532</v>
      </c>
    </row>
    <row r="323" spans="2:9">
      <c r="B323" t="s">
        <v>1533</v>
      </c>
      <c r="C323" t="b">
        <v>1</v>
      </c>
      <c r="D323">
        <v>9.9993485491722822E-8</v>
      </c>
      <c r="E323">
        <v>0</v>
      </c>
      <c r="F323">
        <v>1.5002822434980234E-11</v>
      </c>
      <c r="G323">
        <v>4.7165505181218102E-11</v>
      </c>
      <c r="H323">
        <v>2120.0554326203101</v>
      </c>
      <c r="I323" t="s">
        <v>1534</v>
      </c>
    </row>
    <row r="324" spans="2:9">
      <c r="B324" t="s">
        <v>1535</v>
      </c>
      <c r="C324" t="b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1536</v>
      </c>
    </row>
    <row r="325" spans="2:9">
      <c r="B325" t="s">
        <v>1537</v>
      </c>
      <c r="C325" t="b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1538</v>
      </c>
    </row>
    <row r="326" spans="2:9">
      <c r="B326" t="s">
        <v>1539</v>
      </c>
      <c r="C326" t="b">
        <v>1</v>
      </c>
      <c r="D326">
        <v>0</v>
      </c>
      <c r="E326">
        <v>4.5474735088646412E-13</v>
      </c>
      <c r="F326">
        <v>0</v>
      </c>
      <c r="G326">
        <v>0</v>
      </c>
      <c r="H326">
        <v>149.58420132128384</v>
      </c>
      <c r="I326" t="s">
        <v>1540</v>
      </c>
    </row>
    <row r="327" spans="2:9">
      <c r="B327" t="s">
        <v>1541</v>
      </c>
      <c r="C327" t="b">
        <v>1</v>
      </c>
      <c r="D327">
        <v>0</v>
      </c>
      <c r="E327">
        <v>0</v>
      </c>
      <c r="F327">
        <v>0</v>
      </c>
      <c r="G327">
        <v>0</v>
      </c>
      <c r="H327">
        <v>1900.5158125789258</v>
      </c>
      <c r="I327" t="s">
        <v>1542</v>
      </c>
    </row>
    <row r="328" spans="2:9">
      <c r="B328" t="s">
        <v>1543</v>
      </c>
      <c r="C328" t="b">
        <v>1</v>
      </c>
      <c r="D328">
        <v>-4.5474735088646412E-13</v>
      </c>
      <c r="E328">
        <v>4.5474735088646412E-13</v>
      </c>
      <c r="F328">
        <v>-1.5363262826122992E-15</v>
      </c>
      <c r="G328">
        <v>-4.1080142679873771E-15</v>
      </c>
      <c r="H328">
        <v>110.69760746212224</v>
      </c>
      <c r="I328" t="s">
        <v>1544</v>
      </c>
    </row>
    <row r="329" spans="2:9">
      <c r="B329" t="s">
        <v>1545</v>
      </c>
      <c r="C329" t="b">
        <v>1</v>
      </c>
      <c r="D329">
        <v>0</v>
      </c>
      <c r="E329">
        <v>0</v>
      </c>
      <c r="F329">
        <v>0</v>
      </c>
      <c r="G329">
        <v>0</v>
      </c>
      <c r="H329">
        <v>1695.7152388177892</v>
      </c>
      <c r="I329" t="s">
        <v>1546</v>
      </c>
    </row>
    <row r="330" spans="2:9">
      <c r="B330" t="s">
        <v>1547</v>
      </c>
      <c r="C330" t="b">
        <v>1</v>
      </c>
      <c r="D330">
        <v>5.0000380724668503E-7</v>
      </c>
      <c r="E330">
        <v>0</v>
      </c>
      <c r="F330">
        <v>3.7686927819949359E-11</v>
      </c>
      <c r="G330">
        <v>7.5306344029822762E-11</v>
      </c>
      <c r="H330">
        <v>6639.5974162372549</v>
      </c>
      <c r="I330" t="s">
        <v>1548</v>
      </c>
    </row>
    <row r="331" spans="2:9">
      <c r="B331" t="s">
        <v>1549</v>
      </c>
      <c r="C331" t="b">
        <v>1</v>
      </c>
      <c r="D331">
        <v>-3.0000228434801102E-7</v>
      </c>
      <c r="E331">
        <v>0</v>
      </c>
      <c r="F331">
        <v>-1.6462072689239513E-11</v>
      </c>
      <c r="G331">
        <v>-4.6444952125587329E-11</v>
      </c>
      <c r="H331">
        <v>6459.3087217918473</v>
      </c>
      <c r="I331" t="s">
        <v>1550</v>
      </c>
    </row>
    <row r="332" spans="2:9">
      <c r="B332" t="s">
        <v>1551</v>
      </c>
      <c r="C332" t="b">
        <v>1</v>
      </c>
      <c r="D332">
        <v>-1.0000076144933701E-7</v>
      </c>
      <c r="E332">
        <v>0</v>
      </c>
      <c r="F332">
        <v>-6.0013732364247151E-11</v>
      </c>
      <c r="G332">
        <v>-1.3188018752584908E-10</v>
      </c>
      <c r="H332">
        <v>758.26978506332819</v>
      </c>
      <c r="I332" t="s">
        <v>1552</v>
      </c>
    </row>
    <row r="333" spans="2:9">
      <c r="B333" t="s">
        <v>1553</v>
      </c>
      <c r="C333" t="b">
        <v>1</v>
      </c>
      <c r="D333">
        <v>-4.9999999930605554E-5</v>
      </c>
      <c r="E333">
        <v>1.1368683772161603E-13</v>
      </c>
      <c r="F333">
        <v>-1.1952712170887323E-6</v>
      </c>
      <c r="G333">
        <v>-7.0895862875972344E-3</v>
      </c>
      <c r="H333">
        <v>7.0525976978483597E-3</v>
      </c>
      <c r="I333" t="s">
        <v>1554</v>
      </c>
    </row>
    <row r="334" spans="2:9">
      <c r="B334" t="s">
        <v>1555</v>
      </c>
      <c r="C334" t="b">
        <v>1</v>
      </c>
      <c r="D334">
        <v>-4.9999999987448973E-5</v>
      </c>
      <c r="E334">
        <v>-5.6843418860808015E-14</v>
      </c>
      <c r="F334">
        <v>-1.1448348204787832E-6</v>
      </c>
      <c r="G334">
        <v>-4.3960930604709038E-4</v>
      </c>
      <c r="H334">
        <v>0.11373735564663646</v>
      </c>
      <c r="I334" t="s">
        <v>1556</v>
      </c>
    </row>
    <row r="335" spans="2:9">
      <c r="B335" t="s">
        <v>1557</v>
      </c>
      <c r="C335" t="b">
        <v>1</v>
      </c>
      <c r="D335">
        <v>-4.9999999930605554E-5</v>
      </c>
      <c r="E335">
        <v>1.1368683772161603E-13</v>
      </c>
      <c r="F335">
        <v>-1.1952712170887323E-6</v>
      </c>
      <c r="G335">
        <v>-7.0895862875972309E-3</v>
      </c>
      <c r="H335">
        <v>7.0525976978483632E-3</v>
      </c>
      <c r="I335" t="s">
        <v>1558</v>
      </c>
    </row>
    <row r="336" spans="2:9">
      <c r="B336" t="s">
        <v>1559</v>
      </c>
      <c r="C336" t="b">
        <v>1</v>
      </c>
      <c r="D336">
        <v>-4.9999999987448973E-5</v>
      </c>
      <c r="E336">
        <v>-1.1368683772161603E-13</v>
      </c>
      <c r="F336">
        <v>-1.1448348204787832E-6</v>
      </c>
      <c r="G336">
        <v>-4.3960930604709038E-4</v>
      </c>
      <c r="H336">
        <v>0.11373735564663646</v>
      </c>
      <c r="I336" t="s">
        <v>1560</v>
      </c>
    </row>
    <row r="337" spans="2:9">
      <c r="B337" t="s">
        <v>1561</v>
      </c>
      <c r="C337" t="b">
        <v>1</v>
      </c>
      <c r="D337">
        <v>0</v>
      </c>
      <c r="E337">
        <v>0</v>
      </c>
      <c r="F337">
        <v>0</v>
      </c>
      <c r="G337">
        <v>0</v>
      </c>
      <c r="H337">
        <v>396.12586278830321</v>
      </c>
      <c r="I337" t="s">
        <v>1562</v>
      </c>
    </row>
    <row r="338" spans="2:9">
      <c r="B338" t="s">
        <v>1563</v>
      </c>
      <c r="C338" t="b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1564</v>
      </c>
    </row>
    <row r="339" spans="2:9">
      <c r="B339" t="s">
        <v>1565</v>
      </c>
      <c r="C339" t="b">
        <v>1</v>
      </c>
      <c r="D339">
        <v>0</v>
      </c>
      <c r="E339">
        <v>3.637978807091713E-12</v>
      </c>
      <c r="F339">
        <v>0</v>
      </c>
      <c r="G339">
        <v>0</v>
      </c>
      <c r="H339">
        <v>1690.5019252851869</v>
      </c>
      <c r="I339" t="s">
        <v>1566</v>
      </c>
    </row>
    <row r="340" spans="2:9">
      <c r="B340" t="s">
        <v>1567</v>
      </c>
      <c r="C340" t="b">
        <v>1</v>
      </c>
      <c r="D340">
        <v>7.2759576141834259E-12</v>
      </c>
      <c r="E340">
        <v>0</v>
      </c>
      <c r="F340">
        <v>8.9618205384412563E-16</v>
      </c>
      <c r="G340">
        <v>4.217647663384763E-15</v>
      </c>
      <c r="H340">
        <v>1725.1221995969897</v>
      </c>
      <c r="I340" t="s">
        <v>1568</v>
      </c>
    </row>
    <row r="341" spans="2:9">
      <c r="B341" t="s">
        <v>1569</v>
      </c>
      <c r="C341" t="b">
        <v>1</v>
      </c>
      <c r="D341">
        <v>0</v>
      </c>
      <c r="E341">
        <v>0</v>
      </c>
      <c r="F341">
        <v>0</v>
      </c>
      <c r="G341">
        <v>0</v>
      </c>
      <c r="H341">
        <v>101.23032064664967</v>
      </c>
      <c r="I341" t="s">
        <v>1570</v>
      </c>
    </row>
    <row r="342" spans="2:9">
      <c r="B342" t="s">
        <v>1571</v>
      </c>
      <c r="C342" t="b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1572</v>
      </c>
    </row>
    <row r="343" spans="2:9">
      <c r="B343" t="s">
        <v>1573</v>
      </c>
      <c r="C343" t="b">
        <v>1</v>
      </c>
      <c r="D343">
        <v>0</v>
      </c>
      <c r="E343">
        <v>0</v>
      </c>
      <c r="F343">
        <v>0</v>
      </c>
      <c r="G343">
        <v>0</v>
      </c>
      <c r="H343">
        <v>20.842517193931887</v>
      </c>
      <c r="I343" t="s">
        <v>1574</v>
      </c>
    </row>
    <row r="344" spans="2:9">
      <c r="B344" t="s">
        <v>1575</v>
      </c>
      <c r="C344" t="b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1576</v>
      </c>
    </row>
    <row r="345" spans="2:9">
      <c r="B345" t="s">
        <v>1577</v>
      </c>
      <c r="C345" t="b">
        <v>1</v>
      </c>
      <c r="D345">
        <v>0</v>
      </c>
      <c r="E345">
        <v>-7.2759576141834259E-12</v>
      </c>
      <c r="F345">
        <v>0</v>
      </c>
      <c r="G345">
        <v>0</v>
      </c>
      <c r="H345">
        <v>2225.5657208303064</v>
      </c>
      <c r="I345" t="s">
        <v>1578</v>
      </c>
    </row>
    <row r="346" spans="2:9">
      <c r="B346" t="s">
        <v>1579</v>
      </c>
      <c r="C346" t="b">
        <v>1</v>
      </c>
      <c r="D346">
        <v>0</v>
      </c>
      <c r="E346">
        <v>2.1827872842550278E-11</v>
      </c>
      <c r="F346">
        <v>0</v>
      </c>
      <c r="G346">
        <v>0</v>
      </c>
      <c r="H346">
        <v>1850.1359543171181</v>
      </c>
      <c r="I346" t="s">
        <v>1580</v>
      </c>
    </row>
    <row r="347" spans="2:9">
      <c r="B347" t="s">
        <v>1581</v>
      </c>
      <c r="C347" t="b">
        <v>1</v>
      </c>
      <c r="D347">
        <v>-4.5474735088646412E-13</v>
      </c>
      <c r="E347">
        <v>9.0949470177292824E-13</v>
      </c>
      <c r="F347">
        <v>-1.3150983268724658E-15</v>
      </c>
      <c r="G347">
        <v>-5.9515115421669418E-15</v>
      </c>
      <c r="H347">
        <v>76.408715275866015</v>
      </c>
      <c r="I347" t="s">
        <v>1582</v>
      </c>
    </row>
    <row r="348" spans="2:9">
      <c r="B348" t="s">
        <v>1583</v>
      </c>
      <c r="C348" t="b">
        <v>1</v>
      </c>
      <c r="D348">
        <v>0</v>
      </c>
      <c r="E348">
        <v>0</v>
      </c>
      <c r="F348">
        <v>0</v>
      </c>
      <c r="G348">
        <v>0</v>
      </c>
      <c r="H348">
        <v>7.0525976978483588E-3</v>
      </c>
      <c r="I348" t="s">
        <v>1584</v>
      </c>
    </row>
    <row r="349" spans="2:9">
      <c r="B349" t="s">
        <v>1585</v>
      </c>
      <c r="C349" t="b">
        <v>1</v>
      </c>
      <c r="D349">
        <v>0</v>
      </c>
      <c r="E349">
        <v>0</v>
      </c>
      <c r="F349">
        <v>0</v>
      </c>
      <c r="G349">
        <v>0</v>
      </c>
      <c r="H349">
        <v>7.0525976978483632E-3</v>
      </c>
      <c r="I349" t="s">
        <v>1586</v>
      </c>
    </row>
    <row r="350" spans="2:9">
      <c r="B350" t="s">
        <v>1587</v>
      </c>
      <c r="C350" t="b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1588</v>
      </c>
    </row>
    <row r="351" spans="2:9">
      <c r="B351" t="s">
        <v>1589</v>
      </c>
      <c r="C351" t="b">
        <v>1</v>
      </c>
      <c r="D351">
        <v>0</v>
      </c>
      <c r="E351">
        <v>0</v>
      </c>
      <c r="F351">
        <v>0</v>
      </c>
      <c r="G351">
        <v>0</v>
      </c>
      <c r="H351">
        <v>7.0525976978483623E-3</v>
      </c>
      <c r="I351" t="s">
        <v>1590</v>
      </c>
    </row>
    <row r="352" spans="2:9">
      <c r="B352" t="s">
        <v>1591</v>
      </c>
      <c r="C352" t="b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1592</v>
      </c>
    </row>
    <row r="353" spans="2:9">
      <c r="B353" t="s">
        <v>1593</v>
      </c>
      <c r="C353" t="b">
        <v>1</v>
      </c>
      <c r="D353">
        <v>0</v>
      </c>
      <c r="E353">
        <v>0</v>
      </c>
      <c r="F353">
        <v>0</v>
      </c>
      <c r="G353">
        <v>0</v>
      </c>
      <c r="H353">
        <v>29507.943853593832</v>
      </c>
      <c r="I353" t="s">
        <v>1594</v>
      </c>
    </row>
    <row r="354" spans="2:9">
      <c r="B354" t="s">
        <v>1595</v>
      </c>
      <c r="C354" t="b">
        <v>1</v>
      </c>
      <c r="D354">
        <v>0</v>
      </c>
      <c r="E354">
        <v>0</v>
      </c>
      <c r="F354">
        <v>0</v>
      </c>
      <c r="G354">
        <v>0</v>
      </c>
      <c r="H354">
        <v>0.11373735564663649</v>
      </c>
      <c r="I354" t="s">
        <v>1596</v>
      </c>
    </row>
    <row r="355" spans="2:9">
      <c r="B355" t="s">
        <v>1597</v>
      </c>
      <c r="C355" t="b">
        <v>1</v>
      </c>
      <c r="D355">
        <v>0</v>
      </c>
      <c r="E355">
        <v>0</v>
      </c>
      <c r="F355">
        <v>0</v>
      </c>
      <c r="G355">
        <v>0</v>
      </c>
      <c r="H355">
        <v>0.11373735564663648</v>
      </c>
      <c r="I355" t="s">
        <v>1598</v>
      </c>
    </row>
    <row r="356" spans="2:9">
      <c r="B356" t="s">
        <v>1599</v>
      </c>
      <c r="C356" t="b">
        <v>1</v>
      </c>
      <c r="D356">
        <v>0</v>
      </c>
      <c r="E356">
        <v>0</v>
      </c>
      <c r="F356">
        <v>0</v>
      </c>
      <c r="G356">
        <v>0</v>
      </c>
      <c r="H356">
        <v>29507.943853593835</v>
      </c>
      <c r="I356" t="s">
        <v>1600</v>
      </c>
    </row>
    <row r="357" spans="2:9">
      <c r="B357" t="s">
        <v>1601</v>
      </c>
      <c r="C357" t="b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1602</v>
      </c>
    </row>
    <row r="358" spans="2:9">
      <c r="B358" t="s">
        <v>1603</v>
      </c>
      <c r="C358" t="b">
        <v>1</v>
      </c>
      <c r="D358">
        <v>0</v>
      </c>
      <c r="E358">
        <v>0</v>
      </c>
      <c r="F358">
        <v>0</v>
      </c>
      <c r="G358">
        <v>0</v>
      </c>
      <c r="H358">
        <v>7.0525976978483675E-3</v>
      </c>
      <c r="I358" t="s">
        <v>1604</v>
      </c>
    </row>
    <row r="359" spans="2:9">
      <c r="B359" t="s">
        <v>1605</v>
      </c>
      <c r="C359" t="b">
        <v>1</v>
      </c>
      <c r="D359">
        <v>0</v>
      </c>
      <c r="E359">
        <v>0</v>
      </c>
      <c r="F359">
        <v>0</v>
      </c>
      <c r="G359">
        <v>0</v>
      </c>
      <c r="H359">
        <v>0.11373735564663649</v>
      </c>
      <c r="I359" t="s">
        <v>1606</v>
      </c>
    </row>
    <row r="360" spans="2:9">
      <c r="B360" t="s">
        <v>1607</v>
      </c>
      <c r="C360" t="b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1608</v>
      </c>
    </row>
    <row r="361" spans="2:9">
      <c r="B361" t="s">
        <v>1609</v>
      </c>
      <c r="C361" t="b">
        <v>1</v>
      </c>
      <c r="D361">
        <v>0</v>
      </c>
      <c r="E361">
        <v>0</v>
      </c>
      <c r="F361">
        <v>0</v>
      </c>
      <c r="G361">
        <v>0</v>
      </c>
      <c r="H361">
        <v>3.0489260000000008E-2</v>
      </c>
      <c r="I361" t="s">
        <v>1610</v>
      </c>
    </row>
    <row r="362" spans="2:9">
      <c r="B362" t="s">
        <v>1611</v>
      </c>
      <c r="C362" t="b">
        <v>1</v>
      </c>
      <c r="D362">
        <v>0</v>
      </c>
      <c r="E362">
        <v>0</v>
      </c>
      <c r="F362">
        <v>0</v>
      </c>
      <c r="G362">
        <v>0</v>
      </c>
      <c r="H362">
        <v>5.3919999999999996E-2</v>
      </c>
      <c r="I362" t="s">
        <v>1612</v>
      </c>
    </row>
    <row r="363" spans="2:9">
      <c r="B363" t="s">
        <v>1613</v>
      </c>
      <c r="C363" t="b">
        <v>1</v>
      </c>
      <c r="D363">
        <v>0</v>
      </c>
      <c r="E363">
        <v>0</v>
      </c>
      <c r="F363">
        <v>0</v>
      </c>
      <c r="G363">
        <v>0</v>
      </c>
      <c r="H363">
        <v>3.2160000000000001E-2</v>
      </c>
      <c r="I363" t="s">
        <v>1614</v>
      </c>
    </row>
    <row r="364" spans="2:9">
      <c r="B364" t="s">
        <v>1615</v>
      </c>
      <c r="C364" t="b">
        <v>1</v>
      </c>
      <c r="D364">
        <v>0</v>
      </c>
      <c r="E364">
        <v>0</v>
      </c>
      <c r="F364">
        <v>0</v>
      </c>
      <c r="G364">
        <v>0</v>
      </c>
      <c r="H364">
        <v>1.0044445537373232E-4</v>
      </c>
      <c r="I364" t="s">
        <v>1616</v>
      </c>
    </row>
    <row r="365" spans="2:9">
      <c r="B365" t="s">
        <v>1617</v>
      </c>
      <c r="C365" t="b">
        <v>1</v>
      </c>
      <c r="D365">
        <v>0</v>
      </c>
      <c r="E365">
        <v>0</v>
      </c>
      <c r="F365">
        <v>0</v>
      </c>
      <c r="G365">
        <v>0</v>
      </c>
      <c r="H365">
        <v>4.193247189478792E-4</v>
      </c>
      <c r="I365" t="s">
        <v>1618</v>
      </c>
    </row>
    <row r="366" spans="2:9">
      <c r="B366" t="s">
        <v>1619</v>
      </c>
      <c r="C366" t="b">
        <v>1</v>
      </c>
      <c r="D366">
        <v>0</v>
      </c>
      <c r="E366">
        <v>0</v>
      </c>
      <c r="F366">
        <v>0</v>
      </c>
      <c r="G366">
        <v>0</v>
      </c>
      <c r="H366">
        <v>5.1059999999999987E-2</v>
      </c>
      <c r="I366" t="s">
        <v>1620</v>
      </c>
    </row>
    <row r="367" spans="2:9">
      <c r="B367" t="s">
        <v>1621</v>
      </c>
      <c r="C367" t="b">
        <v>1</v>
      </c>
      <c r="D367">
        <v>0</v>
      </c>
      <c r="E367">
        <v>0</v>
      </c>
      <c r="F367">
        <v>0</v>
      </c>
      <c r="G367">
        <v>0</v>
      </c>
      <c r="H367">
        <v>1.8645686609636069E-4</v>
      </c>
      <c r="I367" t="s">
        <v>1622</v>
      </c>
    </row>
    <row r="368" spans="2:9">
      <c r="B368" t="s">
        <v>1623</v>
      </c>
      <c r="C368" t="b">
        <v>1</v>
      </c>
      <c r="D368">
        <v>0</v>
      </c>
      <c r="E368">
        <v>0</v>
      </c>
      <c r="F368">
        <v>0</v>
      </c>
      <c r="G368">
        <v>0</v>
      </c>
      <c r="H368">
        <v>1.347860940005443E-5</v>
      </c>
      <c r="I368" t="s">
        <v>1624</v>
      </c>
    </row>
    <row r="369" spans="2:9">
      <c r="B369" t="s">
        <v>1625</v>
      </c>
      <c r="C369" t="b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1626</v>
      </c>
    </row>
    <row r="370" spans="2:9">
      <c r="B370" t="s">
        <v>1627</v>
      </c>
      <c r="C370" t="b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1628</v>
      </c>
    </row>
    <row r="371" spans="2:9">
      <c r="B371" t="s">
        <v>1629</v>
      </c>
      <c r="C371" t="b">
        <v>1</v>
      </c>
      <c r="D371">
        <v>0</v>
      </c>
      <c r="E371">
        <v>0</v>
      </c>
      <c r="F371">
        <v>0</v>
      </c>
      <c r="G371">
        <v>0</v>
      </c>
      <c r="H371">
        <v>2.629540057573696E-4</v>
      </c>
      <c r="I371" t="s">
        <v>1630</v>
      </c>
    </row>
    <row r="372" spans="2:9">
      <c r="B372" t="s">
        <v>1631</v>
      </c>
      <c r="C372" t="b">
        <v>1</v>
      </c>
      <c r="D372">
        <v>0</v>
      </c>
      <c r="E372">
        <v>0</v>
      </c>
      <c r="F372">
        <v>0</v>
      </c>
      <c r="G372">
        <v>0</v>
      </c>
      <c r="H372">
        <v>1.1034501739843423E-5</v>
      </c>
      <c r="I372" t="s">
        <v>1632</v>
      </c>
    </row>
    <row r="373" spans="2:9">
      <c r="B373" t="s">
        <v>1633</v>
      </c>
      <c r="C373" t="b">
        <v>1</v>
      </c>
      <c r="D373">
        <v>0</v>
      </c>
      <c r="E373">
        <v>0</v>
      </c>
      <c r="F373">
        <v>0</v>
      </c>
      <c r="G373">
        <v>0</v>
      </c>
      <c r="H373">
        <v>8.2764026377761187E-6</v>
      </c>
      <c r="I373" t="s">
        <v>1634</v>
      </c>
    </row>
    <row r="374" spans="2:9">
      <c r="B374" t="s">
        <v>1635</v>
      </c>
      <c r="C374" t="b">
        <v>1</v>
      </c>
      <c r="D374">
        <v>0</v>
      </c>
      <c r="E374">
        <v>0</v>
      </c>
      <c r="F374">
        <v>0</v>
      </c>
      <c r="G374">
        <v>0</v>
      </c>
      <c r="H374">
        <v>1.3382467711926145E-3</v>
      </c>
      <c r="I374" t="s">
        <v>1636</v>
      </c>
    </row>
    <row r="375" spans="2:9">
      <c r="B375" t="s">
        <v>1637</v>
      </c>
      <c r="C375" t="b">
        <v>1</v>
      </c>
      <c r="D375">
        <v>0</v>
      </c>
      <c r="E375">
        <v>0</v>
      </c>
      <c r="F375">
        <v>0</v>
      </c>
      <c r="G375">
        <v>0</v>
      </c>
      <c r="H375">
        <v>1.3382467711926145E-3</v>
      </c>
      <c r="I375" t="s">
        <v>1638</v>
      </c>
    </row>
    <row r="376" spans="2:9">
      <c r="B376" t="s">
        <v>1639</v>
      </c>
      <c r="C376" t="b">
        <v>1</v>
      </c>
      <c r="D376">
        <v>0</v>
      </c>
      <c r="E376">
        <v>0</v>
      </c>
      <c r="F376">
        <v>0</v>
      </c>
      <c r="G376">
        <v>0</v>
      </c>
      <c r="H376">
        <v>1761.5208307936514</v>
      </c>
      <c r="I376" t="s">
        <v>1640</v>
      </c>
    </row>
    <row r="377" spans="2:9">
      <c r="B377" t="s">
        <v>1641</v>
      </c>
      <c r="C377" t="b">
        <v>1</v>
      </c>
      <c r="D377">
        <v>0</v>
      </c>
      <c r="E377">
        <v>0</v>
      </c>
      <c r="F377">
        <v>0</v>
      </c>
      <c r="G377">
        <v>0</v>
      </c>
      <c r="H377">
        <v>1523.0906115797864</v>
      </c>
      <c r="I377" t="s">
        <v>1642</v>
      </c>
    </row>
    <row r="378" spans="2:9">
      <c r="B378" t="s">
        <v>1643</v>
      </c>
      <c r="C378" t="b">
        <v>1</v>
      </c>
      <c r="D378">
        <v>0</v>
      </c>
      <c r="E378">
        <v>0</v>
      </c>
      <c r="F378">
        <v>0</v>
      </c>
      <c r="G378">
        <v>0</v>
      </c>
      <c r="H378">
        <v>0.28909652578435635</v>
      </c>
      <c r="I378" t="s">
        <v>1644</v>
      </c>
    </row>
    <row r="379" spans="2:9">
      <c r="B379" t="s">
        <v>1645</v>
      </c>
      <c r="C379" t="b">
        <v>1</v>
      </c>
      <c r="D379">
        <v>0</v>
      </c>
      <c r="E379">
        <v>0</v>
      </c>
      <c r="F379">
        <v>0</v>
      </c>
      <c r="G379">
        <v>0</v>
      </c>
      <c r="H379">
        <v>0.22798224227804159</v>
      </c>
      <c r="I379" t="s">
        <v>1646</v>
      </c>
    </row>
    <row r="380" spans="2:9">
      <c r="B380" t="s">
        <v>1647</v>
      </c>
      <c r="C380" t="b">
        <v>1</v>
      </c>
      <c r="D380">
        <v>0</v>
      </c>
      <c r="E380">
        <v>0</v>
      </c>
      <c r="F380">
        <v>0</v>
      </c>
      <c r="G380">
        <v>0</v>
      </c>
      <c r="H380">
        <v>1523.0906115797864</v>
      </c>
      <c r="I380" t="s">
        <v>1648</v>
      </c>
    </row>
    <row r="381" spans="2:9">
      <c r="B381" t="s">
        <v>1649</v>
      </c>
      <c r="C381" t="b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1650</v>
      </c>
    </row>
    <row r="382" spans="2:9">
      <c r="B382" t="s">
        <v>1651</v>
      </c>
      <c r="C382" t="b">
        <v>1</v>
      </c>
      <c r="D382">
        <v>0</v>
      </c>
      <c r="E382">
        <v>0</v>
      </c>
      <c r="F382">
        <v>0</v>
      </c>
      <c r="G382">
        <v>0</v>
      </c>
      <c r="H382">
        <v>2515.7020442730236</v>
      </c>
      <c r="I382" t="s">
        <v>1652</v>
      </c>
    </row>
    <row r="383" spans="2:9">
      <c r="B383" t="s">
        <v>1653</v>
      </c>
      <c r="C383" t="b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1654</v>
      </c>
    </row>
    <row r="384" spans="2:9">
      <c r="B384" t="s">
        <v>1655</v>
      </c>
      <c r="C384" t="b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1656</v>
      </c>
    </row>
    <row r="385" spans="2:9">
      <c r="B385" t="s">
        <v>1657</v>
      </c>
      <c r="C385" t="b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1658</v>
      </c>
    </row>
    <row r="386" spans="2:9">
      <c r="B386" t="s">
        <v>1659</v>
      </c>
      <c r="C386" t="b">
        <v>1</v>
      </c>
      <c r="D386">
        <v>0</v>
      </c>
      <c r="E386">
        <v>0</v>
      </c>
      <c r="F386">
        <v>0</v>
      </c>
      <c r="G386">
        <v>0</v>
      </c>
      <c r="H386">
        <v>1761.5208307936509</v>
      </c>
      <c r="I386" t="s">
        <v>1660</v>
      </c>
    </row>
    <row r="387" spans="2:9">
      <c r="B387" t="s">
        <v>1661</v>
      </c>
      <c r="C387" t="b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1662</v>
      </c>
    </row>
    <row r="388" spans="2:9">
      <c r="B388" t="s">
        <v>1663</v>
      </c>
      <c r="C388" t="b">
        <v>1</v>
      </c>
      <c r="D388">
        <v>0</v>
      </c>
      <c r="E388">
        <v>0</v>
      </c>
      <c r="F388">
        <v>0</v>
      </c>
      <c r="G388">
        <v>0</v>
      </c>
      <c r="H388">
        <v>0.22798224227804159</v>
      </c>
      <c r="I388" t="s">
        <v>1664</v>
      </c>
    </row>
    <row r="389" spans="2:9">
      <c r="B389" t="s">
        <v>1665</v>
      </c>
      <c r="C389" t="b">
        <v>1</v>
      </c>
      <c r="D389">
        <v>0</v>
      </c>
      <c r="E389">
        <v>0</v>
      </c>
      <c r="F389">
        <v>0</v>
      </c>
      <c r="G389">
        <v>0</v>
      </c>
      <c r="H389">
        <v>1172.052298114887</v>
      </c>
      <c r="I389" t="s">
        <v>1666</v>
      </c>
    </row>
    <row r="390" spans="2:9">
      <c r="B390" t="s">
        <v>1667</v>
      </c>
      <c r="C390" t="b">
        <v>1</v>
      </c>
      <c r="D390">
        <v>0</v>
      </c>
      <c r="E390">
        <v>0</v>
      </c>
      <c r="F390">
        <v>0</v>
      </c>
      <c r="G390">
        <v>0</v>
      </c>
      <c r="H390">
        <v>1172.052298114887</v>
      </c>
      <c r="I390" t="s">
        <v>1668</v>
      </c>
    </row>
    <row r="391" spans="2:9">
      <c r="B391" t="s">
        <v>1669</v>
      </c>
      <c r="C391" t="b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1670</v>
      </c>
    </row>
    <row r="392" spans="2:9">
      <c r="B392" t="s">
        <v>1671</v>
      </c>
      <c r="C392" t="b">
        <v>1</v>
      </c>
      <c r="D392">
        <v>0</v>
      </c>
      <c r="E392">
        <v>0</v>
      </c>
      <c r="F392">
        <v>0</v>
      </c>
      <c r="G392">
        <v>0</v>
      </c>
      <c r="H392">
        <v>1172.052298114887</v>
      </c>
      <c r="I392" t="s">
        <v>1672</v>
      </c>
    </row>
    <row r="393" spans="2:9">
      <c r="B393" t="s">
        <v>1673</v>
      </c>
      <c r="C393" t="b">
        <v>1</v>
      </c>
      <c r="D393">
        <v>0</v>
      </c>
      <c r="E393">
        <v>0</v>
      </c>
      <c r="F393">
        <v>0</v>
      </c>
      <c r="G393">
        <v>0</v>
      </c>
      <c r="H393">
        <v>0.11373735564663649</v>
      </c>
      <c r="I393" t="s">
        <v>1674</v>
      </c>
    </row>
    <row r="394" spans="2:9">
      <c r="B394" t="s">
        <v>1675</v>
      </c>
      <c r="C394" t="b">
        <v>1</v>
      </c>
      <c r="D394">
        <v>0</v>
      </c>
      <c r="E394">
        <v>0</v>
      </c>
      <c r="F394">
        <v>0</v>
      </c>
      <c r="G394">
        <v>0</v>
      </c>
      <c r="H394">
        <v>3.0394932044398138E-4</v>
      </c>
      <c r="I394" t="s">
        <v>1676</v>
      </c>
    </row>
    <row r="395" spans="2:9">
      <c r="B395" t="s">
        <v>1677</v>
      </c>
      <c r="C395" t="b">
        <v>1</v>
      </c>
      <c r="D395">
        <v>0</v>
      </c>
      <c r="E395">
        <v>0</v>
      </c>
      <c r="F395">
        <v>0</v>
      </c>
      <c r="G395">
        <v>0</v>
      </c>
      <c r="H395">
        <v>1.8124455796419731E-4</v>
      </c>
      <c r="I395" t="s">
        <v>1678</v>
      </c>
    </row>
    <row r="396" spans="2:9">
      <c r="B396" t="s">
        <v>1679</v>
      </c>
      <c r="C396" t="b">
        <v>1</v>
      </c>
      <c r="D396">
        <v>0</v>
      </c>
      <c r="E396">
        <v>0</v>
      </c>
      <c r="F396">
        <v>0</v>
      </c>
      <c r="G396">
        <v>0</v>
      </c>
      <c r="H396">
        <v>0.28909652578435641</v>
      </c>
      <c r="I396" t="s">
        <v>1680</v>
      </c>
    </row>
    <row r="397" spans="2:9">
      <c r="B397" t="s">
        <v>1681</v>
      </c>
      <c r="C397" t="b">
        <v>1</v>
      </c>
      <c r="D397">
        <v>0</v>
      </c>
      <c r="E397">
        <v>0</v>
      </c>
      <c r="F397">
        <v>0</v>
      </c>
      <c r="G397">
        <v>0</v>
      </c>
      <c r="H397">
        <v>0.22798224227804159</v>
      </c>
      <c r="I397" t="s">
        <v>1682</v>
      </c>
    </row>
    <row r="398" spans="2:9">
      <c r="B398" t="s">
        <v>1683</v>
      </c>
      <c r="C398" t="b">
        <v>1</v>
      </c>
      <c r="D398">
        <v>0</v>
      </c>
      <c r="E398">
        <v>0</v>
      </c>
      <c r="F398">
        <v>0</v>
      </c>
      <c r="G398">
        <v>0</v>
      </c>
      <c r="H398">
        <v>0.28909652578435641</v>
      </c>
      <c r="I398" t="s">
        <v>1684</v>
      </c>
    </row>
    <row r="399" spans="2:9">
      <c r="B399" t="s">
        <v>1685</v>
      </c>
      <c r="C399" t="b">
        <v>1</v>
      </c>
      <c r="D399">
        <v>0</v>
      </c>
      <c r="E399">
        <v>0</v>
      </c>
      <c r="F399">
        <v>0</v>
      </c>
      <c r="G399">
        <v>0</v>
      </c>
      <c r="H399">
        <v>0.22798224227804167</v>
      </c>
      <c r="I399" t="s">
        <v>1686</v>
      </c>
    </row>
    <row r="400" spans="2:9">
      <c r="B400" t="s">
        <v>1687</v>
      </c>
      <c r="C400" t="b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1688</v>
      </c>
    </row>
    <row r="401" spans="2:9">
      <c r="B401" t="s">
        <v>1689</v>
      </c>
      <c r="C401" t="b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1690</v>
      </c>
    </row>
    <row r="402" spans="2:9">
      <c r="B402" t="s">
        <v>1691</v>
      </c>
      <c r="C402" t="b">
        <v>1</v>
      </c>
      <c r="D402">
        <v>0</v>
      </c>
      <c r="E402">
        <v>0</v>
      </c>
      <c r="F402">
        <v>0</v>
      </c>
      <c r="G402">
        <v>0</v>
      </c>
      <c r="H402">
        <v>0.28909652578435641</v>
      </c>
      <c r="I402" t="s">
        <v>1692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1"/>
  <dimension ref="A1:I402"/>
  <sheetViews>
    <sheetView topLeftCell="A16" workbookViewId="0">
      <selection activeCell="E150" sqref="E150:F386"/>
    </sheetView>
  </sheetViews>
  <sheetFormatPr defaultRowHeight="15"/>
  <cols>
    <col min="1" max="1" width="2.7109375" customWidth="1"/>
    <col min="2" max="2" width="13.28515625" customWidth="1"/>
    <col min="3" max="3" width="25.7109375" customWidth="1"/>
    <col min="4" max="10" width="15.28515625" customWidth="1"/>
  </cols>
  <sheetData>
    <row r="1" spans="1:9">
      <c r="A1" s="34" t="s">
        <v>1124</v>
      </c>
    </row>
    <row r="2" spans="1:9">
      <c r="A2" s="34" t="s">
        <v>1125</v>
      </c>
    </row>
    <row r="3" spans="1:9">
      <c r="A3" s="34" t="s">
        <v>1693</v>
      </c>
    </row>
    <row r="5" spans="1:9" ht="15.75" thickBot="1">
      <c r="A5" s="34" t="s">
        <v>67</v>
      </c>
    </row>
    <row r="6" spans="1:9" ht="30.75" thickBot="1">
      <c r="B6" s="35" t="s">
        <v>1127</v>
      </c>
      <c r="C6" s="35" t="s">
        <v>1128</v>
      </c>
      <c r="D6" s="35" t="s">
        <v>1129</v>
      </c>
      <c r="E6" s="35" t="s">
        <v>1130</v>
      </c>
      <c r="F6" s="35" t="s">
        <v>1131</v>
      </c>
      <c r="G6" s="35" t="s">
        <v>1</v>
      </c>
      <c r="H6" s="35" t="s">
        <v>1132</v>
      </c>
    </row>
    <row r="7" spans="1:9">
      <c r="B7">
        <v>146</v>
      </c>
      <c r="C7">
        <v>91</v>
      </c>
      <c r="D7">
        <v>55</v>
      </c>
      <c r="E7">
        <v>0</v>
      </c>
      <c r="F7">
        <v>0</v>
      </c>
      <c r="G7">
        <v>237</v>
      </c>
      <c r="H7">
        <v>68</v>
      </c>
    </row>
    <row r="8" spans="1:9" ht="15.75" thickBot="1">
      <c r="A8" s="34" t="s">
        <v>1133</v>
      </c>
    </row>
    <row r="9" spans="1:9" ht="15.75" thickBot="1">
      <c r="B9" s="35" t="s">
        <v>1134</v>
      </c>
      <c r="C9" s="35" t="s">
        <v>1135</v>
      </c>
      <c r="D9" s="35" t="s">
        <v>1136</v>
      </c>
      <c r="E9" s="35" t="s">
        <v>1137</v>
      </c>
      <c r="F9" s="35" t="s">
        <v>1138</v>
      </c>
      <c r="G9" s="35" t="s">
        <v>1133</v>
      </c>
    </row>
    <row r="10" spans="1:9">
      <c r="B10" t="b">
        <v>0</v>
      </c>
      <c r="C10" s="36" t="s">
        <v>1694</v>
      </c>
      <c r="D10">
        <v>0.46899999999999997</v>
      </c>
      <c r="E10">
        <v>100</v>
      </c>
      <c r="F10">
        <v>6.1215761694360472E-2</v>
      </c>
      <c r="G10">
        <v>0</v>
      </c>
    </row>
    <row r="11" spans="1:9" ht="15.75" thickBot="1">
      <c r="A11" s="34" t="s">
        <v>61</v>
      </c>
    </row>
    <row r="12" spans="1:9" ht="30.75" thickBot="1">
      <c r="B12" s="35" t="s">
        <v>1140</v>
      </c>
      <c r="C12" s="35" t="s">
        <v>1141</v>
      </c>
      <c r="D12" s="35" t="s">
        <v>1142</v>
      </c>
      <c r="E12" s="35" t="s">
        <v>1143</v>
      </c>
      <c r="F12" s="35" t="s">
        <v>1144</v>
      </c>
      <c r="G12" s="35" t="s">
        <v>1145</v>
      </c>
    </row>
    <row r="13" spans="1:9">
      <c r="B13" t="s">
        <v>1146</v>
      </c>
      <c r="C13" s="36">
        <v>2758.9735149100429</v>
      </c>
      <c r="D13">
        <v>46.194259438116305</v>
      </c>
      <c r="E13">
        <v>32</v>
      </c>
      <c r="F13">
        <v>2.0678857603941312</v>
      </c>
      <c r="G13">
        <v>2.4598057814146737</v>
      </c>
    </row>
    <row r="15" spans="1:9" ht="15.75" thickBot="1">
      <c r="A15" s="34" t="s">
        <v>1147</v>
      </c>
    </row>
    <row r="16" spans="1:9" ht="30.75" thickBot="1">
      <c r="B16" s="35" t="s">
        <v>1140</v>
      </c>
      <c r="C16" s="35" t="s">
        <v>1148</v>
      </c>
      <c r="D16" s="35" t="s">
        <v>1149</v>
      </c>
      <c r="E16" s="35" t="s">
        <v>1150</v>
      </c>
      <c r="F16" s="35" t="s">
        <v>1151</v>
      </c>
      <c r="G16" s="35" t="s">
        <v>1152</v>
      </c>
      <c r="H16" s="35" t="s">
        <v>1153</v>
      </c>
      <c r="I16" s="35" t="s">
        <v>1154</v>
      </c>
    </row>
    <row r="17" spans="2:9">
      <c r="B17" t="s">
        <v>1155</v>
      </c>
      <c r="C17">
        <v>-724.07654786354669</v>
      </c>
      <c r="D17">
        <v>1176.4000000000001</v>
      </c>
      <c r="E17" t="s">
        <v>1156</v>
      </c>
      <c r="F17" s="36">
        <v>-5.8009420601378361</v>
      </c>
      <c r="G17">
        <v>-4.0387549895094077</v>
      </c>
      <c r="H17">
        <v>470.56</v>
      </c>
      <c r="I17">
        <v>327.61515770395226</v>
      </c>
    </row>
    <row r="18" spans="2:9">
      <c r="B18" t="s">
        <v>1157</v>
      </c>
      <c r="C18">
        <v>-0.3918007</v>
      </c>
      <c r="E18" t="s">
        <v>1695</v>
      </c>
      <c r="I18">
        <v>0</v>
      </c>
    </row>
    <row r="19" spans="2:9">
      <c r="B19" t="s">
        <v>1158</v>
      </c>
      <c r="C19">
        <v>2105.2852009476715</v>
      </c>
      <c r="E19" t="s">
        <v>1695</v>
      </c>
      <c r="I19">
        <v>325.4647186788103</v>
      </c>
    </row>
    <row r="20" spans="2:9">
      <c r="B20" t="s">
        <v>1159</v>
      </c>
      <c r="C20">
        <v>3.5199002841022577E-34</v>
      </c>
      <c r="E20" t="s">
        <v>1695</v>
      </c>
      <c r="I20">
        <v>0</v>
      </c>
    </row>
    <row r="21" spans="2:9">
      <c r="B21" t="s">
        <v>1160</v>
      </c>
      <c r="C21">
        <v>0.40776172813470779</v>
      </c>
      <c r="E21" t="s">
        <v>1695</v>
      </c>
      <c r="I21">
        <v>116.58764258291554</v>
      </c>
    </row>
    <row r="22" spans="2:9">
      <c r="B22" t="s">
        <v>1162</v>
      </c>
      <c r="C22">
        <v>-3.3195960467221399E-35</v>
      </c>
      <c r="E22" t="s">
        <v>1695</v>
      </c>
      <c r="I22">
        <v>0</v>
      </c>
    </row>
    <row r="23" spans="2:9">
      <c r="B23" t="s">
        <v>1163</v>
      </c>
      <c r="C23">
        <v>1287.6652647000001</v>
      </c>
      <c r="D23">
        <v>1287.6652647000001</v>
      </c>
      <c r="E23" t="s">
        <v>1161</v>
      </c>
      <c r="F23">
        <v>0</v>
      </c>
      <c r="G23">
        <v>0</v>
      </c>
      <c r="H23">
        <v>0</v>
      </c>
      <c r="I23">
        <v>0</v>
      </c>
    </row>
    <row r="24" spans="2:9">
      <c r="B24" t="s">
        <v>1164</v>
      </c>
      <c r="C24">
        <v>0.3918007</v>
      </c>
      <c r="D24">
        <v>0.3918007</v>
      </c>
      <c r="E24" t="s">
        <v>1161</v>
      </c>
      <c r="F24">
        <v>0</v>
      </c>
      <c r="G24">
        <v>0</v>
      </c>
      <c r="H24">
        <v>0</v>
      </c>
      <c r="I24">
        <v>0</v>
      </c>
    </row>
    <row r="25" spans="2:9">
      <c r="B25" t="s">
        <v>1165</v>
      </c>
      <c r="C25">
        <v>93.951150112259413</v>
      </c>
      <c r="D25">
        <v>115.6259</v>
      </c>
      <c r="E25" t="s">
        <v>1156</v>
      </c>
      <c r="F25">
        <v>-0.31419082395802633</v>
      </c>
      <c r="G25">
        <v>-0.3124263953511654</v>
      </c>
      <c r="H25">
        <v>69.375540000000001</v>
      </c>
      <c r="I25">
        <v>68.985941774786468</v>
      </c>
    </row>
    <row r="26" spans="2:9">
      <c r="B26" t="s">
        <v>1166</v>
      </c>
      <c r="C26">
        <v>-2.8754088366121833</v>
      </c>
      <c r="E26" t="s">
        <v>1695</v>
      </c>
      <c r="I26">
        <v>1416.1553997159908</v>
      </c>
    </row>
    <row r="27" spans="2:9">
      <c r="B27" t="s">
        <v>1167</v>
      </c>
      <c r="C27">
        <v>5086</v>
      </c>
      <c r="D27">
        <v>5086</v>
      </c>
      <c r="E27" t="s">
        <v>1161</v>
      </c>
      <c r="F27">
        <v>0</v>
      </c>
      <c r="G27">
        <v>0</v>
      </c>
      <c r="H27">
        <v>0</v>
      </c>
      <c r="I27">
        <v>0</v>
      </c>
    </row>
    <row r="28" spans="2:9">
      <c r="B28" t="s">
        <v>1168</v>
      </c>
      <c r="C28">
        <v>5086</v>
      </c>
      <c r="E28" t="s">
        <v>1695</v>
      </c>
      <c r="I28">
        <v>0</v>
      </c>
    </row>
    <row r="29" spans="2:9">
      <c r="B29" t="s">
        <v>1169</v>
      </c>
      <c r="E29" t="s">
        <v>1696</v>
      </c>
    </row>
    <row r="30" spans="2:9">
      <c r="B30" t="s">
        <v>1170</v>
      </c>
      <c r="C30">
        <v>0.43959999999999999</v>
      </c>
      <c r="E30" t="s">
        <v>1695</v>
      </c>
      <c r="I30">
        <v>0</v>
      </c>
    </row>
    <row r="31" spans="2:9">
      <c r="B31" t="s">
        <v>1171</v>
      </c>
      <c r="E31" t="s">
        <v>1696</v>
      </c>
    </row>
    <row r="32" spans="2:9">
      <c r="B32" t="s">
        <v>1172</v>
      </c>
      <c r="C32">
        <v>0</v>
      </c>
      <c r="E32" t="s">
        <v>1695</v>
      </c>
      <c r="I32">
        <v>0</v>
      </c>
    </row>
    <row r="33" spans="2:9">
      <c r="B33" t="s">
        <v>1173</v>
      </c>
      <c r="C33">
        <v>3.7107842999999998</v>
      </c>
      <c r="D33">
        <v>3.7107842999999998</v>
      </c>
      <c r="E33" t="s">
        <v>1161</v>
      </c>
      <c r="F33">
        <v>0</v>
      </c>
      <c r="G33">
        <v>0</v>
      </c>
      <c r="H33">
        <v>0</v>
      </c>
      <c r="I33">
        <v>0</v>
      </c>
    </row>
    <row r="34" spans="2:9">
      <c r="B34" t="s">
        <v>1174</v>
      </c>
      <c r="E34" t="s">
        <v>1696</v>
      </c>
    </row>
    <row r="35" spans="2:9">
      <c r="B35" t="s">
        <v>1175</v>
      </c>
      <c r="C35">
        <v>5229.1994203962604</v>
      </c>
      <c r="D35">
        <v>3986.5929999999998</v>
      </c>
      <c r="E35" t="s">
        <v>1271</v>
      </c>
      <c r="F35">
        <v>0.77924083390390286</v>
      </c>
      <c r="G35">
        <v>0.77924083321037574</v>
      </c>
      <c r="H35">
        <v>1594.6371999999999</v>
      </c>
      <c r="I35">
        <v>1594.6371985807671</v>
      </c>
    </row>
    <row r="36" spans="2:9">
      <c r="B36" t="s">
        <v>1176</v>
      </c>
      <c r="E36" t="s">
        <v>1696</v>
      </c>
    </row>
    <row r="37" spans="2:9">
      <c r="B37" t="s">
        <v>1177</v>
      </c>
      <c r="C37">
        <v>8.3917198671429531E-30</v>
      </c>
      <c r="E37" t="s">
        <v>1695</v>
      </c>
      <c r="I37">
        <v>3.0947490465007593E-13</v>
      </c>
    </row>
    <row r="38" spans="2:9">
      <c r="B38" t="s">
        <v>1178</v>
      </c>
      <c r="E38" t="s">
        <v>1696</v>
      </c>
    </row>
    <row r="39" spans="2:9">
      <c r="B39" t="s">
        <v>1179</v>
      </c>
      <c r="C39">
        <v>13007.602171334236</v>
      </c>
      <c r="E39" t="s">
        <v>1695</v>
      </c>
      <c r="I39">
        <v>855.45375594156428</v>
      </c>
    </row>
    <row r="40" spans="2:9">
      <c r="B40" t="s">
        <v>1180</v>
      </c>
      <c r="E40" t="s">
        <v>1696</v>
      </c>
    </row>
    <row r="41" spans="2:9">
      <c r="B41" t="s">
        <v>1181</v>
      </c>
      <c r="C41">
        <v>4700.4379387999998</v>
      </c>
      <c r="D41">
        <v>4700.4379387999998</v>
      </c>
      <c r="E41" t="s">
        <v>1161</v>
      </c>
      <c r="F41">
        <v>0</v>
      </c>
      <c r="G41">
        <v>0</v>
      </c>
      <c r="H41">
        <v>0</v>
      </c>
      <c r="I41">
        <v>0</v>
      </c>
    </row>
    <row r="42" spans="2:9">
      <c r="B42" t="s">
        <v>1182</v>
      </c>
      <c r="C42">
        <v>0.37452200000000002</v>
      </c>
      <c r="D42">
        <v>0.37452200000000002</v>
      </c>
      <c r="E42" t="s">
        <v>1161</v>
      </c>
      <c r="F42">
        <v>0</v>
      </c>
      <c r="G42">
        <v>0</v>
      </c>
      <c r="H42">
        <v>0</v>
      </c>
      <c r="I42">
        <v>0</v>
      </c>
    </row>
    <row r="43" spans="2:9">
      <c r="B43" t="s">
        <v>1183</v>
      </c>
      <c r="C43">
        <v>13536.363652930497</v>
      </c>
      <c r="E43" t="s">
        <v>1695</v>
      </c>
      <c r="I43">
        <v>1809.6046315761321</v>
      </c>
    </row>
    <row r="44" spans="2:9">
      <c r="B44" t="s">
        <v>1184</v>
      </c>
      <c r="C44">
        <v>-2.8754088366121837</v>
      </c>
      <c r="D44">
        <v>2360.259</v>
      </c>
      <c r="E44" t="s">
        <v>1271</v>
      </c>
      <c r="F44">
        <v>-1.6686971001279498</v>
      </c>
      <c r="G44">
        <v>-1.6686970997932939</v>
      </c>
      <c r="H44">
        <v>1416.1554000000001</v>
      </c>
      <c r="I44">
        <v>1416.1553997159913</v>
      </c>
    </row>
    <row r="45" spans="2:9">
      <c r="B45" t="s">
        <v>1185</v>
      </c>
      <c r="C45">
        <v>5086</v>
      </c>
      <c r="D45">
        <v>5086</v>
      </c>
      <c r="E45" t="s">
        <v>1161</v>
      </c>
      <c r="F45">
        <v>0</v>
      </c>
      <c r="G45">
        <v>0</v>
      </c>
      <c r="H45">
        <v>0</v>
      </c>
      <c r="I45">
        <v>0</v>
      </c>
    </row>
    <row r="46" spans="2:9">
      <c r="B46" t="s">
        <v>1186</v>
      </c>
      <c r="C46">
        <v>5086</v>
      </c>
      <c r="E46" t="s">
        <v>1695</v>
      </c>
      <c r="I46">
        <v>0</v>
      </c>
    </row>
    <row r="47" spans="2:9">
      <c r="B47" t="s">
        <v>1187</v>
      </c>
      <c r="E47" t="s">
        <v>1696</v>
      </c>
    </row>
    <row r="48" spans="2:9">
      <c r="B48" t="s">
        <v>1188</v>
      </c>
      <c r="C48">
        <v>0.5202</v>
      </c>
      <c r="E48" t="s">
        <v>1695</v>
      </c>
      <c r="I48">
        <v>0</v>
      </c>
    </row>
    <row r="49" spans="2:9">
      <c r="B49" t="s">
        <v>1189</v>
      </c>
      <c r="C49">
        <v>1.8898700000000001E-2</v>
      </c>
      <c r="E49" t="s">
        <v>1695</v>
      </c>
      <c r="I49">
        <v>0</v>
      </c>
    </row>
    <row r="50" spans="2:9">
      <c r="B50" t="s">
        <v>1190</v>
      </c>
      <c r="E50" t="s">
        <v>1696</v>
      </c>
    </row>
    <row r="51" spans="2:9">
      <c r="B51" t="s">
        <v>1191</v>
      </c>
      <c r="C51">
        <v>0.84302679999999997</v>
      </c>
      <c r="D51">
        <v>0.84302679999999997</v>
      </c>
      <c r="E51" t="s">
        <v>1161</v>
      </c>
      <c r="F51">
        <v>0</v>
      </c>
      <c r="G51">
        <v>0</v>
      </c>
      <c r="H51">
        <v>0</v>
      </c>
      <c r="I51">
        <v>0</v>
      </c>
    </row>
    <row r="52" spans="2:9">
      <c r="B52" t="s">
        <v>1192</v>
      </c>
      <c r="E52" t="s">
        <v>1696</v>
      </c>
    </row>
    <row r="53" spans="2:9">
      <c r="B53" t="s">
        <v>1193</v>
      </c>
      <c r="E53" t="s">
        <v>1696</v>
      </c>
    </row>
    <row r="54" spans="2:9">
      <c r="B54" t="s">
        <v>1194</v>
      </c>
      <c r="C54">
        <v>13630.314803042756</v>
      </c>
      <c r="E54" t="s">
        <v>1695</v>
      </c>
      <c r="I54">
        <v>1809.6601440071711</v>
      </c>
    </row>
    <row r="55" spans="2:9">
      <c r="B55" t="s">
        <v>1195</v>
      </c>
      <c r="C55">
        <v>-2.8754088366121833</v>
      </c>
      <c r="E55" t="s">
        <v>1695</v>
      </c>
      <c r="I55">
        <v>1416.1553997159911</v>
      </c>
    </row>
    <row r="56" spans="2:9">
      <c r="B56" t="s">
        <v>1196</v>
      </c>
      <c r="E56" t="s">
        <v>1696</v>
      </c>
    </row>
    <row r="57" spans="2:9">
      <c r="B57" t="s">
        <v>1197</v>
      </c>
      <c r="C57">
        <v>349.57970953751476</v>
      </c>
      <c r="E57" t="s">
        <v>1695</v>
      </c>
      <c r="I57">
        <v>1630.4104208788672</v>
      </c>
    </row>
    <row r="58" spans="2:9">
      <c r="B58" t="s">
        <v>1198</v>
      </c>
      <c r="C58">
        <v>0.37288929999999998</v>
      </c>
      <c r="D58">
        <v>0.37288929999999998</v>
      </c>
      <c r="E58" t="s">
        <v>1161</v>
      </c>
      <c r="F58">
        <v>0</v>
      </c>
      <c r="G58">
        <v>0</v>
      </c>
      <c r="H58">
        <v>0</v>
      </c>
      <c r="I58">
        <v>0</v>
      </c>
    </row>
    <row r="59" spans="2:9">
      <c r="B59" t="s">
        <v>1199</v>
      </c>
      <c r="C59">
        <v>13280.73509350524</v>
      </c>
      <c r="D59">
        <v>15705.18</v>
      </c>
      <c r="E59" t="s">
        <v>1271</v>
      </c>
      <c r="F59" s="36">
        <v>-3.0874461887339186</v>
      </c>
      <c r="G59">
        <v>-3.0874461884483466</v>
      </c>
      <c r="H59">
        <v>785.25900000000001</v>
      </c>
      <c r="I59">
        <v>785.25899992736788</v>
      </c>
    </row>
    <row r="60" spans="2:9">
      <c r="B60" t="s">
        <v>1200</v>
      </c>
      <c r="E60" t="s">
        <v>1696</v>
      </c>
    </row>
    <row r="61" spans="2:9">
      <c r="B61" t="s">
        <v>1201</v>
      </c>
      <c r="C61">
        <v>0</v>
      </c>
      <c r="D61">
        <v>0</v>
      </c>
      <c r="E61" t="s">
        <v>1161</v>
      </c>
      <c r="F61">
        <v>0</v>
      </c>
      <c r="G61">
        <v>0</v>
      </c>
      <c r="H61">
        <v>0</v>
      </c>
      <c r="I61">
        <v>0</v>
      </c>
    </row>
    <row r="62" spans="2:9">
      <c r="B62" t="s">
        <v>1202</v>
      </c>
      <c r="C62">
        <v>0</v>
      </c>
      <c r="D62">
        <v>0</v>
      </c>
      <c r="E62" t="s">
        <v>1161</v>
      </c>
      <c r="F62">
        <v>0</v>
      </c>
      <c r="G62">
        <v>0</v>
      </c>
      <c r="H62">
        <v>0</v>
      </c>
      <c r="I62">
        <v>0</v>
      </c>
    </row>
    <row r="63" spans="2:9">
      <c r="B63" t="s">
        <v>1203</v>
      </c>
      <c r="C63">
        <v>0</v>
      </c>
      <c r="D63">
        <v>0</v>
      </c>
      <c r="E63" t="s">
        <v>1161</v>
      </c>
      <c r="F63">
        <v>0</v>
      </c>
      <c r="G63">
        <v>0</v>
      </c>
      <c r="H63">
        <v>0</v>
      </c>
      <c r="I63">
        <v>0</v>
      </c>
    </row>
    <row r="64" spans="2:9">
      <c r="B64" t="s">
        <v>1204</v>
      </c>
      <c r="E64" t="s">
        <v>1696</v>
      </c>
    </row>
    <row r="65" spans="2:9">
      <c r="B65" t="s">
        <v>1205</v>
      </c>
      <c r="C65">
        <v>0</v>
      </c>
      <c r="D65">
        <v>0</v>
      </c>
      <c r="E65" t="s">
        <v>1161</v>
      </c>
      <c r="F65">
        <v>0</v>
      </c>
      <c r="G65">
        <v>0</v>
      </c>
      <c r="H65">
        <v>0</v>
      </c>
      <c r="I65">
        <v>0</v>
      </c>
    </row>
    <row r="66" spans="2:9">
      <c r="B66" t="s">
        <v>1206</v>
      </c>
      <c r="C66">
        <v>1.0731793225267156E-33</v>
      </c>
      <c r="E66" t="s">
        <v>1695</v>
      </c>
      <c r="I66">
        <v>0</v>
      </c>
    </row>
    <row r="67" spans="2:9">
      <c r="B67" t="s">
        <v>1207</v>
      </c>
      <c r="C67">
        <v>2.5970999999893238</v>
      </c>
      <c r="D67">
        <v>2.5971000000000002</v>
      </c>
      <c r="E67" t="s">
        <v>1271</v>
      </c>
      <c r="F67">
        <v>-2.0554365819578298E-10</v>
      </c>
      <c r="G67">
        <v>-2.055436581957829E-10</v>
      </c>
      <c r="H67">
        <v>5.1942000000000002E-2</v>
      </c>
      <c r="I67">
        <v>5.1941999999999981E-2</v>
      </c>
    </row>
    <row r="68" spans="2:9">
      <c r="B68" t="s">
        <v>1208</v>
      </c>
      <c r="C68">
        <v>0.43959999999999999</v>
      </c>
      <c r="D68">
        <v>0.43959999999999999</v>
      </c>
      <c r="E68" t="s">
        <v>1161</v>
      </c>
      <c r="F68">
        <v>0</v>
      </c>
      <c r="G68">
        <v>0</v>
      </c>
      <c r="H68">
        <v>0</v>
      </c>
      <c r="I68">
        <v>0</v>
      </c>
    </row>
    <row r="69" spans="2:9">
      <c r="B69" t="s">
        <v>1209</v>
      </c>
      <c r="C69">
        <v>1.8898700000000001E-2</v>
      </c>
      <c r="D69">
        <v>1.8898700000000001E-2</v>
      </c>
      <c r="E69" t="s">
        <v>1161</v>
      </c>
      <c r="F69">
        <v>0</v>
      </c>
      <c r="G69">
        <v>0</v>
      </c>
      <c r="H69">
        <v>0</v>
      </c>
      <c r="I69">
        <v>0</v>
      </c>
    </row>
    <row r="70" spans="2:9">
      <c r="B70" t="s">
        <v>1210</v>
      </c>
      <c r="C70">
        <v>0.5202</v>
      </c>
      <c r="D70">
        <v>0.5202</v>
      </c>
      <c r="E70" t="s">
        <v>1161</v>
      </c>
      <c r="F70">
        <v>0</v>
      </c>
      <c r="G70">
        <v>0</v>
      </c>
      <c r="H70">
        <v>0</v>
      </c>
      <c r="I70">
        <v>0</v>
      </c>
    </row>
    <row r="71" spans="2:9">
      <c r="B71" t="s">
        <v>1211</v>
      </c>
      <c r="C71">
        <v>0</v>
      </c>
      <c r="D71">
        <v>0</v>
      </c>
      <c r="E71" t="s">
        <v>1161</v>
      </c>
      <c r="F71">
        <v>0</v>
      </c>
      <c r="G71">
        <v>0</v>
      </c>
      <c r="H71">
        <v>0</v>
      </c>
      <c r="I71">
        <v>0</v>
      </c>
    </row>
    <row r="72" spans="2:9">
      <c r="B72" t="s">
        <v>1212</v>
      </c>
      <c r="C72">
        <v>0</v>
      </c>
      <c r="D72">
        <v>0</v>
      </c>
      <c r="E72" t="s">
        <v>1161</v>
      </c>
      <c r="F72">
        <v>0</v>
      </c>
      <c r="G72">
        <v>0</v>
      </c>
      <c r="H72">
        <v>0</v>
      </c>
      <c r="I72">
        <v>0</v>
      </c>
    </row>
    <row r="73" spans="2:9">
      <c r="B73" t="s">
        <v>1213</v>
      </c>
      <c r="C73">
        <v>0.30691830920299673</v>
      </c>
      <c r="E73" t="s">
        <v>1695</v>
      </c>
      <c r="I73">
        <v>3.8280000000000002E-2</v>
      </c>
    </row>
    <row r="74" spans="2:9">
      <c r="B74" t="s">
        <v>1214</v>
      </c>
      <c r="C74">
        <v>0</v>
      </c>
      <c r="D74">
        <v>0</v>
      </c>
      <c r="E74" t="s">
        <v>1161</v>
      </c>
      <c r="F74">
        <v>0</v>
      </c>
      <c r="G74">
        <v>0</v>
      </c>
      <c r="H74">
        <v>0</v>
      </c>
      <c r="I74">
        <v>0</v>
      </c>
    </row>
    <row r="75" spans="2:9">
      <c r="B75" t="s">
        <v>1215</v>
      </c>
      <c r="C75">
        <v>0.30691830920299673</v>
      </c>
      <c r="E75" t="s">
        <v>1695</v>
      </c>
      <c r="I75">
        <v>3.8280000000000002E-2</v>
      </c>
    </row>
    <row r="76" spans="2:9">
      <c r="B76" t="s">
        <v>1216</v>
      </c>
      <c r="C76">
        <v>576.35279184570743</v>
      </c>
      <c r="D76">
        <v>653.35029999999995</v>
      </c>
      <c r="E76" t="s">
        <v>1156</v>
      </c>
      <c r="F76">
        <v>-1.0547748473528193</v>
      </c>
      <c r="G76">
        <v>-0.58925134154137926</v>
      </c>
      <c r="H76">
        <v>130.67006000000001</v>
      </c>
      <c r="I76">
        <v>72.998999120555496</v>
      </c>
    </row>
    <row r="77" spans="2:9">
      <c r="B77" t="s">
        <v>1217</v>
      </c>
      <c r="C77">
        <v>0.30691830920299673</v>
      </c>
      <c r="E77" t="s">
        <v>1695</v>
      </c>
      <c r="I77">
        <v>3.8280000000000002E-2</v>
      </c>
    </row>
    <row r="78" spans="2:9">
      <c r="B78" t="s">
        <v>1218</v>
      </c>
      <c r="C78">
        <v>1256.2072486590932</v>
      </c>
      <c r="D78">
        <v>1266.3430000000001</v>
      </c>
      <c r="E78" t="s">
        <v>1156</v>
      </c>
      <c r="F78">
        <v>-0.19470956957650529</v>
      </c>
      <c r="G78">
        <v>-4.0019770871347005E-2</v>
      </c>
      <c r="H78">
        <v>253.26859999999999</v>
      </c>
      <c r="I78">
        <v>52.055743140679567</v>
      </c>
    </row>
    <row r="79" spans="2:9">
      <c r="B79" t="s">
        <v>1219</v>
      </c>
      <c r="C79">
        <v>0.30691830920299673</v>
      </c>
      <c r="E79" t="s">
        <v>1695</v>
      </c>
      <c r="I79">
        <v>3.8280000000000002E-2</v>
      </c>
    </row>
    <row r="80" spans="2:9">
      <c r="B80" t="s">
        <v>1220</v>
      </c>
      <c r="C80">
        <v>1832.5600405048006</v>
      </c>
      <c r="E80" t="s">
        <v>1695</v>
      </c>
      <c r="I80">
        <v>89.658542629815187</v>
      </c>
    </row>
    <row r="81" spans="2:9">
      <c r="B81" t="s">
        <v>1221</v>
      </c>
      <c r="C81">
        <v>0.30691830920299673</v>
      </c>
      <c r="D81">
        <v>0.38279999999999997</v>
      </c>
      <c r="E81" t="s">
        <v>1271</v>
      </c>
      <c r="F81">
        <v>-1.982280323850659</v>
      </c>
      <c r="G81">
        <v>-1.9822803238506594</v>
      </c>
      <c r="H81">
        <v>3.8280000000000002E-2</v>
      </c>
      <c r="I81">
        <v>3.8280000000000008E-2</v>
      </c>
    </row>
    <row r="82" spans="2:9">
      <c r="B82" t="s">
        <v>1222</v>
      </c>
      <c r="C82">
        <v>0.50159045914399059</v>
      </c>
      <c r="D82">
        <v>0.49380000000000002</v>
      </c>
      <c r="E82" t="s">
        <v>1156</v>
      </c>
      <c r="F82">
        <v>0.38941075211493897</v>
      </c>
      <c r="G82">
        <v>0.15776547476692121</v>
      </c>
      <c r="H82">
        <v>4.938E-2</v>
      </c>
      <c r="I82">
        <v>2.0005762813891506E-2</v>
      </c>
    </row>
    <row r="83" spans="2:9">
      <c r="B83" t="s">
        <v>1223</v>
      </c>
      <c r="C83">
        <v>0.50159045914399059</v>
      </c>
      <c r="D83">
        <v>0.49380000000000002</v>
      </c>
      <c r="E83" t="s">
        <v>1156</v>
      </c>
      <c r="F83">
        <v>0.38941075211493897</v>
      </c>
      <c r="G83">
        <v>0.15776547476692121</v>
      </c>
      <c r="H83">
        <v>4.938E-2</v>
      </c>
      <c r="I83">
        <v>2.0005762813891506E-2</v>
      </c>
    </row>
    <row r="84" spans="2:9">
      <c r="B84" t="s">
        <v>1224</v>
      </c>
      <c r="C84">
        <v>0.50159045914399059</v>
      </c>
      <c r="D84">
        <v>0.45879999999999999</v>
      </c>
      <c r="E84" t="s">
        <v>1156</v>
      </c>
      <c r="F84" s="36">
        <v>2.1389066511514354</v>
      </c>
      <c r="G84">
        <v>0.93266039982542726</v>
      </c>
      <c r="H84">
        <v>4.5879999999999997E-2</v>
      </c>
      <c r="I84">
        <v>2.0005762813891506E-2</v>
      </c>
    </row>
    <row r="85" spans="2:9">
      <c r="B85" t="s">
        <v>1225</v>
      </c>
      <c r="C85">
        <v>0.50159045914399059</v>
      </c>
      <c r="D85">
        <v>0.38890000000000002</v>
      </c>
      <c r="E85" t="s">
        <v>1156</v>
      </c>
      <c r="F85" s="36">
        <v>5.632899889512891</v>
      </c>
      <c r="G85">
        <v>2.8976718730776692</v>
      </c>
      <c r="H85">
        <v>3.8890000000000001E-2</v>
      </c>
      <c r="I85">
        <v>2.0005762813891506E-2</v>
      </c>
    </row>
    <row r="86" spans="2:9">
      <c r="B86" t="s">
        <v>1226</v>
      </c>
      <c r="C86">
        <v>0.50159045914399059</v>
      </c>
      <c r="D86">
        <v>0.42949999999999999</v>
      </c>
      <c r="E86" t="s">
        <v>1156</v>
      </c>
      <c r="F86" s="36">
        <v>3.6034846466305588</v>
      </c>
      <c r="G86">
        <v>1.6784740196505377</v>
      </c>
      <c r="H86">
        <v>4.2950000000000002E-2</v>
      </c>
      <c r="I86">
        <v>2.0005762813891503E-2</v>
      </c>
    </row>
    <row r="87" spans="2:9">
      <c r="B87" t="s">
        <v>1227</v>
      </c>
      <c r="C87">
        <v>0</v>
      </c>
      <c r="D87">
        <v>0</v>
      </c>
      <c r="E87" t="s">
        <v>1161</v>
      </c>
      <c r="F87">
        <v>0</v>
      </c>
      <c r="G87">
        <v>0</v>
      </c>
      <c r="H87">
        <v>0</v>
      </c>
      <c r="I87">
        <v>0</v>
      </c>
    </row>
    <row r="88" spans="2:9">
      <c r="B88" t="s">
        <v>1228</v>
      </c>
      <c r="E88" t="s">
        <v>1696</v>
      </c>
    </row>
    <row r="89" spans="2:9">
      <c r="B89" t="s">
        <v>1229</v>
      </c>
      <c r="C89">
        <v>0.40776172813470779</v>
      </c>
      <c r="D89">
        <v>474.16770000000002</v>
      </c>
      <c r="E89" t="s">
        <v>1156</v>
      </c>
      <c r="F89" s="36">
        <v>-4.0635519149032779</v>
      </c>
      <c r="G89">
        <v>-3.9965601897545135</v>
      </c>
      <c r="H89">
        <v>118.54192500000001</v>
      </c>
      <c r="I89">
        <v>116.58764258291552</v>
      </c>
    </row>
    <row r="90" spans="2:9">
      <c r="B90" t="s">
        <v>1230</v>
      </c>
      <c r="C90">
        <v>0.41959999999999997</v>
      </c>
      <c r="D90">
        <v>0.41959999999999997</v>
      </c>
      <c r="E90" t="s">
        <v>1161</v>
      </c>
      <c r="F90">
        <v>0</v>
      </c>
      <c r="G90">
        <v>0</v>
      </c>
      <c r="H90">
        <v>0</v>
      </c>
      <c r="I90">
        <v>0</v>
      </c>
    </row>
    <row r="91" spans="2:9">
      <c r="B91" t="s">
        <v>1231</v>
      </c>
      <c r="C91">
        <v>2105.2852009476715</v>
      </c>
      <c r="D91">
        <v>1740.9690000000001</v>
      </c>
      <c r="E91" t="s">
        <v>1156</v>
      </c>
      <c r="F91">
        <v>1.11937233143603</v>
      </c>
      <c r="G91">
        <v>0.83704236192068071</v>
      </c>
      <c r="H91">
        <v>435.24225000000001</v>
      </c>
      <c r="I91">
        <v>325.46471867881024</v>
      </c>
    </row>
    <row r="92" spans="2:9">
      <c r="B92" t="s">
        <v>1232</v>
      </c>
      <c r="C92">
        <v>-2.2578895490594498E-34</v>
      </c>
      <c r="E92" t="s">
        <v>1695</v>
      </c>
      <c r="I92">
        <v>0</v>
      </c>
    </row>
    <row r="93" spans="2:9">
      <c r="B93" t="s">
        <v>1233</v>
      </c>
      <c r="C93">
        <v>-273.13292217100536</v>
      </c>
      <c r="E93" t="s">
        <v>1695</v>
      </c>
      <c r="I93">
        <v>339.3662205198529</v>
      </c>
    </row>
    <row r="94" spans="2:9">
      <c r="B94" t="s">
        <v>1234</v>
      </c>
      <c r="E94" t="s">
        <v>1696</v>
      </c>
    </row>
    <row r="95" spans="2:9">
      <c r="B95" t="s">
        <v>1235</v>
      </c>
      <c r="C95">
        <v>3.8036782780499559E-49</v>
      </c>
      <c r="D95">
        <v>0.46039999999999998</v>
      </c>
      <c r="E95" t="s">
        <v>1156</v>
      </c>
      <c r="F95">
        <v>0</v>
      </c>
      <c r="G95">
        <v>-10</v>
      </c>
      <c r="H95">
        <v>4.6039999999999998E-2</v>
      </c>
      <c r="I95">
        <v>0</v>
      </c>
    </row>
    <row r="96" spans="2:9">
      <c r="B96" t="s">
        <v>1236</v>
      </c>
      <c r="C96">
        <v>0.5202</v>
      </c>
      <c r="D96">
        <v>0.5202</v>
      </c>
      <c r="E96" t="s">
        <v>1161</v>
      </c>
      <c r="F96">
        <v>0</v>
      </c>
      <c r="G96">
        <v>0</v>
      </c>
      <c r="H96">
        <v>0</v>
      </c>
      <c r="I96">
        <v>0</v>
      </c>
    </row>
    <row r="97" spans="2:9">
      <c r="B97" t="s">
        <v>1237</v>
      </c>
      <c r="C97">
        <v>1.8898700000000001E-2</v>
      </c>
      <c r="E97" t="s">
        <v>1695</v>
      </c>
      <c r="I97">
        <v>0</v>
      </c>
    </row>
    <row r="98" spans="2:9">
      <c r="B98" t="s">
        <v>1238</v>
      </c>
      <c r="C98">
        <v>0.43959999999999999</v>
      </c>
      <c r="D98">
        <v>0.42130000000000001</v>
      </c>
      <c r="E98" t="s">
        <v>1156</v>
      </c>
      <c r="F98">
        <v>0</v>
      </c>
      <c r="G98">
        <v>0.43436980773795353</v>
      </c>
      <c r="H98">
        <v>4.2130000000000001E-2</v>
      </c>
      <c r="I98">
        <v>0</v>
      </c>
    </row>
    <row r="99" spans="2:9">
      <c r="B99" t="s">
        <v>1239</v>
      </c>
      <c r="C99">
        <v>1689.0166771432596</v>
      </c>
      <c r="D99">
        <v>1806.9079999999999</v>
      </c>
      <c r="E99" t="s">
        <v>1156</v>
      </c>
      <c r="F99">
        <v>-1.6796910375768941</v>
      </c>
      <c r="G99">
        <v>-0.3837928493014206</v>
      </c>
      <c r="H99">
        <v>307.17435999999998</v>
      </c>
      <c r="I99">
        <v>70.186314160971648</v>
      </c>
    </row>
    <row r="100" spans="2:9">
      <c r="B100" t="s">
        <v>1240</v>
      </c>
      <c r="C100">
        <v>0.36049293980342656</v>
      </c>
      <c r="D100">
        <v>0.29810009999999998</v>
      </c>
      <c r="E100" t="s">
        <v>1271</v>
      </c>
      <c r="F100" s="36">
        <v>2.0930171017586932</v>
      </c>
      <c r="G100">
        <v>2.0930171017586909</v>
      </c>
      <c r="H100">
        <v>2.981E-2</v>
      </c>
      <c r="I100">
        <v>2.9809999999999968E-2</v>
      </c>
    </row>
    <row r="101" spans="2:9">
      <c r="B101" t="s">
        <v>1241</v>
      </c>
      <c r="C101">
        <v>0</v>
      </c>
      <c r="D101">
        <v>0</v>
      </c>
      <c r="E101" t="s">
        <v>1161</v>
      </c>
      <c r="F101">
        <v>0</v>
      </c>
      <c r="G101">
        <v>0</v>
      </c>
      <c r="H101">
        <v>0</v>
      </c>
      <c r="I101">
        <v>0</v>
      </c>
    </row>
    <row r="102" spans="2:9">
      <c r="B102" t="s">
        <v>1242</v>
      </c>
      <c r="C102">
        <v>0.30489257452865021</v>
      </c>
      <c r="D102">
        <v>0.34029999999999999</v>
      </c>
      <c r="E102" t="s">
        <v>1156</v>
      </c>
      <c r="F102" s="36">
        <v>-2.5934114262053845</v>
      </c>
      <c r="G102">
        <v>-1.0404767990405461</v>
      </c>
      <c r="H102">
        <v>3.4029999999999998E-2</v>
      </c>
      <c r="I102">
        <v>1.36528377694229E-2</v>
      </c>
    </row>
    <row r="103" spans="2:9">
      <c r="B103" t="s">
        <v>1243</v>
      </c>
      <c r="C103">
        <v>1689.0166771432596</v>
      </c>
      <c r="D103">
        <v>1759.0170000000001</v>
      </c>
      <c r="E103" t="s">
        <v>1156</v>
      </c>
      <c r="F103">
        <v>-0.9973500345978471</v>
      </c>
      <c r="G103">
        <v>-0.19897568601309842</v>
      </c>
      <c r="H103">
        <v>351.80340000000001</v>
      </c>
      <c r="I103">
        <v>70.186314160971676</v>
      </c>
    </row>
    <row r="104" spans="2:9">
      <c r="B104" t="s">
        <v>1244</v>
      </c>
      <c r="C104">
        <v>0.36070925753956201</v>
      </c>
      <c r="D104">
        <v>0.29810009999999998</v>
      </c>
      <c r="E104" t="s">
        <v>1156</v>
      </c>
      <c r="F104" s="36">
        <v>4.2368544714154686</v>
      </c>
      <c r="G104">
        <v>2.100273651109092</v>
      </c>
      <c r="H104">
        <v>2.981E-2</v>
      </c>
      <c r="I104">
        <v>1.4777273555644517E-2</v>
      </c>
    </row>
    <row r="105" spans="2:9">
      <c r="B105" t="s">
        <v>1245</v>
      </c>
      <c r="C105">
        <v>0</v>
      </c>
      <c r="D105">
        <v>0</v>
      </c>
      <c r="E105" t="s">
        <v>1161</v>
      </c>
      <c r="F105">
        <v>0</v>
      </c>
      <c r="G105">
        <v>0</v>
      </c>
      <c r="H105">
        <v>0</v>
      </c>
      <c r="I105">
        <v>0</v>
      </c>
    </row>
    <row r="106" spans="2:9">
      <c r="B106" t="s">
        <v>1246</v>
      </c>
      <c r="C106">
        <v>0.3216</v>
      </c>
      <c r="D106">
        <v>0.3216</v>
      </c>
      <c r="E106" t="s">
        <v>1156</v>
      </c>
      <c r="F106">
        <v>0</v>
      </c>
      <c r="G106">
        <v>0</v>
      </c>
      <c r="H106">
        <v>3.2160000000000001E-2</v>
      </c>
      <c r="I106">
        <v>1.438238923127865E-2</v>
      </c>
    </row>
    <row r="107" spans="2:9">
      <c r="B107" t="s">
        <v>1247</v>
      </c>
      <c r="C107">
        <v>0</v>
      </c>
      <c r="D107">
        <v>0</v>
      </c>
      <c r="E107" t="s">
        <v>1161</v>
      </c>
      <c r="F107">
        <v>0</v>
      </c>
      <c r="G107">
        <v>0</v>
      </c>
      <c r="H107">
        <v>0</v>
      </c>
      <c r="I107">
        <v>0</v>
      </c>
    </row>
    <row r="108" spans="2:9">
      <c r="B108" t="s">
        <v>1248</v>
      </c>
      <c r="C108">
        <v>0.33854772668182698</v>
      </c>
      <c r="D108">
        <v>0.32619999999999999</v>
      </c>
      <c r="E108" t="s">
        <v>1156</v>
      </c>
      <c r="F108">
        <v>0.84642416395319009</v>
      </c>
      <c r="G108">
        <v>0.37853239367955199</v>
      </c>
      <c r="H108">
        <v>3.2620000000000003E-2</v>
      </c>
      <c r="I108">
        <v>1.4588107485208628E-2</v>
      </c>
    </row>
    <row r="109" spans="2:9">
      <c r="B109" t="s">
        <v>1249</v>
      </c>
      <c r="C109">
        <v>0.46507518809914006</v>
      </c>
      <c r="D109">
        <v>0.44990000000000002</v>
      </c>
      <c r="E109" t="s">
        <v>1271</v>
      </c>
      <c r="F109">
        <v>0.16865067903022932</v>
      </c>
      <c r="G109">
        <v>0.16865067903022932</v>
      </c>
      <c r="H109">
        <v>8.9980000000000004E-2</v>
      </c>
      <c r="I109">
        <v>8.9980000000000004E-2</v>
      </c>
    </row>
    <row r="110" spans="2:9">
      <c r="B110" t="s">
        <v>1250</v>
      </c>
      <c r="C110">
        <v>0.53920000000000001</v>
      </c>
      <c r="E110" t="s">
        <v>1695</v>
      </c>
      <c r="I110">
        <v>5.3919999999999989E-2</v>
      </c>
    </row>
    <row r="111" spans="2:9">
      <c r="B111" t="s">
        <v>1251</v>
      </c>
      <c r="C111">
        <v>0.47438246687684626</v>
      </c>
      <c r="E111" t="s">
        <v>1695</v>
      </c>
      <c r="I111">
        <v>5.3139999999999972E-2</v>
      </c>
    </row>
    <row r="112" spans="2:9">
      <c r="B112" t="s">
        <v>1252</v>
      </c>
      <c r="C112">
        <v>0.51060000000000005</v>
      </c>
      <c r="E112" t="s">
        <v>1695</v>
      </c>
      <c r="I112">
        <v>5.1059999999999987E-2</v>
      </c>
    </row>
    <row r="113" spans="2:9">
      <c r="B113" t="s">
        <v>1253</v>
      </c>
      <c r="C113">
        <v>0.46510277578034059</v>
      </c>
      <c r="E113" t="s">
        <v>1695</v>
      </c>
      <c r="I113">
        <v>4.7930000000000007E-2</v>
      </c>
    </row>
    <row r="114" spans="2:9">
      <c r="B114" t="s">
        <v>1254</v>
      </c>
      <c r="C114">
        <v>-15162.263650328514</v>
      </c>
      <c r="E114" t="s">
        <v>1695</v>
      </c>
      <c r="I114">
        <v>11652.977056095233</v>
      </c>
    </row>
    <row r="115" spans="2:9">
      <c r="B115" t="s">
        <v>1255</v>
      </c>
      <c r="C115">
        <v>3.0994999999999998E-3</v>
      </c>
      <c r="D115">
        <v>5571.3270000000002</v>
      </c>
      <c r="E115" t="s">
        <v>1156</v>
      </c>
      <c r="F115">
        <v>0</v>
      </c>
      <c r="G115">
        <v>-4.9999972183467243</v>
      </c>
      <c r="H115">
        <v>1114.2654</v>
      </c>
      <c r="I115">
        <v>0</v>
      </c>
    </row>
    <row r="116" spans="2:9">
      <c r="B116" t="s">
        <v>1256</v>
      </c>
      <c r="C116">
        <v>63768.370598353635</v>
      </c>
      <c r="E116" t="s">
        <v>1695</v>
      </c>
      <c r="I116">
        <v>11023.454891891313</v>
      </c>
    </row>
    <row r="117" spans="2:9">
      <c r="B117" t="s">
        <v>1257</v>
      </c>
      <c r="C117">
        <v>3.0994999999999998E-3</v>
      </c>
      <c r="D117">
        <v>19640.27</v>
      </c>
      <c r="E117" t="s">
        <v>1156</v>
      </c>
      <c r="F117">
        <v>0</v>
      </c>
      <c r="G117">
        <v>-4.9999992109324358</v>
      </c>
      <c r="H117">
        <v>3928.0540000000001</v>
      </c>
      <c r="I117">
        <v>0</v>
      </c>
    </row>
    <row r="118" spans="2:9">
      <c r="B118" t="s">
        <v>1258</v>
      </c>
      <c r="C118">
        <v>9023.9402227999926</v>
      </c>
      <c r="D118">
        <v>16978.740000000002</v>
      </c>
      <c r="E118" t="s">
        <v>1271</v>
      </c>
      <c r="F118" s="36">
        <v>-2.3425765974228767</v>
      </c>
      <c r="G118">
        <v>-2.3425765920203765</v>
      </c>
      <c r="H118">
        <v>3395.748</v>
      </c>
      <c r="I118">
        <v>3395.7479921686531</v>
      </c>
    </row>
    <row r="119" spans="2:9">
      <c r="B119" t="s">
        <v>1259</v>
      </c>
      <c r="C119">
        <v>3.0994999999999998E-3</v>
      </c>
      <c r="E119" t="s">
        <v>1695</v>
      </c>
      <c r="I119">
        <v>0</v>
      </c>
    </row>
    <row r="120" spans="2:9">
      <c r="B120" t="s">
        <v>1260</v>
      </c>
      <c r="C120">
        <v>57630.047170825121</v>
      </c>
      <c r="E120" t="s">
        <v>1695</v>
      </c>
      <c r="I120">
        <v>1656.5666479988588</v>
      </c>
    </row>
    <row r="121" spans="2:9">
      <c r="B121" t="s">
        <v>1261</v>
      </c>
      <c r="C121">
        <v>3.0994999999999998E-3</v>
      </c>
      <c r="D121">
        <v>3.0994999999999998E-3</v>
      </c>
      <c r="E121" t="s">
        <v>1161</v>
      </c>
      <c r="F121">
        <v>0</v>
      </c>
      <c r="G121">
        <v>0</v>
      </c>
      <c r="H121">
        <v>0</v>
      </c>
      <c r="I121">
        <v>0</v>
      </c>
    </row>
    <row r="122" spans="2:9">
      <c r="B122" t="s">
        <v>1262</v>
      </c>
      <c r="C122">
        <v>2.8759999896832453</v>
      </c>
      <c r="E122" t="s">
        <v>1695</v>
      </c>
      <c r="I122">
        <v>5.7519999999999925E-2</v>
      </c>
    </row>
    <row r="123" spans="2:9">
      <c r="B123" t="s">
        <v>1263</v>
      </c>
      <c r="C123">
        <v>2.8759999896832453</v>
      </c>
      <c r="E123" t="s">
        <v>1695</v>
      </c>
      <c r="I123">
        <v>5.7519999999999925E-2</v>
      </c>
    </row>
    <row r="124" spans="2:9">
      <c r="B124" t="s">
        <v>1264</v>
      </c>
      <c r="C124">
        <v>2.8759999896832453</v>
      </c>
      <c r="E124" t="s">
        <v>1695</v>
      </c>
      <c r="I124">
        <v>5.7519999999999925E-2</v>
      </c>
    </row>
    <row r="125" spans="2:9">
      <c r="B125" t="s">
        <v>1265</v>
      </c>
      <c r="C125">
        <v>2.8759999896832453</v>
      </c>
      <c r="D125">
        <v>2.8759999999999999</v>
      </c>
      <c r="E125" t="s">
        <v>1271</v>
      </c>
      <c r="F125">
        <v>-1.7935943257574131E-7</v>
      </c>
      <c r="G125">
        <v>-1.7935943257574104E-7</v>
      </c>
      <c r="H125">
        <v>5.7520000000000002E-2</v>
      </c>
      <c r="I125">
        <v>5.7519999999999918E-2</v>
      </c>
    </row>
    <row r="126" spans="2:9">
      <c r="B126" t="s">
        <v>1266</v>
      </c>
      <c r="C126">
        <v>57979.626880362637</v>
      </c>
      <c r="E126" t="s">
        <v>1695</v>
      </c>
      <c r="I126">
        <v>293.21479999243718</v>
      </c>
    </row>
    <row r="127" spans="2:9">
      <c r="B127" t="s">
        <v>1267</v>
      </c>
      <c r="C127">
        <v>7.0139646618698004E-3</v>
      </c>
      <c r="D127">
        <v>2.6496</v>
      </c>
      <c r="E127" t="s">
        <v>1271</v>
      </c>
      <c r="F127" s="36">
        <v>-49.867641065408627</v>
      </c>
      <c r="G127">
        <v>-49.867641065408563</v>
      </c>
      <c r="H127">
        <v>5.2991999999999997E-2</v>
      </c>
      <c r="I127">
        <v>5.2991999999999928E-2</v>
      </c>
    </row>
    <row r="128" spans="2:9">
      <c r="B128" t="s">
        <v>1268</v>
      </c>
      <c r="C128">
        <v>253.77280000093185</v>
      </c>
      <c r="D128">
        <v>253.77279999999999</v>
      </c>
      <c r="E128" t="s">
        <v>1271</v>
      </c>
      <c r="F128">
        <v>3.6720349347710887E-11</v>
      </c>
      <c r="G128">
        <v>3.6720349347710086E-11</v>
      </c>
      <c r="H128">
        <v>25.377279999999999</v>
      </c>
      <c r="I128">
        <v>25.377279999999445</v>
      </c>
    </row>
    <row r="129" spans="2:9">
      <c r="B129" t="s">
        <v>1269</v>
      </c>
      <c r="C129">
        <v>463.41070000310737</v>
      </c>
      <c r="D129">
        <v>463.41070000000002</v>
      </c>
      <c r="E129" t="s">
        <v>1271</v>
      </c>
      <c r="F129">
        <v>6.7053814079525954E-11</v>
      </c>
      <c r="G129">
        <v>6.7053814079521042E-11</v>
      </c>
      <c r="H129">
        <v>46.341070000000002</v>
      </c>
      <c r="I129">
        <v>46.341069999996606</v>
      </c>
    </row>
    <row r="130" spans="2:9">
      <c r="B130" t="s">
        <v>1270</v>
      </c>
      <c r="C130">
        <v>599.99999996738654</v>
      </c>
      <c r="D130">
        <v>600</v>
      </c>
      <c r="E130" t="s">
        <v>1271</v>
      </c>
      <c r="F130">
        <v>-5.4355761373414975E-10</v>
      </c>
      <c r="G130">
        <v>-5.4355761373396187E-10</v>
      </c>
      <c r="H130">
        <v>60</v>
      </c>
      <c r="I130">
        <v>59.999999999979266</v>
      </c>
    </row>
    <row r="131" spans="2:9">
      <c r="B131" t="s">
        <v>1272</v>
      </c>
      <c r="E131" t="s">
        <v>1696</v>
      </c>
    </row>
    <row r="132" spans="2:9">
      <c r="B132" t="s">
        <v>1273</v>
      </c>
      <c r="C132">
        <v>157.65990000035964</v>
      </c>
      <c r="D132">
        <v>157.65989999999999</v>
      </c>
      <c r="E132" t="s">
        <v>1271</v>
      </c>
      <c r="F132">
        <v>2.2811654144924349E-11</v>
      </c>
      <c r="G132">
        <v>2.2811654144924126E-11</v>
      </c>
      <c r="H132">
        <v>15.76599</v>
      </c>
      <c r="I132">
        <v>15.765989999999846</v>
      </c>
    </row>
    <row r="133" spans="2:9">
      <c r="B133" t="s">
        <v>1274</v>
      </c>
      <c r="C133">
        <v>5133.4779976126429</v>
      </c>
      <c r="D133">
        <v>5133.4780000000001</v>
      </c>
      <c r="E133" t="s">
        <v>1271</v>
      </c>
      <c r="F133">
        <v>-4.6505647810336849E-9</v>
      </c>
      <c r="G133">
        <v>-4.6505647809159937E-9</v>
      </c>
      <c r="H133">
        <v>513.34780000000001</v>
      </c>
      <c r="I133">
        <v>513.34779998700878</v>
      </c>
    </row>
    <row r="134" spans="2:9">
      <c r="B134" t="s">
        <v>1275</v>
      </c>
      <c r="C134">
        <v>0</v>
      </c>
      <c r="D134">
        <v>0</v>
      </c>
      <c r="E134" t="s">
        <v>1161</v>
      </c>
      <c r="F134">
        <v>0</v>
      </c>
      <c r="G134">
        <v>0</v>
      </c>
      <c r="H134">
        <v>0</v>
      </c>
      <c r="I134">
        <v>0</v>
      </c>
    </row>
    <row r="135" spans="2:9">
      <c r="B135" t="s">
        <v>1276</v>
      </c>
      <c r="C135">
        <v>0</v>
      </c>
      <c r="D135">
        <v>0</v>
      </c>
      <c r="E135" t="s">
        <v>1161</v>
      </c>
      <c r="F135">
        <v>0</v>
      </c>
      <c r="G135">
        <v>0</v>
      </c>
      <c r="H135">
        <v>0</v>
      </c>
      <c r="I135">
        <v>0</v>
      </c>
    </row>
    <row r="136" spans="2:9">
      <c r="B136" t="s">
        <v>1277</v>
      </c>
      <c r="C136">
        <v>2399.9999994781847</v>
      </c>
      <c r="D136">
        <v>2400</v>
      </c>
      <c r="E136" t="s">
        <v>1271</v>
      </c>
      <c r="F136">
        <v>-2.1742304549478764E-9</v>
      </c>
      <c r="G136">
        <v>-2.1742304549358475E-9</v>
      </c>
      <c r="H136">
        <v>240</v>
      </c>
      <c r="I136">
        <v>239.99999999867219</v>
      </c>
    </row>
    <row r="137" spans="2:9">
      <c r="B137" t="s">
        <v>1278</v>
      </c>
      <c r="C137">
        <v>0</v>
      </c>
      <c r="D137">
        <v>0</v>
      </c>
      <c r="E137" t="s">
        <v>1161</v>
      </c>
      <c r="F137">
        <v>0</v>
      </c>
      <c r="G137">
        <v>0</v>
      </c>
      <c r="H137">
        <v>0</v>
      </c>
      <c r="I137">
        <v>0</v>
      </c>
    </row>
    <row r="138" spans="2:9">
      <c r="B138" t="s">
        <v>1279</v>
      </c>
      <c r="C138">
        <v>247.99740000088988</v>
      </c>
      <c r="D138">
        <v>247.9974</v>
      </c>
      <c r="E138" t="s">
        <v>1271</v>
      </c>
      <c r="F138">
        <v>3.5882784346366864E-11</v>
      </c>
      <c r="G138">
        <v>3.5882784346366108E-11</v>
      </c>
      <c r="H138">
        <v>24.79974</v>
      </c>
      <c r="I138">
        <v>24.799739999999478</v>
      </c>
    </row>
    <row r="139" spans="2:9">
      <c r="B139" t="s">
        <v>1280</v>
      </c>
      <c r="C139">
        <v>0</v>
      </c>
      <c r="D139">
        <v>0</v>
      </c>
      <c r="E139" t="s">
        <v>1161</v>
      </c>
      <c r="F139">
        <v>0</v>
      </c>
      <c r="G139">
        <v>0</v>
      </c>
      <c r="H139">
        <v>0</v>
      </c>
      <c r="I139">
        <v>0</v>
      </c>
    </row>
    <row r="140" spans="2:9">
      <c r="B140" t="s">
        <v>1281</v>
      </c>
      <c r="E140" t="s">
        <v>1696</v>
      </c>
    </row>
    <row r="141" spans="2:9">
      <c r="B141" t="s">
        <v>1282</v>
      </c>
      <c r="C141">
        <v>6745.2459998203158</v>
      </c>
      <c r="D141">
        <v>6745.2460000000001</v>
      </c>
      <c r="E141" t="s">
        <v>1271</v>
      </c>
      <c r="F141">
        <v>-5.3277321763050927E-10</v>
      </c>
      <c r="G141">
        <v>-5.3277321762844101E-10</v>
      </c>
      <c r="H141">
        <v>337.26229999999998</v>
      </c>
      <c r="I141">
        <v>337.26229999869071</v>
      </c>
    </row>
    <row r="142" spans="2:9">
      <c r="B142" t="s">
        <v>1283</v>
      </c>
      <c r="E142" t="s">
        <v>1696</v>
      </c>
    </row>
    <row r="143" spans="2:9">
      <c r="B143" t="s">
        <v>1284</v>
      </c>
      <c r="C143">
        <v>57979.626880362637</v>
      </c>
      <c r="E143" t="s">
        <v>1695</v>
      </c>
      <c r="I143">
        <v>293.21479999243729</v>
      </c>
    </row>
    <row r="144" spans="2:9">
      <c r="B144" t="s">
        <v>1285</v>
      </c>
      <c r="E144" t="s">
        <v>1696</v>
      </c>
    </row>
    <row r="145" spans="2:9">
      <c r="B145" t="s">
        <v>1286</v>
      </c>
      <c r="C145">
        <v>57979.626880362637</v>
      </c>
      <c r="D145">
        <v>58642.96</v>
      </c>
      <c r="E145" t="s">
        <v>1271</v>
      </c>
      <c r="F145" s="36">
        <v>-2.2622770735122204</v>
      </c>
      <c r="G145">
        <v>-2.2622770734538702</v>
      </c>
      <c r="H145">
        <v>293.21480000000003</v>
      </c>
      <c r="I145">
        <v>293.21479999243724</v>
      </c>
    </row>
    <row r="146" spans="2:9">
      <c r="B146" t="s">
        <v>1287</v>
      </c>
      <c r="C146">
        <v>1.0357359131528918E-2</v>
      </c>
      <c r="D146">
        <v>1.8898700000000001E-2</v>
      </c>
      <c r="E146" t="s">
        <v>1271</v>
      </c>
      <c r="F146" s="36">
        <v>-2.2597933350453845</v>
      </c>
      <c r="G146">
        <v>-2.259793335045396</v>
      </c>
      <c r="H146">
        <v>3.7797E-3</v>
      </c>
      <c r="I146">
        <v>3.7797000000000191E-3</v>
      </c>
    </row>
    <row r="147" spans="2:9">
      <c r="B147" t="s">
        <v>1288</v>
      </c>
      <c r="E147" t="s">
        <v>1696</v>
      </c>
    </row>
    <row r="148" spans="2:9">
      <c r="B148" t="s">
        <v>1289</v>
      </c>
      <c r="C148">
        <v>3.0900000000003338E-2</v>
      </c>
      <c r="D148">
        <v>3.09E-2</v>
      </c>
      <c r="E148" t="s">
        <v>1271</v>
      </c>
      <c r="F148">
        <v>1.0801320284075656E-11</v>
      </c>
      <c r="G148">
        <v>1.0801320284075654E-11</v>
      </c>
      <c r="H148">
        <v>3.0899999999999998E-4</v>
      </c>
      <c r="I148">
        <v>3.0899999999999992E-4</v>
      </c>
    </row>
    <row r="149" spans="2:9">
      <c r="B149" t="s">
        <v>1290</v>
      </c>
      <c r="C149">
        <v>0</v>
      </c>
      <c r="D149">
        <v>0</v>
      </c>
      <c r="E149" t="s">
        <v>1161</v>
      </c>
      <c r="F149">
        <v>0</v>
      </c>
      <c r="G149">
        <v>0</v>
      </c>
      <c r="H149">
        <v>0</v>
      </c>
      <c r="I149">
        <v>0</v>
      </c>
    </row>
    <row r="150" spans="2:9">
      <c r="B150" t="s">
        <v>1291</v>
      </c>
      <c r="C150">
        <v>0</v>
      </c>
      <c r="D150">
        <v>0</v>
      </c>
      <c r="E150" t="s">
        <v>1161</v>
      </c>
      <c r="F150">
        <v>0</v>
      </c>
      <c r="G150">
        <v>0</v>
      </c>
      <c r="H150">
        <v>0</v>
      </c>
      <c r="I150">
        <v>0</v>
      </c>
    </row>
    <row r="151" spans="2:9">
      <c r="B151" t="s">
        <v>1292</v>
      </c>
      <c r="C151">
        <v>14623.819980626156</v>
      </c>
      <c r="D151">
        <v>14623.82</v>
      </c>
      <c r="E151" t="s">
        <v>1271</v>
      </c>
      <c r="F151">
        <v>-1.3248141264994717E-8</v>
      </c>
      <c r="G151">
        <v>-1.3248141262273949E-8</v>
      </c>
      <c r="H151">
        <v>1462.3820000000001</v>
      </c>
      <c r="I151">
        <v>1462.381999699671</v>
      </c>
    </row>
    <row r="152" spans="2:9">
      <c r="B152" t="s">
        <v>1293</v>
      </c>
      <c r="C152">
        <v>893.18199992772759</v>
      </c>
      <c r="D152">
        <v>893.18200000000002</v>
      </c>
      <c r="E152" t="s">
        <v>1271</v>
      </c>
      <c r="F152">
        <v>-8.0915679046658508E-10</v>
      </c>
      <c r="G152">
        <v>-8.0915679046596469E-10</v>
      </c>
      <c r="H152">
        <v>89.318200000000004</v>
      </c>
      <c r="I152">
        <v>89.318199999931522</v>
      </c>
    </row>
    <row r="153" spans="2:9">
      <c r="B153" t="s">
        <v>1294</v>
      </c>
      <c r="C153">
        <v>266.75290000102967</v>
      </c>
      <c r="D153">
        <v>266.75290000000001</v>
      </c>
      <c r="E153" t="s">
        <v>1271</v>
      </c>
      <c r="F153">
        <v>3.8599831126285865E-11</v>
      </c>
      <c r="G153">
        <v>3.8599831126284902E-11</v>
      </c>
      <c r="H153">
        <v>26.67529</v>
      </c>
      <c r="I153">
        <v>26.675289999999336</v>
      </c>
    </row>
    <row r="154" spans="2:9">
      <c r="B154" t="s">
        <v>1295</v>
      </c>
      <c r="C154">
        <v>0</v>
      </c>
      <c r="D154">
        <v>0</v>
      </c>
      <c r="E154" t="s">
        <v>1161</v>
      </c>
      <c r="F154">
        <v>0</v>
      </c>
      <c r="G154">
        <v>0</v>
      </c>
      <c r="H154">
        <v>0</v>
      </c>
      <c r="I154">
        <v>0</v>
      </c>
    </row>
    <row r="155" spans="2:9">
      <c r="B155" t="s">
        <v>1296</v>
      </c>
      <c r="C155">
        <v>194.48070000054727</v>
      </c>
      <c r="D155">
        <v>194.48070000000001</v>
      </c>
      <c r="E155" t="s">
        <v>1271</v>
      </c>
      <c r="F155">
        <v>2.8139553954836456E-11</v>
      </c>
      <c r="G155">
        <v>2.8139553954836091E-11</v>
      </c>
      <c r="H155">
        <v>19.448070000000001</v>
      </c>
      <c r="I155">
        <v>19.448069999999749</v>
      </c>
    </row>
    <row r="156" spans="2:9">
      <c r="B156" t="s">
        <v>1297</v>
      </c>
      <c r="C156">
        <v>189.02850000051703</v>
      </c>
      <c r="D156">
        <v>189.02850000000001</v>
      </c>
      <c r="E156" t="s">
        <v>1271</v>
      </c>
      <c r="F156">
        <v>2.7351394961526193E-11</v>
      </c>
      <c r="G156">
        <v>2.735139496152587E-11</v>
      </c>
      <c r="H156">
        <v>18.902850000000001</v>
      </c>
      <c r="I156">
        <v>18.902849999999777</v>
      </c>
    </row>
    <row r="157" spans="2:9">
      <c r="B157" t="s">
        <v>1298</v>
      </c>
      <c r="C157">
        <v>28797.77992487021</v>
      </c>
      <c r="D157">
        <v>28797.78</v>
      </c>
      <c r="E157" t="s">
        <v>1271</v>
      </c>
      <c r="F157">
        <v>-2.6088743130923785E-8</v>
      </c>
      <c r="G157">
        <v>-2.6088743110146633E-8</v>
      </c>
      <c r="H157">
        <v>2879.7779999999998</v>
      </c>
      <c r="I157">
        <v>2879.7779977065361</v>
      </c>
    </row>
    <row r="158" spans="2:9">
      <c r="B158" t="s">
        <v>1299</v>
      </c>
      <c r="C158">
        <v>189.02850000051703</v>
      </c>
      <c r="D158">
        <v>189.02850000000001</v>
      </c>
      <c r="E158" t="s">
        <v>1271</v>
      </c>
      <c r="F158">
        <v>2.735139496152621E-11</v>
      </c>
      <c r="G158">
        <v>2.735139496152587E-11</v>
      </c>
      <c r="H158">
        <v>18.902850000000001</v>
      </c>
      <c r="I158">
        <v>18.902849999999766</v>
      </c>
    </row>
    <row r="159" spans="2:9">
      <c r="B159" t="s">
        <v>1300</v>
      </c>
      <c r="E159" t="s">
        <v>1696</v>
      </c>
    </row>
    <row r="160" spans="2:9">
      <c r="B160" t="s">
        <v>1301</v>
      </c>
      <c r="C160">
        <v>29860.139919224832</v>
      </c>
      <c r="D160">
        <v>29860.14</v>
      </c>
      <c r="E160" t="s">
        <v>1271</v>
      </c>
      <c r="F160">
        <v>-2.7051168433393846E-8</v>
      </c>
      <c r="G160">
        <v>-2.7051168410231396E-8</v>
      </c>
      <c r="H160">
        <v>2986.0140000000001</v>
      </c>
      <c r="I160">
        <v>2986.0139974432382</v>
      </c>
    </row>
    <row r="161" spans="2:9">
      <c r="B161" t="s">
        <v>1302</v>
      </c>
      <c r="C161">
        <v>18119.219970257804</v>
      </c>
      <c r="D161">
        <v>18119.22</v>
      </c>
      <c r="E161" t="s">
        <v>1271</v>
      </c>
      <c r="F161">
        <v>-1.641472288615493E-8</v>
      </c>
      <c r="G161">
        <v>-1.6414722880979704E-8</v>
      </c>
      <c r="H161">
        <v>1811.922</v>
      </c>
      <c r="I161">
        <v>1811.921999428738</v>
      </c>
    </row>
    <row r="162" spans="2:9">
      <c r="B162" t="s">
        <v>1303</v>
      </c>
      <c r="C162">
        <v>47999.999790748188</v>
      </c>
      <c r="D162">
        <v>48000</v>
      </c>
      <c r="E162" t="s">
        <v>1271</v>
      </c>
      <c r="F162">
        <v>-4.3594127515510588E-8</v>
      </c>
      <c r="G162">
        <v>-4.359412741905544E-8</v>
      </c>
      <c r="H162">
        <v>4800</v>
      </c>
      <c r="I162">
        <v>4799.9999893796539</v>
      </c>
    </row>
    <row r="163" spans="2:9">
      <c r="B163" t="s">
        <v>1304</v>
      </c>
      <c r="C163">
        <v>700</v>
      </c>
      <c r="D163">
        <v>700</v>
      </c>
      <c r="E163" t="s">
        <v>1161</v>
      </c>
      <c r="F163">
        <v>0</v>
      </c>
      <c r="G163">
        <v>0</v>
      </c>
      <c r="H163">
        <v>0</v>
      </c>
      <c r="I163">
        <v>0</v>
      </c>
    </row>
    <row r="164" spans="2:9">
      <c r="B164" t="s">
        <v>1305</v>
      </c>
      <c r="C164">
        <v>0.36152700729932896</v>
      </c>
      <c r="D164">
        <v>0.39639999999999997</v>
      </c>
      <c r="E164" t="s">
        <v>1156</v>
      </c>
      <c r="F164">
        <v>-1.9671640327334603</v>
      </c>
      <c r="G164">
        <v>-1.7594850000338553</v>
      </c>
      <c r="H164">
        <v>1.9820000000000001E-2</v>
      </c>
      <c r="I164">
        <v>1.7727546925618332E-2</v>
      </c>
    </row>
    <row r="165" spans="2:9">
      <c r="B165" t="s">
        <v>1306</v>
      </c>
      <c r="C165">
        <v>1689.0166771432591</v>
      </c>
      <c r="D165">
        <v>1761.547</v>
      </c>
      <c r="E165" t="s">
        <v>1156</v>
      </c>
      <c r="F165">
        <v>-1.033396948162761</v>
      </c>
      <c r="G165">
        <v>-0.82348439021769959</v>
      </c>
      <c r="H165">
        <v>88.077349999999996</v>
      </c>
      <c r="I165">
        <v>70.186314160971662</v>
      </c>
    </row>
    <row r="166" spans="2:9">
      <c r="B166" t="s">
        <v>1307</v>
      </c>
      <c r="C166">
        <v>0.36152700729932896</v>
      </c>
      <c r="D166">
        <v>0.39639999999999997</v>
      </c>
      <c r="E166" t="s">
        <v>1156</v>
      </c>
      <c r="F166">
        <v>-1.9671640327334603</v>
      </c>
      <c r="G166">
        <v>-0.87974250001692766</v>
      </c>
      <c r="H166">
        <v>3.9640000000000002E-2</v>
      </c>
      <c r="I166">
        <v>1.7727546925618332E-2</v>
      </c>
    </row>
    <row r="167" spans="2:9">
      <c r="B167" t="s">
        <v>1308</v>
      </c>
      <c r="C167">
        <v>700</v>
      </c>
      <c r="D167">
        <v>700</v>
      </c>
      <c r="E167" t="s">
        <v>1161</v>
      </c>
      <c r="F167">
        <v>0</v>
      </c>
      <c r="G167">
        <v>0</v>
      </c>
      <c r="H167">
        <v>0</v>
      </c>
      <c r="I167">
        <v>0</v>
      </c>
    </row>
    <row r="168" spans="2:9">
      <c r="B168" t="s">
        <v>1309</v>
      </c>
      <c r="C168">
        <v>0.36297600000000002</v>
      </c>
      <c r="D168">
        <v>0.36297600000000002</v>
      </c>
      <c r="E168" t="s">
        <v>1161</v>
      </c>
      <c r="F168">
        <v>0</v>
      </c>
      <c r="G168">
        <v>0</v>
      </c>
      <c r="H168">
        <v>0</v>
      </c>
      <c r="I168">
        <v>0</v>
      </c>
    </row>
    <row r="169" spans="2:9">
      <c r="B169" t="s">
        <v>1310</v>
      </c>
      <c r="C169">
        <v>0.46177965094751749</v>
      </c>
      <c r="D169">
        <v>0.4793</v>
      </c>
      <c r="E169" t="s">
        <v>1156</v>
      </c>
      <c r="F169">
        <v>-0.40442161678776795</v>
      </c>
      <c r="G169">
        <v>-0.36554035160614456</v>
      </c>
      <c r="H169">
        <v>4.793E-2</v>
      </c>
      <c r="I169">
        <v>4.3321989540625432E-2</v>
      </c>
    </row>
    <row r="170" spans="2:9">
      <c r="B170" t="s">
        <v>1311</v>
      </c>
      <c r="C170">
        <v>0.46177965094751749</v>
      </c>
      <c r="D170">
        <v>0.50629999999999997</v>
      </c>
      <c r="E170" t="s">
        <v>1156</v>
      </c>
      <c r="F170">
        <v>-1.0276616915465826</v>
      </c>
      <c r="G170">
        <v>-0.43966372755759903</v>
      </c>
      <c r="H170">
        <v>0.10126</v>
      </c>
      <c r="I170">
        <v>4.3321989540625418E-2</v>
      </c>
    </row>
    <row r="171" spans="2:9">
      <c r="B171" t="s">
        <v>1312</v>
      </c>
      <c r="C171">
        <v>0.4538432</v>
      </c>
      <c r="D171">
        <v>0.4538432</v>
      </c>
      <c r="E171" t="s">
        <v>1161</v>
      </c>
      <c r="F171">
        <v>0</v>
      </c>
      <c r="G171">
        <v>0</v>
      </c>
      <c r="H171">
        <v>0</v>
      </c>
      <c r="I171">
        <v>0</v>
      </c>
    </row>
    <row r="172" spans="2:9">
      <c r="B172" t="s">
        <v>1313</v>
      </c>
      <c r="C172">
        <v>0</v>
      </c>
      <c r="E172" t="s">
        <v>1695</v>
      </c>
      <c r="I172">
        <v>0</v>
      </c>
    </row>
    <row r="173" spans="2:9">
      <c r="B173" t="s">
        <v>1314</v>
      </c>
      <c r="C173">
        <v>0</v>
      </c>
      <c r="D173">
        <v>0</v>
      </c>
      <c r="E173" t="s">
        <v>1161</v>
      </c>
      <c r="F173">
        <v>0</v>
      </c>
      <c r="G173">
        <v>0</v>
      </c>
      <c r="H173">
        <v>0</v>
      </c>
      <c r="I173">
        <v>0</v>
      </c>
    </row>
    <row r="174" spans="2:9">
      <c r="B174" t="s">
        <v>1315</v>
      </c>
      <c r="C174">
        <v>0</v>
      </c>
      <c r="D174">
        <v>0</v>
      </c>
      <c r="E174" t="s">
        <v>1161</v>
      </c>
      <c r="F174">
        <v>0</v>
      </c>
      <c r="G174">
        <v>0</v>
      </c>
      <c r="H174">
        <v>0</v>
      </c>
      <c r="I174">
        <v>0</v>
      </c>
    </row>
    <row r="175" spans="2:9">
      <c r="B175" t="s">
        <v>1316</v>
      </c>
      <c r="C175">
        <v>148427.61958271312</v>
      </c>
      <c r="E175" t="s">
        <v>1695</v>
      </c>
      <c r="I175">
        <v>6782.6047123234221</v>
      </c>
    </row>
    <row r="176" spans="2:9">
      <c r="B176" t="s">
        <v>1317</v>
      </c>
      <c r="C176">
        <v>22158.262690370204</v>
      </c>
      <c r="D176">
        <v>22158.27</v>
      </c>
      <c r="E176" t="s">
        <v>1271</v>
      </c>
      <c r="F176">
        <v>-1.6494134720050769E-6</v>
      </c>
      <c r="G176">
        <v>-1.6494134687657019E-6</v>
      </c>
      <c r="H176">
        <v>4431.6540000000005</v>
      </c>
      <c r="I176">
        <v>4431.6539912964281</v>
      </c>
    </row>
    <row r="177" spans="2:9">
      <c r="B177" t="s">
        <v>1318</v>
      </c>
      <c r="C177">
        <v>10695.849372709266</v>
      </c>
      <c r="E177" t="s">
        <v>1695</v>
      </c>
      <c r="I177">
        <v>2178.6019994829844</v>
      </c>
    </row>
    <row r="178" spans="2:9">
      <c r="B178" t="s">
        <v>1319</v>
      </c>
      <c r="C178">
        <v>-22158.285341798713</v>
      </c>
      <c r="E178" t="s">
        <v>1695</v>
      </c>
      <c r="I178">
        <v>12467.214235150826</v>
      </c>
    </row>
    <row r="179" spans="2:9">
      <c r="B179" t="s">
        <v>1320</v>
      </c>
      <c r="C179">
        <v>10695.849372709266</v>
      </c>
      <c r="D179">
        <v>10893.01</v>
      </c>
      <c r="E179" t="s">
        <v>1271</v>
      </c>
      <c r="F179">
        <v>-9.0498690140522711E-2</v>
      </c>
      <c r="G179">
        <v>-9.0498690119045988E-2</v>
      </c>
      <c r="H179">
        <v>2178.6019999999999</v>
      </c>
      <c r="I179">
        <v>2178.6019994829844</v>
      </c>
    </row>
    <row r="180" spans="2:9">
      <c r="B180" t="s">
        <v>1321</v>
      </c>
      <c r="C180">
        <v>15162.240998900001</v>
      </c>
      <c r="D180">
        <v>15162.240998900001</v>
      </c>
      <c r="E180" t="s">
        <v>1161</v>
      </c>
      <c r="F180">
        <v>0</v>
      </c>
      <c r="G180">
        <v>0</v>
      </c>
      <c r="H180">
        <v>0</v>
      </c>
      <c r="I180">
        <v>0</v>
      </c>
    </row>
    <row r="181" spans="2:9">
      <c r="B181" t="s">
        <v>1322</v>
      </c>
      <c r="C181">
        <v>2.4786999999999999E-3</v>
      </c>
      <c r="D181">
        <v>2.4786999999999999E-3</v>
      </c>
      <c r="E181" t="s">
        <v>1161</v>
      </c>
      <c r="F181">
        <v>0</v>
      </c>
      <c r="G181">
        <v>0</v>
      </c>
      <c r="H181">
        <v>0</v>
      </c>
      <c r="I181">
        <v>0</v>
      </c>
    </row>
    <row r="182" spans="2:9">
      <c r="B182" t="s">
        <v>1323</v>
      </c>
      <c r="C182">
        <v>89291.287670000005</v>
      </c>
      <c r="D182">
        <v>89291.287670000005</v>
      </c>
      <c r="E182" t="s">
        <v>1161</v>
      </c>
      <c r="F182">
        <v>0</v>
      </c>
      <c r="G182">
        <v>0</v>
      </c>
      <c r="H182">
        <v>0</v>
      </c>
      <c r="I182">
        <v>0</v>
      </c>
    </row>
    <row r="183" spans="2:9">
      <c r="B183" t="s">
        <v>1324</v>
      </c>
      <c r="C183">
        <v>89291.287670000005</v>
      </c>
      <c r="E183" t="s">
        <v>1695</v>
      </c>
      <c r="I183">
        <v>0</v>
      </c>
    </row>
    <row r="184" spans="2:9">
      <c r="B184" t="s">
        <v>1325</v>
      </c>
      <c r="E184" t="s">
        <v>1696</v>
      </c>
    </row>
    <row r="185" spans="2:9">
      <c r="B185" t="s">
        <v>1326</v>
      </c>
      <c r="E185" t="s">
        <v>1696</v>
      </c>
    </row>
    <row r="186" spans="2:9">
      <c r="B186" t="s">
        <v>1327</v>
      </c>
      <c r="C186">
        <v>0.88009997641088644</v>
      </c>
      <c r="D186">
        <v>0.88009999999999999</v>
      </c>
      <c r="E186" t="s">
        <v>1271</v>
      </c>
      <c r="F186">
        <v>-1.3401382542541218E-7</v>
      </c>
      <c r="G186">
        <v>-1.3401382542541213E-7</v>
      </c>
      <c r="H186">
        <v>0.17602000000000001</v>
      </c>
      <c r="I186">
        <v>0.17601999999999995</v>
      </c>
    </row>
    <row r="187" spans="2:9">
      <c r="B187" t="s">
        <v>1328</v>
      </c>
      <c r="C187">
        <v>5.5245560999999999</v>
      </c>
      <c r="D187">
        <v>5.5245560999999999</v>
      </c>
      <c r="E187" t="s">
        <v>1161</v>
      </c>
      <c r="F187">
        <v>0</v>
      </c>
      <c r="G187">
        <v>0</v>
      </c>
      <c r="H187">
        <v>0</v>
      </c>
      <c r="I187">
        <v>0</v>
      </c>
    </row>
    <row r="188" spans="2:9">
      <c r="B188" t="s">
        <v>1329</v>
      </c>
      <c r="C188">
        <v>16350.321428858766</v>
      </c>
      <c r="D188">
        <v>15785.49</v>
      </c>
      <c r="E188" t="s">
        <v>1271</v>
      </c>
      <c r="F188">
        <v>0.17890842475739796</v>
      </c>
      <c r="G188">
        <v>0.17890842440075228</v>
      </c>
      <c r="H188">
        <v>3157.098</v>
      </c>
      <c r="I188">
        <v>3157.0979937064712</v>
      </c>
    </row>
    <row r="189" spans="2:9">
      <c r="B189" t="s">
        <v>1330</v>
      </c>
      <c r="E189" t="s">
        <v>1696</v>
      </c>
    </row>
    <row r="190" spans="2:9">
      <c r="B190" t="s">
        <v>1331</v>
      </c>
      <c r="C190">
        <v>59129.961004894867</v>
      </c>
      <c r="D190">
        <v>52808.45</v>
      </c>
      <c r="E190" t="s">
        <v>1271</v>
      </c>
      <c r="F190">
        <v>0.59853216160736455</v>
      </c>
      <c r="G190">
        <v>0.59853214825419698</v>
      </c>
      <c r="H190">
        <v>10561.69</v>
      </c>
      <c r="I190">
        <v>10561.689764370196</v>
      </c>
    </row>
    <row r="191" spans="2:9">
      <c r="B191" t="s">
        <v>1332</v>
      </c>
      <c r="E191" t="s">
        <v>1696</v>
      </c>
    </row>
    <row r="192" spans="2:9">
      <c r="B192" t="s">
        <v>1333</v>
      </c>
      <c r="C192">
        <v>11711.9118354</v>
      </c>
      <c r="D192">
        <v>11711.9118354</v>
      </c>
      <c r="E192" t="s">
        <v>1161</v>
      </c>
      <c r="F192">
        <v>0</v>
      </c>
      <c r="G192">
        <v>0</v>
      </c>
      <c r="H192">
        <v>0</v>
      </c>
      <c r="I192">
        <v>0</v>
      </c>
    </row>
    <row r="193" spans="2:9">
      <c r="B193" t="s">
        <v>1334</v>
      </c>
      <c r="C193">
        <v>2.4872000000000002E-3</v>
      </c>
      <c r="D193">
        <v>2.4872000000000002E-3</v>
      </c>
      <c r="E193" t="s">
        <v>1161</v>
      </c>
      <c r="F193">
        <v>0</v>
      </c>
      <c r="G193">
        <v>0</v>
      </c>
      <c r="H193">
        <v>0</v>
      </c>
      <c r="I193">
        <v>0</v>
      </c>
    </row>
    <row r="194" spans="2:9">
      <c r="B194" t="s">
        <v>1335</v>
      </c>
      <c r="C194">
        <v>89291.287670000005</v>
      </c>
      <c r="D194">
        <v>89291.287670000005</v>
      </c>
      <c r="E194" t="s">
        <v>1161</v>
      </c>
      <c r="F194">
        <v>0</v>
      </c>
      <c r="G194">
        <v>0</v>
      </c>
      <c r="H194">
        <v>0</v>
      </c>
      <c r="I194">
        <v>0</v>
      </c>
    </row>
    <row r="195" spans="2:9">
      <c r="B195" t="s">
        <v>1336</v>
      </c>
      <c r="C195">
        <v>89291.287670000005</v>
      </c>
      <c r="E195" t="s">
        <v>1695</v>
      </c>
      <c r="I195">
        <v>0</v>
      </c>
    </row>
    <row r="196" spans="2:9">
      <c r="B196" t="s">
        <v>1337</v>
      </c>
      <c r="E196" t="s">
        <v>1696</v>
      </c>
    </row>
    <row r="197" spans="2:9">
      <c r="B197" t="s">
        <v>1338</v>
      </c>
      <c r="E197" t="s">
        <v>1696</v>
      </c>
    </row>
    <row r="198" spans="2:9">
      <c r="B198" t="s">
        <v>1339</v>
      </c>
      <c r="C198">
        <v>0.71140005449046695</v>
      </c>
      <c r="D198">
        <v>0.71140000000000003</v>
      </c>
      <c r="E198" t="s">
        <v>1271</v>
      </c>
      <c r="F198">
        <v>3.8298050967397088E-7</v>
      </c>
      <c r="G198">
        <v>3.8298050967397088E-7</v>
      </c>
      <c r="H198">
        <v>0.14227999999999999</v>
      </c>
      <c r="I198">
        <v>0.14227999999999999</v>
      </c>
    </row>
    <row r="199" spans="2:9">
      <c r="B199" t="s">
        <v>1340</v>
      </c>
      <c r="C199">
        <v>7.2594719999999997</v>
      </c>
      <c r="D199">
        <v>7.2594719999999997</v>
      </c>
      <c r="E199" t="s">
        <v>1161</v>
      </c>
      <c r="F199">
        <v>0</v>
      </c>
      <c r="G199">
        <v>0</v>
      </c>
      <c r="H199">
        <v>0</v>
      </c>
      <c r="I199">
        <v>0</v>
      </c>
    </row>
    <row r="200" spans="2:9">
      <c r="B200" t="s">
        <v>1341</v>
      </c>
      <c r="C200">
        <v>16850.270391123235</v>
      </c>
      <c r="D200">
        <v>16850.28</v>
      </c>
      <c r="E200" t="s">
        <v>1271</v>
      </c>
      <c r="F200">
        <v>-2.8512513680706005E-6</v>
      </c>
      <c r="G200">
        <v>-2.8512513632132329E-6</v>
      </c>
      <c r="H200">
        <v>3370.056</v>
      </c>
      <c r="I200">
        <v>3370.0559942588011</v>
      </c>
    </row>
    <row r="201" spans="2:9">
      <c r="B201" t="s">
        <v>1342</v>
      </c>
      <c r="C201">
        <v>228.6599215084116</v>
      </c>
      <c r="E201" t="s">
        <v>1695</v>
      </c>
      <c r="I201">
        <v>4229.8819962159678</v>
      </c>
    </row>
    <row r="202" spans="2:9">
      <c r="B202" t="s">
        <v>1343</v>
      </c>
      <c r="C202">
        <v>2941.9186426767583</v>
      </c>
      <c r="E202" t="s">
        <v>1695</v>
      </c>
      <c r="I202">
        <v>4784.180366413073</v>
      </c>
    </row>
    <row r="203" spans="2:9">
      <c r="B203" t="s">
        <v>1344</v>
      </c>
      <c r="C203">
        <v>228.6599215084116</v>
      </c>
      <c r="D203">
        <v>21149.41</v>
      </c>
      <c r="E203" t="s">
        <v>1271</v>
      </c>
      <c r="F203" s="36">
        <v>-4.9459417773846148</v>
      </c>
      <c r="G203">
        <v>-4.9459417729599995</v>
      </c>
      <c r="H203">
        <v>4229.8819999999996</v>
      </c>
      <c r="I203">
        <v>4229.8819962159678</v>
      </c>
    </row>
    <row r="204" spans="2:9">
      <c r="B204" t="s">
        <v>1345</v>
      </c>
      <c r="C204">
        <v>10768.248810999999</v>
      </c>
      <c r="D204">
        <v>10768.248810999999</v>
      </c>
      <c r="E204" t="s">
        <v>1161</v>
      </c>
      <c r="F204">
        <v>0</v>
      </c>
      <c r="G204">
        <v>0</v>
      </c>
      <c r="H204">
        <v>0</v>
      </c>
      <c r="I204">
        <v>0</v>
      </c>
    </row>
    <row r="205" spans="2:9">
      <c r="B205" t="s">
        <v>1346</v>
      </c>
      <c r="C205">
        <v>2.4009999999999999E-3</v>
      </c>
      <c r="D205">
        <v>2.4009999999999999E-3</v>
      </c>
      <c r="E205" t="s">
        <v>1161</v>
      </c>
      <c r="F205">
        <v>0</v>
      </c>
      <c r="G205">
        <v>0</v>
      </c>
      <c r="H205">
        <v>0</v>
      </c>
      <c r="I205">
        <v>0</v>
      </c>
    </row>
    <row r="206" spans="2:9">
      <c r="B206" t="s">
        <v>1347</v>
      </c>
      <c r="C206">
        <v>89291.287670000005</v>
      </c>
      <c r="D206">
        <v>89291.287670000005</v>
      </c>
      <c r="E206" t="s">
        <v>1161</v>
      </c>
      <c r="F206">
        <v>0</v>
      </c>
      <c r="G206">
        <v>0</v>
      </c>
      <c r="H206">
        <v>0</v>
      </c>
      <c r="I206">
        <v>0</v>
      </c>
    </row>
    <row r="207" spans="2:9">
      <c r="B207" t="s">
        <v>1348</v>
      </c>
      <c r="C207">
        <v>89291.287670000005</v>
      </c>
      <c r="E207" t="s">
        <v>1695</v>
      </c>
      <c r="I207">
        <v>0</v>
      </c>
    </row>
    <row r="208" spans="2:9">
      <c r="B208" t="s">
        <v>1349</v>
      </c>
      <c r="E208" t="s">
        <v>1696</v>
      </c>
    </row>
    <row r="209" spans="2:9">
      <c r="B209" t="s">
        <v>1350</v>
      </c>
      <c r="E209" t="s">
        <v>1696</v>
      </c>
    </row>
    <row r="210" spans="2:9">
      <c r="B210" t="s">
        <v>1351</v>
      </c>
      <c r="C210">
        <v>0.98770001793564588</v>
      </c>
      <c r="D210">
        <v>0.98770000000000002</v>
      </c>
      <c r="E210" t="s">
        <v>1271</v>
      </c>
      <c r="F210">
        <v>9.0795007883932587E-8</v>
      </c>
      <c r="G210">
        <v>9.07950078839326E-8</v>
      </c>
      <c r="H210">
        <v>0.19753999999999999</v>
      </c>
      <c r="I210">
        <v>0.19754000000000002</v>
      </c>
    </row>
    <row r="211" spans="2:9">
      <c r="B211" t="s">
        <v>1352</v>
      </c>
      <c r="C211">
        <v>7.9275899000000001</v>
      </c>
      <c r="D211">
        <v>7.9275899000000001</v>
      </c>
      <c r="E211" t="s">
        <v>1161</v>
      </c>
      <c r="F211">
        <v>0</v>
      </c>
      <c r="G211">
        <v>0</v>
      </c>
      <c r="H211">
        <v>0</v>
      </c>
      <c r="I211">
        <v>0</v>
      </c>
    </row>
    <row r="212" spans="2:9">
      <c r="B212" t="s">
        <v>1353</v>
      </c>
      <c r="E212" t="s">
        <v>1696</v>
      </c>
    </row>
    <row r="213" spans="2:9">
      <c r="B213" t="s">
        <v>1354</v>
      </c>
      <c r="C213">
        <v>54321.490006111984</v>
      </c>
      <c r="D213">
        <v>54321.49</v>
      </c>
      <c r="E213" t="s">
        <v>1271</v>
      </c>
      <c r="F213">
        <v>5.6257535417258565E-9</v>
      </c>
      <c r="G213">
        <v>5.6257535414201942E-9</v>
      </c>
      <c r="H213">
        <v>1086.4297999999999</v>
      </c>
      <c r="I213">
        <v>1086.4297999409712</v>
      </c>
    </row>
    <row r="214" spans="2:9">
      <c r="B214" t="s">
        <v>1355</v>
      </c>
      <c r="C214">
        <v>0</v>
      </c>
      <c r="D214">
        <v>0</v>
      </c>
      <c r="E214" t="s">
        <v>1161</v>
      </c>
      <c r="F214">
        <v>0</v>
      </c>
      <c r="G214">
        <v>0</v>
      </c>
      <c r="H214">
        <v>0</v>
      </c>
      <c r="I214">
        <v>0</v>
      </c>
    </row>
    <row r="215" spans="2:9">
      <c r="B215" t="s">
        <v>1356</v>
      </c>
      <c r="C215">
        <v>56675.082796800001</v>
      </c>
      <c r="D215">
        <v>56675.082796800001</v>
      </c>
      <c r="E215" t="s">
        <v>1161</v>
      </c>
      <c r="F215">
        <v>0</v>
      </c>
      <c r="G215">
        <v>0</v>
      </c>
      <c r="H215">
        <v>0</v>
      </c>
      <c r="I215">
        <v>0</v>
      </c>
    </row>
    <row r="216" spans="2:9">
      <c r="B216" t="s">
        <v>1357</v>
      </c>
      <c r="E216" t="s">
        <v>1696</v>
      </c>
    </row>
    <row r="217" spans="2:9">
      <c r="B217" t="s">
        <v>1358</v>
      </c>
      <c r="E217" t="s">
        <v>1696</v>
      </c>
    </row>
    <row r="218" spans="2:9">
      <c r="B218" t="s">
        <v>1359</v>
      </c>
      <c r="C218">
        <v>26849.40981859613</v>
      </c>
      <c r="E218" t="s">
        <v>1695</v>
      </c>
      <c r="I218">
        <v>2684.940998479211</v>
      </c>
    </row>
    <row r="219" spans="2:9">
      <c r="B219" t="s">
        <v>1360</v>
      </c>
      <c r="C219">
        <v>26849.40981859613</v>
      </c>
      <c r="D219">
        <v>26849.41</v>
      </c>
      <c r="E219" t="s">
        <v>1271</v>
      </c>
      <c r="F219">
        <v>-6.7563447297110492E-8</v>
      </c>
      <c r="G219">
        <v>-6.7563447258841583E-8</v>
      </c>
      <c r="H219">
        <v>2684.9409999999998</v>
      </c>
      <c r="I219">
        <v>2684.940998479211</v>
      </c>
    </row>
    <row r="220" spans="2:9">
      <c r="B220" t="s">
        <v>1361</v>
      </c>
      <c r="C220">
        <v>62071.879647571623</v>
      </c>
      <c r="E220" t="s">
        <v>1695</v>
      </c>
      <c r="I220">
        <v>11594.726017980038</v>
      </c>
    </row>
    <row r="221" spans="2:9">
      <c r="B221" t="s">
        <v>1362</v>
      </c>
      <c r="E221" t="s">
        <v>1696</v>
      </c>
    </row>
    <row r="222" spans="2:9">
      <c r="B222" t="s">
        <v>1363</v>
      </c>
      <c r="E222" t="s">
        <v>1696</v>
      </c>
    </row>
    <row r="223" spans="2:9">
      <c r="B223" t="s">
        <v>1364</v>
      </c>
      <c r="C223">
        <v>39913.594305772909</v>
      </c>
      <c r="E223" t="s">
        <v>1695</v>
      </c>
      <c r="I223">
        <v>6611.226445553526</v>
      </c>
    </row>
    <row r="224" spans="2:9">
      <c r="B224" t="s">
        <v>1365</v>
      </c>
      <c r="E224" t="s">
        <v>1696</v>
      </c>
    </row>
    <row r="225" spans="2:9">
      <c r="B225" t="s">
        <v>1366</v>
      </c>
      <c r="E225" t="s">
        <v>1696</v>
      </c>
    </row>
    <row r="226" spans="2:9">
      <c r="B226" t="s">
        <v>1367</v>
      </c>
      <c r="C226">
        <v>0</v>
      </c>
      <c r="D226">
        <v>0</v>
      </c>
      <c r="E226" t="s">
        <v>1161</v>
      </c>
      <c r="F226">
        <v>0</v>
      </c>
      <c r="G226">
        <v>0</v>
      </c>
      <c r="H226">
        <v>0</v>
      </c>
      <c r="I226">
        <v>0</v>
      </c>
    </row>
    <row r="227" spans="2:9">
      <c r="B227" t="s">
        <v>1368</v>
      </c>
      <c r="C227">
        <v>0.3216</v>
      </c>
      <c r="D227">
        <v>0.3216</v>
      </c>
      <c r="E227" t="s">
        <v>1156</v>
      </c>
      <c r="F227">
        <v>0</v>
      </c>
      <c r="G227">
        <v>0</v>
      </c>
      <c r="H227">
        <v>1.6080000000000001E-2</v>
      </c>
      <c r="I227">
        <v>1.4382389231278632E-2</v>
      </c>
    </row>
    <row r="228" spans="2:9">
      <c r="B228" t="s">
        <v>1369</v>
      </c>
      <c r="C228">
        <v>0</v>
      </c>
      <c r="D228">
        <v>0</v>
      </c>
      <c r="E228" t="s">
        <v>1161</v>
      </c>
      <c r="F228">
        <v>0</v>
      </c>
      <c r="G228">
        <v>0</v>
      </c>
      <c r="H228">
        <v>0</v>
      </c>
      <c r="I228">
        <v>0</v>
      </c>
    </row>
    <row r="229" spans="2:9">
      <c r="B229" t="s">
        <v>1370</v>
      </c>
      <c r="C229">
        <v>0.3216</v>
      </c>
      <c r="D229">
        <v>0.3216</v>
      </c>
      <c r="E229" t="s">
        <v>1161</v>
      </c>
      <c r="F229">
        <v>0</v>
      </c>
      <c r="G229">
        <v>0</v>
      </c>
      <c r="H229">
        <v>0</v>
      </c>
      <c r="I229">
        <v>0</v>
      </c>
    </row>
    <row r="230" spans="2:9">
      <c r="B230" t="s">
        <v>1371</v>
      </c>
      <c r="C230">
        <v>0.53920000000000001</v>
      </c>
      <c r="D230">
        <v>0.53920000000000001</v>
      </c>
      <c r="E230" t="s">
        <v>1271</v>
      </c>
      <c r="F230">
        <v>0</v>
      </c>
      <c r="G230">
        <v>0</v>
      </c>
      <c r="H230">
        <v>5.3920000000000003E-2</v>
      </c>
      <c r="I230">
        <v>5.3919999999999933E-2</v>
      </c>
    </row>
    <row r="231" spans="2:9">
      <c r="B231" t="s">
        <v>1372</v>
      </c>
      <c r="C231">
        <v>0.53920000000000001</v>
      </c>
      <c r="D231">
        <v>0.53920000000000001</v>
      </c>
      <c r="E231" t="s">
        <v>1161</v>
      </c>
      <c r="F231">
        <v>0</v>
      </c>
      <c r="G231">
        <v>0</v>
      </c>
      <c r="H231">
        <v>0</v>
      </c>
      <c r="I231">
        <v>0</v>
      </c>
    </row>
    <row r="232" spans="2:9">
      <c r="B232" t="s">
        <v>1373</v>
      </c>
      <c r="C232">
        <v>0</v>
      </c>
      <c r="D232">
        <v>0</v>
      </c>
      <c r="E232" t="s">
        <v>1161</v>
      </c>
      <c r="F232">
        <v>0</v>
      </c>
      <c r="G232">
        <v>0</v>
      </c>
      <c r="H232">
        <v>0</v>
      </c>
      <c r="I232">
        <v>0</v>
      </c>
    </row>
    <row r="233" spans="2:9">
      <c r="B233" t="s">
        <v>1374</v>
      </c>
      <c r="C233">
        <v>0.30489257452865021</v>
      </c>
      <c r="D233">
        <v>0.29809999999999998</v>
      </c>
      <c r="E233" t="s">
        <v>1156</v>
      </c>
      <c r="F233">
        <v>0.49752107535204065</v>
      </c>
      <c r="G233">
        <v>0.45572455744047169</v>
      </c>
      <c r="H233">
        <v>1.4905E-2</v>
      </c>
      <c r="I233">
        <v>1.3652837769422886E-2</v>
      </c>
    </row>
    <row r="234" spans="2:9">
      <c r="B234" t="s">
        <v>1375</v>
      </c>
      <c r="C234">
        <v>0</v>
      </c>
      <c r="D234">
        <v>0</v>
      </c>
      <c r="E234" t="s">
        <v>1161</v>
      </c>
      <c r="F234">
        <v>0</v>
      </c>
      <c r="G234">
        <v>0</v>
      </c>
      <c r="H234">
        <v>0</v>
      </c>
      <c r="I234">
        <v>0</v>
      </c>
    </row>
    <row r="235" spans="2:9">
      <c r="B235" t="s">
        <v>1376</v>
      </c>
      <c r="C235">
        <v>0.30489260000000001</v>
      </c>
      <c r="D235">
        <v>0.30489260000000001</v>
      </c>
      <c r="E235" t="s">
        <v>1161</v>
      </c>
      <c r="F235">
        <v>0</v>
      </c>
      <c r="G235">
        <v>0</v>
      </c>
      <c r="H235">
        <v>0</v>
      </c>
      <c r="I235">
        <v>0</v>
      </c>
    </row>
    <row r="236" spans="2:9">
      <c r="B236" t="s">
        <v>1377</v>
      </c>
      <c r="C236">
        <v>0.51060000000000005</v>
      </c>
      <c r="D236">
        <v>0.51060000000000005</v>
      </c>
      <c r="E236" t="s">
        <v>1271</v>
      </c>
      <c r="F236">
        <v>0</v>
      </c>
      <c r="G236">
        <v>0</v>
      </c>
      <c r="H236">
        <v>5.1060000000000001E-2</v>
      </c>
      <c r="I236">
        <v>5.1059999999999939E-2</v>
      </c>
    </row>
    <row r="237" spans="2:9">
      <c r="B237" t="s">
        <v>1378</v>
      </c>
      <c r="C237">
        <v>0.51060000000000005</v>
      </c>
      <c r="D237">
        <v>0.51060000000000005</v>
      </c>
      <c r="E237" t="s">
        <v>1161</v>
      </c>
      <c r="F237">
        <v>0</v>
      </c>
      <c r="G237">
        <v>0</v>
      </c>
      <c r="H237">
        <v>0</v>
      </c>
      <c r="I237">
        <v>0</v>
      </c>
    </row>
    <row r="238" spans="2:9">
      <c r="B238" t="s">
        <v>1379</v>
      </c>
      <c r="C238">
        <v>1549.9291660024478</v>
      </c>
      <c r="D238">
        <v>1557.7449999999999</v>
      </c>
      <c r="E238" t="s">
        <v>1156</v>
      </c>
      <c r="F238">
        <v>-0.25592397901499175</v>
      </c>
      <c r="G238">
        <v>-0.25087013591929647</v>
      </c>
      <c r="H238">
        <v>31.154900000000001</v>
      </c>
      <c r="I238">
        <v>30.539670521042687</v>
      </c>
    </row>
    <row r="239" spans="2:9">
      <c r="B239" t="s">
        <v>1380</v>
      </c>
      <c r="C239">
        <v>0.36070925753956201</v>
      </c>
      <c r="D239">
        <v>0.34029999999999999</v>
      </c>
      <c r="E239" t="s">
        <v>1156</v>
      </c>
      <c r="F239">
        <v>1.3811247022470019</v>
      </c>
      <c r="G239">
        <v>1.1994861909821934</v>
      </c>
      <c r="H239">
        <v>1.7014999999999999E-2</v>
      </c>
      <c r="I239">
        <v>1.477727355564451E-2</v>
      </c>
    </row>
    <row r="240" spans="2:9">
      <c r="B240" t="s">
        <v>1381</v>
      </c>
      <c r="C240">
        <v>2662.5930512999998</v>
      </c>
      <c r="D240">
        <v>2662.5930512999998</v>
      </c>
      <c r="E240" t="s">
        <v>1161</v>
      </c>
      <c r="F240">
        <v>0</v>
      </c>
      <c r="G240">
        <v>0</v>
      </c>
      <c r="H240">
        <v>0</v>
      </c>
      <c r="I240">
        <v>0</v>
      </c>
    </row>
    <row r="241" spans="1:9">
      <c r="B241" t="s">
        <v>1382</v>
      </c>
      <c r="C241">
        <v>0.37265589999999998</v>
      </c>
      <c r="D241">
        <v>0.37265589999999998</v>
      </c>
      <c r="E241" t="s">
        <v>1161</v>
      </c>
      <c r="F241">
        <v>0</v>
      </c>
      <c r="G241">
        <v>0</v>
      </c>
      <c r="H241">
        <v>0</v>
      </c>
      <c r="I241">
        <v>0</v>
      </c>
    </row>
    <row r="242" spans="1:9">
      <c r="B242" t="s">
        <v>1383</v>
      </c>
      <c r="C242">
        <v>0.46510277578034059</v>
      </c>
      <c r="D242">
        <v>0.4793</v>
      </c>
      <c r="E242" t="s">
        <v>1271</v>
      </c>
      <c r="F242">
        <v>-0.29620747380887563</v>
      </c>
      <c r="G242">
        <v>-0.29620747380887563</v>
      </c>
      <c r="H242">
        <v>4.793E-2</v>
      </c>
      <c r="I242">
        <v>4.7930000000000007E-2</v>
      </c>
    </row>
    <row r="243" spans="1:9">
      <c r="B243" t="s">
        <v>1384</v>
      </c>
      <c r="C243">
        <v>0.4571559</v>
      </c>
      <c r="D243">
        <v>0.4571559</v>
      </c>
      <c r="E243" t="s">
        <v>1161</v>
      </c>
      <c r="F243">
        <v>0</v>
      </c>
      <c r="G243">
        <v>0</v>
      </c>
      <c r="H243">
        <v>0</v>
      </c>
      <c r="I243">
        <v>0</v>
      </c>
    </row>
    <row r="244" spans="1:9">
      <c r="B244" t="s">
        <v>1385</v>
      </c>
      <c r="C244">
        <v>2626.660093959093</v>
      </c>
      <c r="D244">
        <v>2659.57</v>
      </c>
      <c r="E244" t="s">
        <v>1156</v>
      </c>
      <c r="F244">
        <v>-0.63220509506451206</v>
      </c>
      <c r="G244">
        <v>-0.61870727299727246</v>
      </c>
      <c r="H244">
        <v>53.191400000000002</v>
      </c>
      <c r="I244">
        <v>52.055743140679517</v>
      </c>
    </row>
    <row r="245" spans="1:9">
      <c r="B245" t="s">
        <v>1386</v>
      </c>
      <c r="C245">
        <v>0.33854772668182698</v>
      </c>
      <c r="D245">
        <v>0.32619999999999999</v>
      </c>
      <c r="E245" t="s">
        <v>1156</v>
      </c>
      <c r="F245">
        <v>0.84642416395319053</v>
      </c>
      <c r="G245">
        <v>0.75706478735910399</v>
      </c>
      <c r="H245">
        <v>1.6310000000000002E-2</v>
      </c>
      <c r="I245">
        <v>1.4588107485208621E-2</v>
      </c>
    </row>
    <row r="246" spans="1:9">
      <c r="B246" t="s">
        <v>1387</v>
      </c>
      <c r="C246">
        <v>1370.4528453</v>
      </c>
      <c r="D246">
        <v>1370.4528453</v>
      </c>
      <c r="E246" t="s">
        <v>1161</v>
      </c>
      <c r="F246">
        <v>0</v>
      </c>
      <c r="G246">
        <v>0</v>
      </c>
      <c r="H246">
        <v>0</v>
      </c>
      <c r="I246">
        <v>0</v>
      </c>
    </row>
    <row r="247" spans="1:9">
      <c r="B247" t="s">
        <v>1388</v>
      </c>
      <c r="C247">
        <v>0.36751499999999998</v>
      </c>
      <c r="D247">
        <v>0.36751499999999998</v>
      </c>
      <c r="E247" t="s">
        <v>1161</v>
      </c>
      <c r="F247">
        <v>0</v>
      </c>
      <c r="G247">
        <v>0</v>
      </c>
      <c r="H247">
        <v>0</v>
      </c>
      <c r="I247">
        <v>0</v>
      </c>
    </row>
    <row r="248" spans="1:9">
      <c r="B248" t="s">
        <v>1389</v>
      </c>
      <c r="C248">
        <v>0.47438246687684626</v>
      </c>
      <c r="D248">
        <v>0.53139999999999998</v>
      </c>
      <c r="E248" t="s">
        <v>1271</v>
      </c>
      <c r="F248">
        <v>-1.0729682559870866</v>
      </c>
      <c r="G248">
        <v>-1.0729682559870855</v>
      </c>
      <c r="H248">
        <v>5.314E-2</v>
      </c>
      <c r="I248">
        <v>5.3139999999999944E-2</v>
      </c>
    </row>
    <row r="249" spans="1:9">
      <c r="B249" t="s">
        <v>1390</v>
      </c>
      <c r="C249">
        <v>0.4493876</v>
      </c>
      <c r="D249">
        <v>0.4493876</v>
      </c>
      <c r="E249" t="s">
        <v>1161</v>
      </c>
      <c r="F249">
        <v>0</v>
      </c>
      <c r="G249">
        <v>0</v>
      </c>
      <c r="H249">
        <v>0</v>
      </c>
      <c r="I249">
        <v>0</v>
      </c>
    </row>
    <row r="250" spans="1:9">
      <c r="B250" t="s">
        <v>1391</v>
      </c>
      <c r="E250" t="s">
        <v>1696</v>
      </c>
    </row>
    <row r="251" spans="1:9">
      <c r="B251" t="s">
        <v>1392</v>
      </c>
      <c r="C251">
        <v>3110.8340000096191</v>
      </c>
      <c r="D251">
        <v>3110.8339999999998</v>
      </c>
      <c r="E251" t="s">
        <v>1271</v>
      </c>
      <c r="F251">
        <v>1.5460919343980879E-10</v>
      </c>
      <c r="G251">
        <v>1.5460919343978778E-10</v>
      </c>
      <c r="H251">
        <v>62.216679999999997</v>
      </c>
      <c r="I251">
        <v>62.216679999991548</v>
      </c>
    </row>
    <row r="252" spans="1:9">
      <c r="B252" t="s">
        <v>1393</v>
      </c>
      <c r="C252">
        <v>791.99990001558672</v>
      </c>
      <c r="D252">
        <v>791.99990000000003</v>
      </c>
      <c r="E252" t="s">
        <v>1271</v>
      </c>
      <c r="F252">
        <v>1.9680170193597973E-10</v>
      </c>
      <c r="G252">
        <v>1.968017019359346E-10</v>
      </c>
      <c r="H252">
        <v>79.19999</v>
      </c>
      <c r="I252">
        <v>79.199989999981838</v>
      </c>
    </row>
    <row r="253" spans="1:9">
      <c r="B253" t="s">
        <v>1394</v>
      </c>
      <c r="C253">
        <v>2453.5346378999998</v>
      </c>
      <c r="D253">
        <v>2453.5346378999998</v>
      </c>
      <c r="E253" t="s">
        <v>1161</v>
      </c>
      <c r="F253">
        <v>0</v>
      </c>
      <c r="G253">
        <v>0</v>
      </c>
      <c r="H253">
        <v>0</v>
      </c>
      <c r="I253">
        <v>0</v>
      </c>
    </row>
    <row r="255" spans="1:9" ht="15.75" thickBot="1">
      <c r="A255" s="34" t="s">
        <v>20</v>
      </c>
    </row>
    <row r="256" spans="1:9" ht="30.75" thickBot="1">
      <c r="B256" s="35" t="s">
        <v>1395</v>
      </c>
      <c r="C256" s="35" t="s">
        <v>1396</v>
      </c>
      <c r="D256" s="35" t="s">
        <v>1397</v>
      </c>
      <c r="E256" s="35" t="s">
        <v>1398</v>
      </c>
      <c r="F256" s="35" t="s">
        <v>1152</v>
      </c>
      <c r="G256" s="35" t="s">
        <v>1151</v>
      </c>
      <c r="H256" s="35" t="s">
        <v>1399</v>
      </c>
      <c r="I256" s="35" t="s">
        <v>1400</v>
      </c>
    </row>
    <row r="257" spans="2:9">
      <c r="B257" t="s">
        <v>1401</v>
      </c>
      <c r="C257" t="b">
        <v>1</v>
      </c>
      <c r="D257">
        <v>2.2552156469901092</v>
      </c>
      <c r="E257">
        <v>2.2546240246738307</v>
      </c>
      <c r="F257">
        <v>3.8896691274740475E-13</v>
      </c>
      <c r="G257">
        <v>3.8896691274740475E-13</v>
      </c>
      <c r="H257">
        <v>5797962688036.2627</v>
      </c>
      <c r="I257" t="s">
        <v>1402</v>
      </c>
    </row>
    <row r="258" spans="2:9">
      <c r="B258" t="s">
        <v>1403</v>
      </c>
      <c r="C258" t="b">
        <v>1</v>
      </c>
      <c r="D258">
        <v>-18.979629316017963</v>
      </c>
      <c r="E258">
        <v>1.5175691712502157</v>
      </c>
      <c r="F258">
        <v>-3.2734997336711187E-12</v>
      </c>
      <c r="G258">
        <v>-3.2734997336711187E-12</v>
      </c>
      <c r="H258">
        <v>5797962688310.0293</v>
      </c>
      <c r="I258" t="s">
        <v>1404</v>
      </c>
    </row>
    <row r="259" spans="2:9">
      <c r="B259" t="s">
        <v>1405</v>
      </c>
      <c r="C259" t="b">
        <v>1</v>
      </c>
      <c r="D259">
        <v>-242.27446427422649</v>
      </c>
      <c r="E259">
        <v>-196.4556073161217</v>
      </c>
      <c r="F259">
        <v>-3.078664635139717E-10</v>
      </c>
      <c r="G259">
        <v>-3.078664635139717E-10</v>
      </c>
      <c r="H259">
        <v>786946592067.60767</v>
      </c>
      <c r="I259" t="s">
        <v>1406</v>
      </c>
    </row>
    <row r="260" spans="2:9">
      <c r="B260" t="s">
        <v>1407</v>
      </c>
      <c r="C260" t="b">
        <v>1</v>
      </c>
      <c r="D260">
        <v>-10343.562378346414</v>
      </c>
      <c r="E260">
        <v>-14817.197773557698</v>
      </c>
      <c r="F260">
        <v>-2.4629070582885456E-8</v>
      </c>
      <c r="G260">
        <v>-2.082702408434529E-8</v>
      </c>
      <c r="H260">
        <v>496641399004.34412</v>
      </c>
      <c r="I260" t="s">
        <v>1408</v>
      </c>
    </row>
    <row r="261" spans="2:9">
      <c r="B261" t="s">
        <v>1409</v>
      </c>
      <c r="C261" t="b">
        <v>1</v>
      </c>
      <c r="D261">
        <v>4.1728687938302755E-4</v>
      </c>
      <c r="E261">
        <v>0</v>
      </c>
      <c r="F261">
        <v>4.3503402302662003E-8</v>
      </c>
      <c r="G261">
        <v>4.3503402334198528E-8</v>
      </c>
      <c r="H261">
        <v>9592.0515866179394</v>
      </c>
      <c r="I261" t="s">
        <v>1410</v>
      </c>
    </row>
    <row r="262" spans="2:9">
      <c r="B262" t="s">
        <v>1411</v>
      </c>
      <c r="C262" t="b">
        <v>1</v>
      </c>
      <c r="D262">
        <v>-914.84750732103976</v>
      </c>
      <c r="E262">
        <v>-3.2522740785452697</v>
      </c>
      <c r="F262">
        <v>-9.7289943395382548E-10</v>
      </c>
      <c r="G262">
        <v>-1.0427643279181563E-9</v>
      </c>
      <c r="H262">
        <v>877329117258.45264</v>
      </c>
      <c r="I262" t="s">
        <v>1412</v>
      </c>
    </row>
    <row r="263" spans="2:9">
      <c r="B263" t="s">
        <v>1413</v>
      </c>
      <c r="C263" t="b">
        <v>1</v>
      </c>
      <c r="D263">
        <v>-13813.055440562768</v>
      </c>
      <c r="E263">
        <v>-8.1372630530995593</v>
      </c>
      <c r="F263">
        <v>-1.9023473240598039E-7</v>
      </c>
      <c r="G263">
        <v>-1.1722939316719679E-7</v>
      </c>
      <c r="H263">
        <v>117829283828.69038</v>
      </c>
      <c r="I263" t="s">
        <v>1414</v>
      </c>
    </row>
    <row r="264" spans="2:9">
      <c r="B264" t="s">
        <v>1415</v>
      </c>
      <c r="C264" t="b">
        <v>1</v>
      </c>
      <c r="D264">
        <v>-112.31496168091644</v>
      </c>
      <c r="E264">
        <v>1.1368683772161603E-13</v>
      </c>
      <c r="F264">
        <v>-0.88438916698803249</v>
      </c>
      <c r="G264">
        <v>-1.1327242990849444</v>
      </c>
      <c r="H264">
        <v>99.154720854534958</v>
      </c>
      <c r="I264" t="s">
        <v>1416</v>
      </c>
    </row>
    <row r="265" spans="2:9">
      <c r="B265" t="s">
        <v>1417</v>
      </c>
      <c r="C265" t="b">
        <v>1</v>
      </c>
      <c r="D265">
        <v>-159.53065422695499</v>
      </c>
      <c r="E265">
        <v>-1.1268850546302929</v>
      </c>
      <c r="F265">
        <v>-0.6947045694341738</v>
      </c>
      <c r="G265">
        <v>-1.0181499820808011</v>
      </c>
      <c r="H265">
        <v>156.68679176413769</v>
      </c>
      <c r="I265" t="s">
        <v>1418</v>
      </c>
    </row>
    <row r="266" spans="2:9">
      <c r="B266" t="s">
        <v>1419</v>
      </c>
      <c r="C266" t="b">
        <v>1</v>
      </c>
      <c r="D266">
        <v>48.001562673188232</v>
      </c>
      <c r="E266">
        <v>1.1368683772161603E-13</v>
      </c>
      <c r="F266">
        <v>0.2663633095991475</v>
      </c>
      <c r="G266">
        <v>0.67776099476501683</v>
      </c>
      <c r="H266">
        <v>70.823731439178815</v>
      </c>
      <c r="I266" t="s">
        <v>1420</v>
      </c>
    </row>
    <row r="267" spans="2:9">
      <c r="B267" t="s">
        <v>1421</v>
      </c>
      <c r="C267" t="b">
        <v>1</v>
      </c>
      <c r="D267">
        <v>14.276311889099929</v>
      </c>
      <c r="E267">
        <v>-0.36536426389466214</v>
      </c>
      <c r="F267">
        <v>7.8075006652169945E-2</v>
      </c>
      <c r="G267">
        <v>0.21395112744191741</v>
      </c>
      <c r="H267">
        <v>66.726976668891851</v>
      </c>
      <c r="I267" t="s">
        <v>1422</v>
      </c>
    </row>
    <row r="268" spans="2:9">
      <c r="B268" t="s">
        <v>1423</v>
      </c>
      <c r="C268" t="b">
        <v>1</v>
      </c>
      <c r="D268">
        <v>-5.1957801448073724</v>
      </c>
      <c r="E268">
        <v>-4.6596053631446921E-2</v>
      </c>
      <c r="F268">
        <v>-1.8744670411983046E-2</v>
      </c>
      <c r="G268">
        <v>-2.753568048350025E-2</v>
      </c>
      <c r="H268">
        <v>188.69263637485747</v>
      </c>
      <c r="I268" t="s">
        <v>1424</v>
      </c>
    </row>
    <row r="269" spans="2:9">
      <c r="B269" t="s">
        <v>1425</v>
      </c>
      <c r="C269" t="b">
        <v>1</v>
      </c>
      <c r="D269">
        <v>-1.4472452926137294</v>
      </c>
      <c r="E269">
        <v>58.284670445731933</v>
      </c>
      <c r="F269">
        <v>-1.6755912913167179E-10</v>
      </c>
      <c r="G269">
        <v>-1.6755912913167179E-10</v>
      </c>
      <c r="H269">
        <v>8637221380.378809</v>
      </c>
      <c r="I269" t="s">
        <v>1426</v>
      </c>
    </row>
    <row r="270" spans="2:9">
      <c r="B270" t="s">
        <v>1427</v>
      </c>
      <c r="C270" t="b">
        <v>1</v>
      </c>
      <c r="D270">
        <v>-31991291.803333286</v>
      </c>
      <c r="E270">
        <v>-8096.2336418820996</v>
      </c>
      <c r="F270">
        <v>-6.061220280385829E-5</v>
      </c>
      <c r="G270">
        <v>-6.6308442137625248E-5</v>
      </c>
      <c r="H270">
        <v>482461821934.1416</v>
      </c>
      <c r="I270" t="s">
        <v>1428</v>
      </c>
    </row>
    <row r="271" spans="2:9">
      <c r="B271" t="s">
        <v>1429</v>
      </c>
      <c r="C271" t="b">
        <v>1</v>
      </c>
      <c r="D271">
        <v>-632.95076095390868</v>
      </c>
      <c r="E271">
        <v>49.333513474044196</v>
      </c>
      <c r="F271">
        <v>-4.7572503602611137E-3</v>
      </c>
      <c r="G271">
        <v>-3.8654800429393211E-3</v>
      </c>
      <c r="H271">
        <v>163744.41309302719</v>
      </c>
      <c r="I271" t="s">
        <v>1430</v>
      </c>
    </row>
    <row r="272" spans="2:9">
      <c r="B272" t="s">
        <v>1431</v>
      </c>
      <c r="C272" t="b">
        <v>1</v>
      </c>
      <c r="D272">
        <v>2.6268430498021189E-2</v>
      </c>
      <c r="E272">
        <v>-1.7489219317212701E-7</v>
      </c>
      <c r="F272">
        <v>1.1854914280048539E-14</v>
      </c>
      <c r="G272">
        <v>1.1854910369317491E-14</v>
      </c>
      <c r="H272">
        <v>2215827001611.7812</v>
      </c>
      <c r="I272" t="s">
        <v>1432</v>
      </c>
    </row>
    <row r="273" spans="2:9">
      <c r="B273" t="s">
        <v>1433</v>
      </c>
      <c r="C273" t="b">
        <v>1</v>
      </c>
      <c r="D273">
        <v>-7375.8752332169679</v>
      </c>
      <c r="E273">
        <v>-1.0354162193834782E-2</v>
      </c>
      <c r="F273">
        <v>-4.5111499828649003E-9</v>
      </c>
      <c r="G273">
        <v>-4.6725665295441558E-9</v>
      </c>
      <c r="H273">
        <v>1578549002262.4761</v>
      </c>
      <c r="I273" t="s">
        <v>1434</v>
      </c>
    </row>
    <row r="274" spans="2:9">
      <c r="B274" t="s">
        <v>1435</v>
      </c>
      <c r="C274" t="b">
        <v>1</v>
      </c>
      <c r="D274">
        <v>-22877.956712914383</v>
      </c>
      <c r="E274">
        <v>1.0364165063947439E-6</v>
      </c>
      <c r="F274">
        <v>-1.3577204491738924E-8</v>
      </c>
      <c r="G274">
        <v>-1.357719674933438E-8</v>
      </c>
      <c r="H274">
        <v>1685028002119.5076</v>
      </c>
      <c r="I274" t="s">
        <v>1436</v>
      </c>
    </row>
    <row r="275" spans="2:9">
      <c r="B275" t="s">
        <v>1437</v>
      </c>
      <c r="C275" t="b">
        <v>1</v>
      </c>
      <c r="D275">
        <v>22878.003482604428</v>
      </c>
      <c r="E275">
        <v>-2.9103830456733704E-11</v>
      </c>
      <c r="F275">
        <v>0.47998636485135232</v>
      </c>
      <c r="G275">
        <v>0.47991408665547425</v>
      </c>
      <c r="H275">
        <v>47671.039710547877</v>
      </c>
      <c r="I275" t="s">
        <v>1438</v>
      </c>
    </row>
    <row r="276" spans="2:9">
      <c r="B276" t="s">
        <v>1439</v>
      </c>
      <c r="C276" t="b">
        <v>1</v>
      </c>
      <c r="D276">
        <v>66072748.782638989</v>
      </c>
      <c r="E276">
        <v>4525626.5666802358</v>
      </c>
      <c r="F276">
        <v>0.91304613628228748</v>
      </c>
      <c r="G276">
        <v>0.53116427959606516</v>
      </c>
      <c r="H276">
        <v>124392304.45406717</v>
      </c>
      <c r="I276" t="s">
        <v>1440</v>
      </c>
    </row>
    <row r="277" spans="2:9">
      <c r="B277" t="s">
        <v>1441</v>
      </c>
      <c r="C277" t="b">
        <v>1</v>
      </c>
      <c r="D277">
        <v>216.43281453746158</v>
      </c>
      <c r="E277">
        <v>7.5409321821325648E-2</v>
      </c>
      <c r="F277">
        <v>1.0878949485614089</v>
      </c>
      <c r="G277">
        <v>1.4608015983971934</v>
      </c>
      <c r="H277">
        <v>148.16030785764056</v>
      </c>
      <c r="I277" t="s">
        <v>1442</v>
      </c>
    </row>
    <row r="278" spans="2:9">
      <c r="B278" t="s">
        <v>1443</v>
      </c>
      <c r="C278" t="b">
        <v>1</v>
      </c>
      <c r="D278">
        <v>183.03457530919991</v>
      </c>
      <c r="E278">
        <v>0.73226235540096241</v>
      </c>
      <c r="F278">
        <v>1.2787988820129894</v>
      </c>
      <c r="G278" s="36">
        <v>2.5279707506896298</v>
      </c>
      <c r="H278">
        <v>72.403755169741629</v>
      </c>
      <c r="I278" t="s">
        <v>1444</v>
      </c>
    </row>
    <row r="279" spans="2:9">
      <c r="B279" t="s">
        <v>1445</v>
      </c>
      <c r="C279" t="b">
        <v>1</v>
      </c>
      <c r="D279">
        <v>96.763096899999937</v>
      </c>
      <c r="E279">
        <v>-1.070154597346118E-2</v>
      </c>
      <c r="F279">
        <v>0.35207051862533012</v>
      </c>
      <c r="G279">
        <v>0.51401903259269399</v>
      </c>
      <c r="H279">
        <v>188.24808181115449</v>
      </c>
      <c r="I279" t="s">
        <v>1446</v>
      </c>
    </row>
    <row r="280" spans="2:9">
      <c r="B280" t="s">
        <v>1447</v>
      </c>
      <c r="C280" t="b">
        <v>1</v>
      </c>
      <c r="D280">
        <v>-1252427839.0327451</v>
      </c>
      <c r="E280">
        <v>2.0775573145868975E-2</v>
      </c>
      <c r="F280">
        <v>-2.8870948918074409E-4</v>
      </c>
      <c r="G280">
        <v>-3.2135122954932626E-4</v>
      </c>
      <c r="H280">
        <v>3897379950246.937</v>
      </c>
      <c r="I280" t="s">
        <v>1448</v>
      </c>
    </row>
    <row r="281" spans="2:9">
      <c r="B281" t="s">
        <v>1449</v>
      </c>
      <c r="C281" t="b">
        <v>1</v>
      </c>
      <c r="D281">
        <v>80104985.742302805</v>
      </c>
      <c r="E281">
        <v>-232.86347798910487</v>
      </c>
      <c r="F281">
        <v>0.50688665148196732</v>
      </c>
      <c r="G281">
        <v>0.46587133990982865</v>
      </c>
      <c r="H281">
        <v>171946584.560895</v>
      </c>
      <c r="I281" t="s">
        <v>1450</v>
      </c>
    </row>
    <row r="282" spans="2:9">
      <c r="B282" t="s">
        <v>1451</v>
      </c>
      <c r="C282" t="b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1452</v>
      </c>
    </row>
    <row r="283" spans="2:9">
      <c r="B283" t="s">
        <v>1453</v>
      </c>
      <c r="C283" t="b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1454</v>
      </c>
    </row>
    <row r="284" spans="2:9">
      <c r="B284" t="s">
        <v>1455</v>
      </c>
      <c r="C284" t="b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1456</v>
      </c>
    </row>
    <row r="285" spans="2:9">
      <c r="B285" t="s">
        <v>1457</v>
      </c>
      <c r="C285" t="b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1458</v>
      </c>
    </row>
    <row r="286" spans="2:9">
      <c r="B286" t="s">
        <v>1459</v>
      </c>
      <c r="C286" t="b">
        <v>1</v>
      </c>
      <c r="D286">
        <v>93.442813474009654</v>
      </c>
      <c r="E286">
        <v>0.12951805765715108</v>
      </c>
      <c r="F286">
        <v>0.44621380661174559</v>
      </c>
      <c r="G286">
        <v>0.76450516748183361</v>
      </c>
      <c r="H286">
        <v>122.22652958880107</v>
      </c>
      <c r="I286" t="s">
        <v>1460</v>
      </c>
    </row>
    <row r="287" spans="2:9">
      <c r="B287" t="s">
        <v>1461</v>
      </c>
      <c r="C287" t="b">
        <v>1</v>
      </c>
      <c r="D287">
        <v>1167953961.1568065</v>
      </c>
      <c r="E287">
        <v>0</v>
      </c>
      <c r="F287">
        <v>4.6521888638946738</v>
      </c>
      <c r="G287" s="36">
        <v>5.1672925197961428</v>
      </c>
      <c r="H287">
        <v>226028225.9388876</v>
      </c>
      <c r="I287" t="s">
        <v>1462</v>
      </c>
    </row>
    <row r="288" spans="2:9">
      <c r="B288" t="s">
        <v>1463</v>
      </c>
      <c r="C288" t="b">
        <v>1</v>
      </c>
      <c r="D288">
        <v>-138.29241215751836</v>
      </c>
      <c r="E288">
        <v>-0.80648395172011078</v>
      </c>
      <c r="F288">
        <v>-0.94193524990327737</v>
      </c>
      <c r="G288" s="36">
        <v>-2.5774684257236951</v>
      </c>
      <c r="H288">
        <v>53.654357421929994</v>
      </c>
      <c r="I288" t="s">
        <v>1464</v>
      </c>
    </row>
    <row r="289" spans="2:9">
      <c r="B289" t="s">
        <v>1465</v>
      </c>
      <c r="C289" t="b">
        <v>1</v>
      </c>
      <c r="D289">
        <v>-24.774095871479972</v>
      </c>
      <c r="E289">
        <v>3.4821368298139532E-2</v>
      </c>
      <c r="F289">
        <v>-0.24160457003483762</v>
      </c>
      <c r="G289">
        <v>-0.37353546095635121</v>
      </c>
      <c r="H289">
        <v>66.323277067327496</v>
      </c>
      <c r="I289" t="s">
        <v>1466</v>
      </c>
    </row>
    <row r="290" spans="2:9">
      <c r="B290" t="s">
        <v>1467</v>
      </c>
      <c r="C290" t="b">
        <v>1</v>
      </c>
      <c r="D290">
        <v>-7.9016899690032005E-9</v>
      </c>
      <c r="E290">
        <v>-3.637978807091713E-12</v>
      </c>
      <c r="F290">
        <v>-9.9165422046747262E-17</v>
      </c>
      <c r="G290">
        <v>-9.9165422046747262E-17</v>
      </c>
      <c r="H290">
        <v>79681907.321266577</v>
      </c>
      <c r="I290" t="s">
        <v>1468</v>
      </c>
    </row>
    <row r="291" spans="2:9">
      <c r="B291" t="s">
        <v>1469</v>
      </c>
      <c r="C291" t="b">
        <v>1</v>
      </c>
      <c r="D291">
        <v>-4.3653726748877643E-30</v>
      </c>
      <c r="E291">
        <v>-4.3653726748877643E-30</v>
      </c>
      <c r="F291">
        <v>-4.3653726748877639E-26</v>
      </c>
      <c r="G291">
        <v>-4.3653726748877639E-26</v>
      </c>
      <c r="H291">
        <v>1.609888453989695E-13</v>
      </c>
      <c r="I291" t="s">
        <v>1470</v>
      </c>
    </row>
    <row r="292" spans="2:9">
      <c r="B292" t="s">
        <v>1471</v>
      </c>
      <c r="C292" t="b">
        <v>1</v>
      </c>
      <c r="D292">
        <v>-1.134130968726847E-30</v>
      </c>
      <c r="E292">
        <v>-1.2163895429941258E-30</v>
      </c>
      <c r="F292">
        <v>-1.1341309687268469E-26</v>
      </c>
      <c r="G292">
        <v>-1.1341309687268469E-26</v>
      </c>
      <c r="H292">
        <v>1.3610405012652026E-31</v>
      </c>
      <c r="I292" t="s">
        <v>1472</v>
      </c>
    </row>
    <row r="293" spans="2:9">
      <c r="B293" t="s">
        <v>1473</v>
      </c>
      <c r="C293" t="b">
        <v>1</v>
      </c>
      <c r="D293">
        <v>1.5484573365136016E-29</v>
      </c>
      <c r="E293">
        <v>1.5484573365136016E-29</v>
      </c>
      <c r="F293">
        <v>1.5484573365136016E-25</v>
      </c>
      <c r="G293">
        <v>1.5484573365136016E-25</v>
      </c>
      <c r="H293">
        <v>5.710494322487542E-13</v>
      </c>
      <c r="I293" t="s">
        <v>1474</v>
      </c>
    </row>
    <row r="294" spans="2:9">
      <c r="B294" t="s">
        <v>1475</v>
      </c>
      <c r="C294" t="b">
        <v>1</v>
      </c>
      <c r="D294">
        <v>-192.01313463659642</v>
      </c>
      <c r="E294">
        <v>0</v>
      </c>
      <c r="F294">
        <v>-0.75345459444891116</v>
      </c>
      <c r="G294">
        <v>-0.96892734910329259</v>
      </c>
      <c r="H294">
        <v>198.1708275798982</v>
      </c>
      <c r="I294" t="s">
        <v>1476</v>
      </c>
    </row>
    <row r="295" spans="2:9">
      <c r="B295" t="s">
        <v>1477</v>
      </c>
      <c r="C295" t="b">
        <v>1</v>
      </c>
      <c r="D295">
        <v>4746409.5437783003</v>
      </c>
      <c r="E295">
        <v>377668.10610219836</v>
      </c>
      <c r="F295">
        <v>6.4317012225161577E-7</v>
      </c>
      <c r="G295">
        <v>6.4317012224770904E-7</v>
      </c>
      <c r="H295">
        <v>7379710872126.4248</v>
      </c>
      <c r="I295" t="s">
        <v>1478</v>
      </c>
    </row>
    <row r="296" spans="2:9">
      <c r="B296" t="s">
        <v>1479</v>
      </c>
      <c r="C296" t="b">
        <v>1</v>
      </c>
      <c r="D296">
        <v>4497.7011111170068</v>
      </c>
      <c r="E296">
        <v>0.57490745040558977</v>
      </c>
      <c r="F296">
        <v>7.2459560378287427E-10</v>
      </c>
      <c r="G296">
        <v>7.2459560378287427E-10</v>
      </c>
      <c r="H296">
        <v>6207187964757.1631</v>
      </c>
      <c r="I296" t="s">
        <v>1480</v>
      </c>
    </row>
    <row r="297" spans="2:9">
      <c r="B297" t="s">
        <v>1481</v>
      </c>
      <c r="C297" t="b">
        <v>1</v>
      </c>
      <c r="D297">
        <v>-61199254.70526319</v>
      </c>
      <c r="E297">
        <v>347870.97476099536</v>
      </c>
      <c r="F297">
        <v>-8.1772954181069046E-6</v>
      </c>
      <c r="G297">
        <v>-8.4484848561307385E-6</v>
      </c>
      <c r="H297">
        <v>7243814216090.2686</v>
      </c>
      <c r="I297" t="s">
        <v>1482</v>
      </c>
    </row>
    <row r="298" spans="2:9">
      <c r="B298" t="s">
        <v>1483</v>
      </c>
      <c r="C298" t="b">
        <v>1</v>
      </c>
      <c r="D298">
        <v>-4473.6353952112804</v>
      </c>
      <c r="E298">
        <v>3.637978807091713E-12</v>
      </c>
      <c r="F298">
        <v>-7.6092552775776242E-9</v>
      </c>
      <c r="G298">
        <v>-6.9367026124963447E-9</v>
      </c>
      <c r="H298">
        <v>644922471831.51648</v>
      </c>
      <c r="I298" t="s">
        <v>1484</v>
      </c>
    </row>
    <row r="299" spans="2:9">
      <c r="B299" t="s">
        <v>1485</v>
      </c>
      <c r="C299" t="b">
        <v>1</v>
      </c>
      <c r="D299">
        <v>45.818856954372507</v>
      </c>
      <c r="E299">
        <v>-2.8421709430404007E-14</v>
      </c>
      <c r="F299">
        <v>2.0040141527195989</v>
      </c>
      <c r="G299">
        <v>2.0040141527976933</v>
      </c>
      <c r="H299">
        <v>22.863539606448057</v>
      </c>
      <c r="I299" t="s">
        <v>1486</v>
      </c>
    </row>
    <row r="300" spans="2:9">
      <c r="B300" t="s">
        <v>1487</v>
      </c>
      <c r="C300" t="b">
        <v>1</v>
      </c>
      <c r="D300">
        <v>-0.59952323446850642</v>
      </c>
      <c r="E300">
        <v>-0.60004592877885443</v>
      </c>
      <c r="F300">
        <v>-8.1239393382695262E-14</v>
      </c>
      <c r="G300">
        <v>-8.1239393382695262E-14</v>
      </c>
      <c r="H300">
        <v>7379710870615.7617</v>
      </c>
      <c r="I300" t="s">
        <v>1488</v>
      </c>
    </row>
    <row r="301" spans="2:9">
      <c r="B301" t="s">
        <v>1489</v>
      </c>
      <c r="C301" t="b">
        <v>1</v>
      </c>
      <c r="D301">
        <v>218.30680907999999</v>
      </c>
      <c r="E301">
        <v>1.5509944279260996E-49</v>
      </c>
      <c r="F301">
        <v>11628.54842137991</v>
      </c>
      <c r="G301" s="36">
        <v>4.0670493844386506</v>
      </c>
      <c r="H301">
        <v>53.676950645174301</v>
      </c>
      <c r="I301" t="s">
        <v>1490</v>
      </c>
    </row>
    <row r="302" spans="2:9">
      <c r="B302" t="s">
        <v>1491</v>
      </c>
      <c r="C302" t="b">
        <v>1</v>
      </c>
      <c r="D302">
        <v>198.96076692</v>
      </c>
      <c r="E302">
        <v>0.17109682112532337</v>
      </c>
      <c r="F302">
        <v>4</v>
      </c>
      <c r="G302" s="36">
        <v>4.0670493844386506</v>
      </c>
      <c r="H302">
        <v>48.92017482779135</v>
      </c>
      <c r="I302" t="s">
        <v>1492</v>
      </c>
    </row>
    <row r="303" spans="2:9">
      <c r="B303" t="s">
        <v>1493</v>
      </c>
      <c r="C303" t="b">
        <v>1</v>
      </c>
      <c r="D303">
        <v>-153313.84051781922</v>
      </c>
      <c r="E303">
        <v>-97.688189657640294</v>
      </c>
      <c r="F303">
        <v>-48.950246850152482</v>
      </c>
      <c r="G303" s="36">
        <v>-47.510440227942937</v>
      </c>
      <c r="H303">
        <v>3226.9505351299345</v>
      </c>
      <c r="I303" t="s">
        <v>1494</v>
      </c>
    </row>
    <row r="304" spans="2:9">
      <c r="B304" t="s">
        <v>1495</v>
      </c>
      <c r="C304" t="b">
        <v>1</v>
      </c>
      <c r="D304">
        <v>31988184.394997954</v>
      </c>
      <c r="E304">
        <v>-7.2759576141834259E-12</v>
      </c>
      <c r="F304">
        <v>1.1758429686473975</v>
      </c>
      <c r="G304">
        <v>1.1616066309612161</v>
      </c>
      <c r="H304">
        <v>27537880.330906942</v>
      </c>
      <c r="I304" t="s">
        <v>1496</v>
      </c>
    </row>
    <row r="305" spans="2:9">
      <c r="B305" t="s">
        <v>1497</v>
      </c>
      <c r="C305" t="b">
        <v>1</v>
      </c>
      <c r="D305">
        <v>1.530438118353004</v>
      </c>
      <c r="E305">
        <v>0</v>
      </c>
      <c r="F305">
        <v>1.3798982556619144E-12</v>
      </c>
      <c r="G305">
        <v>1.3798897628362953E-12</v>
      </c>
      <c r="H305">
        <v>1109101726508.4016</v>
      </c>
      <c r="I305" t="s">
        <v>1498</v>
      </c>
    </row>
    <row r="306" spans="2:9">
      <c r="B306" t="s">
        <v>1499</v>
      </c>
      <c r="C306" t="b">
        <v>1</v>
      </c>
      <c r="D306">
        <v>-2.5203917175531387E-8</v>
      </c>
      <c r="E306">
        <v>3.637978807091713E-12</v>
      </c>
      <c r="F306">
        <v>-2.6497255307787136E-16</v>
      </c>
      <c r="G306">
        <v>-2.6497255307787136E-16</v>
      </c>
      <c r="H306">
        <v>95118973.20219557</v>
      </c>
      <c r="I306" t="s">
        <v>1500</v>
      </c>
    </row>
    <row r="307" spans="2:9">
      <c r="B307" t="s">
        <v>1501</v>
      </c>
      <c r="C307" t="b">
        <v>1</v>
      </c>
      <c r="D307">
        <v>-6.1119790188968182E-6</v>
      </c>
      <c r="E307">
        <v>0</v>
      </c>
      <c r="F307">
        <v>-8.3197958173986444E-14</v>
      </c>
      <c r="G307">
        <v>-8.3197958173986444E-14</v>
      </c>
      <c r="H307">
        <v>73463089.155568421</v>
      </c>
      <c r="I307" t="s">
        <v>1502</v>
      </c>
    </row>
    <row r="308" spans="2:9">
      <c r="B308" t="s">
        <v>1503</v>
      </c>
      <c r="C308" t="b">
        <v>1</v>
      </c>
      <c r="D308">
        <v>-2.9534110256063286</v>
      </c>
      <c r="E308">
        <v>-2.9532017737801652</v>
      </c>
      <c r="F308">
        <v>-3.6019151488273426E-13</v>
      </c>
      <c r="G308">
        <v>-3.6019151488273426E-13</v>
      </c>
      <c r="H308">
        <v>8199557467554.0479</v>
      </c>
      <c r="I308" t="s">
        <v>1504</v>
      </c>
    </row>
    <row r="309" spans="2:9">
      <c r="B309" t="s">
        <v>1505</v>
      </c>
      <c r="C309" t="b">
        <v>1</v>
      </c>
      <c r="D309">
        <v>-2424.4449064947585</v>
      </c>
      <c r="E309">
        <v>1.8189894035458565E-12</v>
      </c>
      <c r="F309">
        <v>-0.94732783919140007</v>
      </c>
      <c r="G309">
        <v>-0.94732783919964936</v>
      </c>
      <c r="H309">
        <v>2559.2459190717468</v>
      </c>
      <c r="I309" t="s">
        <v>1506</v>
      </c>
    </row>
    <row r="310" spans="2:9">
      <c r="B310" t="s">
        <v>1507</v>
      </c>
      <c r="C310" t="b">
        <v>1</v>
      </c>
      <c r="D310">
        <v>-602.93324608885519</v>
      </c>
      <c r="E310">
        <v>-95.173355848818517</v>
      </c>
      <c r="F310">
        <v>-1.0399053573300337E-10</v>
      </c>
      <c r="G310">
        <v>-1.0399053573300337E-10</v>
      </c>
      <c r="H310">
        <v>5797962688036.2617</v>
      </c>
      <c r="I310" t="s">
        <v>1508</v>
      </c>
    </row>
    <row r="311" spans="2:9">
      <c r="B311" t="s">
        <v>1509</v>
      </c>
      <c r="C311" t="b">
        <v>1</v>
      </c>
      <c r="D311">
        <v>153117.47692014568</v>
      </c>
      <c r="E311">
        <v>-98.675408015885068</v>
      </c>
      <c r="F311">
        <v>2.6408841373900894E-8</v>
      </c>
      <c r="G311">
        <v>2.6408841373900894E-8</v>
      </c>
      <c r="H311">
        <v>5797962688036.2617</v>
      </c>
      <c r="I311" t="s">
        <v>1510</v>
      </c>
    </row>
    <row r="312" spans="2:9">
      <c r="B312" t="s">
        <v>1511</v>
      </c>
      <c r="C312" t="b">
        <v>1</v>
      </c>
      <c r="D312">
        <v>47.890999999999849</v>
      </c>
      <c r="E312">
        <v>0</v>
      </c>
      <c r="F312">
        <v>0.10254262929924589</v>
      </c>
      <c r="G312">
        <v>0.48248795028811386</v>
      </c>
      <c r="H312">
        <v>99.258437379424947</v>
      </c>
      <c r="I312" t="s">
        <v>1512</v>
      </c>
    </row>
    <row r="313" spans="2:9">
      <c r="B313" t="s">
        <v>1513</v>
      </c>
      <c r="C313" t="b">
        <v>1</v>
      </c>
      <c r="D313">
        <v>1878.801797975806</v>
      </c>
      <c r="E313">
        <v>-2.2737367544323206E-13</v>
      </c>
      <c r="F313">
        <v>3.195168882816386</v>
      </c>
      <c r="G313" s="36">
        <v>3.9039266134815795</v>
      </c>
      <c r="H313">
        <v>481.25950715560782</v>
      </c>
      <c r="I313" t="s">
        <v>1514</v>
      </c>
    </row>
    <row r="314" spans="2:9">
      <c r="B314" t="s">
        <v>1515</v>
      </c>
      <c r="C314" t="b">
        <v>1</v>
      </c>
      <c r="D314">
        <v>-109.44373732419422</v>
      </c>
      <c r="E314">
        <v>-2.2737367544323206E-13</v>
      </c>
      <c r="F314">
        <v>-0.19147802824520538</v>
      </c>
      <c r="G314">
        <v>-0.222142131109896</v>
      </c>
      <c r="H314">
        <v>492.67438273584975</v>
      </c>
      <c r="I314" t="s">
        <v>1516</v>
      </c>
    </row>
    <row r="315" spans="2:9">
      <c r="B315" t="s">
        <v>1517</v>
      </c>
      <c r="C315" t="b">
        <v>1</v>
      </c>
      <c r="D315">
        <v>-1242.6064203962596</v>
      </c>
      <c r="E315">
        <v>0</v>
      </c>
      <c r="F315">
        <v>-0.48555104828070134</v>
      </c>
      <c r="G315">
        <v>-0.48555104844848629</v>
      </c>
      <c r="H315">
        <v>2559.1674127094216</v>
      </c>
      <c r="I315" t="s">
        <v>1518</v>
      </c>
    </row>
    <row r="316" spans="2:9">
      <c r="B316" t="s">
        <v>1519</v>
      </c>
      <c r="C316" t="b">
        <v>1</v>
      </c>
      <c r="D316">
        <v>87.133259495199354</v>
      </c>
      <c r="E316">
        <v>2.2737367544323206E-13</v>
      </c>
      <c r="F316">
        <v>0.29164843387455419</v>
      </c>
      <c r="G316">
        <v>0.68719072214094334</v>
      </c>
      <c r="H316">
        <v>126.79632696980484</v>
      </c>
      <c r="I316" t="s">
        <v>1520</v>
      </c>
    </row>
    <row r="317" spans="2:9">
      <c r="B317" t="s">
        <v>1521</v>
      </c>
      <c r="C317" t="b">
        <v>1</v>
      </c>
      <c r="D317">
        <v>13349.173848826038</v>
      </c>
      <c r="E317">
        <v>4.374111995275598E-6</v>
      </c>
      <c r="F317">
        <v>1.8436136190591937E-7</v>
      </c>
      <c r="G317">
        <v>1.134747862021934E-7</v>
      </c>
      <c r="H317">
        <v>117640000000.00006</v>
      </c>
      <c r="I317" t="s">
        <v>1522</v>
      </c>
    </row>
    <row r="318" spans="2:9">
      <c r="B318" t="s">
        <v>1523</v>
      </c>
      <c r="C318" t="b">
        <v>1</v>
      </c>
      <c r="D318">
        <v>3084.6209268256644</v>
      </c>
      <c r="E318">
        <v>1.1428532598074526E-3</v>
      </c>
      <c r="F318">
        <v>1.8865812150831623E-9</v>
      </c>
      <c r="G318">
        <v>1.9540862696220793E-9</v>
      </c>
      <c r="H318">
        <v>1578549000000.0002</v>
      </c>
      <c r="I318" t="s">
        <v>1524</v>
      </c>
    </row>
    <row r="319" spans="2:9">
      <c r="B319" t="s">
        <v>1525</v>
      </c>
      <c r="C319" t="b">
        <v>1</v>
      </c>
      <c r="D319">
        <v>1208.5781677212435</v>
      </c>
      <c r="E319">
        <v>4.0436134440824389E-9</v>
      </c>
      <c r="F319">
        <v>2.3112107046582272E-9</v>
      </c>
      <c r="G319">
        <v>3.031606606747274E-9</v>
      </c>
      <c r="H319">
        <v>398659300000</v>
      </c>
      <c r="I319" t="s">
        <v>1526</v>
      </c>
    </row>
    <row r="320" spans="2:9">
      <c r="B320" t="s">
        <v>1527</v>
      </c>
      <c r="C320" t="b">
        <v>1</v>
      </c>
      <c r="D320">
        <v>-2.8069355757907033E-2</v>
      </c>
      <c r="E320">
        <v>1.3863040076103061E-3</v>
      </c>
      <c r="F320">
        <v>-1.2667669911732628E-14</v>
      </c>
      <c r="G320">
        <v>-1.2667665732887555E-14</v>
      </c>
      <c r="H320">
        <v>2215827000000</v>
      </c>
      <c r="I320" t="s">
        <v>1528</v>
      </c>
    </row>
    <row r="321" spans="2:9">
      <c r="B321" t="s">
        <v>1529</v>
      </c>
      <c r="C321" t="b">
        <v>1</v>
      </c>
      <c r="D321">
        <v>-4.9749541009077802E-2</v>
      </c>
      <c r="E321">
        <v>1.1688685044646263E-3</v>
      </c>
      <c r="F321">
        <v>-2.9524476375931606E-14</v>
      </c>
      <c r="G321">
        <v>-2.9524459539590902E-14</v>
      </c>
      <c r="H321">
        <v>1685028000000.0007</v>
      </c>
      <c r="I321" t="s">
        <v>1530</v>
      </c>
    </row>
    <row r="322" spans="2:9">
      <c r="B322" t="s">
        <v>1531</v>
      </c>
      <c r="C322" t="b">
        <v>1</v>
      </c>
      <c r="D322">
        <v>0.81864869999981238</v>
      </c>
      <c r="E322">
        <v>0</v>
      </c>
      <c r="F322">
        <v>2.1739158658722409E-3</v>
      </c>
      <c r="G322">
        <v>7.7397735893292149E-3</v>
      </c>
      <c r="H322">
        <v>105.77165992665199</v>
      </c>
      <c r="I322" t="s">
        <v>1532</v>
      </c>
    </row>
    <row r="323" spans="2:9">
      <c r="B323" t="s">
        <v>1533</v>
      </c>
      <c r="C323" t="b">
        <v>1</v>
      </c>
      <c r="D323">
        <v>7954.7997772000017</v>
      </c>
      <c r="E323">
        <v>-7.2759576141834259E-12</v>
      </c>
      <c r="F323">
        <v>0.48270007121562236</v>
      </c>
      <c r="G323">
        <v>0.48270007126288789</v>
      </c>
      <c r="H323">
        <v>16479.798224159909</v>
      </c>
      <c r="I323" t="s">
        <v>1534</v>
      </c>
    </row>
    <row r="324" spans="2:9">
      <c r="B324" t="s">
        <v>1535</v>
      </c>
      <c r="C324" t="b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1536</v>
      </c>
    </row>
    <row r="325" spans="2:9">
      <c r="B325" t="s">
        <v>1537</v>
      </c>
      <c r="C325" t="b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1538</v>
      </c>
    </row>
    <row r="326" spans="2:9">
      <c r="B326" t="s">
        <v>1539</v>
      </c>
      <c r="C326" t="b">
        <v>1</v>
      </c>
      <c r="D326">
        <v>-45.360999999999876</v>
      </c>
      <c r="E326">
        <v>-4.5474735088646412E-13</v>
      </c>
      <c r="F326">
        <v>-0.14195170029255483</v>
      </c>
      <c r="G326">
        <v>-0.45699893326552266</v>
      </c>
      <c r="H326">
        <v>99.258437379424933</v>
      </c>
      <c r="I326" t="s">
        <v>1540</v>
      </c>
    </row>
    <row r="327" spans="2:9">
      <c r="B327" t="s">
        <v>1541</v>
      </c>
      <c r="C327" t="b">
        <v>1</v>
      </c>
      <c r="D327">
        <v>-6886.3424337536271</v>
      </c>
      <c r="E327">
        <v>0</v>
      </c>
      <c r="F327">
        <v>-0.44172897002720551</v>
      </c>
      <c r="G327">
        <v>-0.44172897458660537</v>
      </c>
      <c r="H327">
        <v>15589.519433716683</v>
      </c>
      <c r="I327" t="s">
        <v>1542</v>
      </c>
    </row>
    <row r="328" spans="2:9">
      <c r="B328" t="s">
        <v>1543</v>
      </c>
      <c r="C328" t="b">
        <v>1</v>
      </c>
      <c r="D328">
        <v>22.774154700000054</v>
      </c>
      <c r="E328">
        <v>-4.5474735088646412E-13</v>
      </c>
      <c r="F328">
        <v>8.8001109230069943E-2</v>
      </c>
      <c r="G328">
        <v>0.30935605281133827</v>
      </c>
      <c r="H328">
        <v>73.617937948959224</v>
      </c>
      <c r="I328" t="s">
        <v>1544</v>
      </c>
    </row>
    <row r="329" spans="2:9">
      <c r="B329" t="s">
        <v>1545</v>
      </c>
      <c r="C329" t="b">
        <v>1</v>
      </c>
      <c r="D329">
        <v>-7954.7901683232449</v>
      </c>
      <c r="E329">
        <v>0</v>
      </c>
      <c r="F329">
        <v>-1.1757261706859807</v>
      </c>
      <c r="G329">
        <v>-1.1757261718659364</v>
      </c>
      <c r="H329">
        <v>6765.8527628917145</v>
      </c>
      <c r="I329" t="s">
        <v>1546</v>
      </c>
    </row>
    <row r="330" spans="2:9">
      <c r="B330" t="s">
        <v>1547</v>
      </c>
      <c r="C330" t="b">
        <v>1</v>
      </c>
      <c r="D330">
        <v>2.9103830456733704E-11</v>
      </c>
      <c r="E330">
        <v>2.9103830456733704E-11</v>
      </c>
      <c r="F330">
        <v>1.8149427032873187E-19</v>
      </c>
      <c r="G330">
        <v>1.8149427032873187E-19</v>
      </c>
      <c r="H330">
        <v>160356745.16897604</v>
      </c>
      <c r="I330" t="s">
        <v>1548</v>
      </c>
    </row>
    <row r="331" spans="2:9">
      <c r="B331" t="s">
        <v>1549</v>
      </c>
      <c r="C331" t="b">
        <v>1</v>
      </c>
      <c r="D331">
        <v>-5.8207660913467407E-11</v>
      </c>
      <c r="E331">
        <v>-5.8207660913467407E-11</v>
      </c>
      <c r="F331">
        <v>-5.5220635651446381E-19</v>
      </c>
      <c r="G331">
        <v>-5.5220635651446381E-19</v>
      </c>
      <c r="H331">
        <v>105409255.48353913</v>
      </c>
      <c r="I331" t="s">
        <v>1550</v>
      </c>
    </row>
    <row r="332" spans="2:9">
      <c r="B332" t="s">
        <v>1551</v>
      </c>
      <c r="C332" t="b">
        <v>1</v>
      </c>
      <c r="D332">
        <v>7.309629800147377E-3</v>
      </c>
      <c r="E332">
        <v>3.637978807091713E-12</v>
      </c>
      <c r="F332">
        <v>4.1458249587016282E-7</v>
      </c>
      <c r="G332">
        <v>4.1458249592160334E-7</v>
      </c>
      <c r="H332">
        <v>17631.303472903044</v>
      </c>
      <c r="I332" t="s">
        <v>1552</v>
      </c>
    </row>
    <row r="333" spans="2:9">
      <c r="B333" t="s">
        <v>1553</v>
      </c>
      <c r="C333" t="b">
        <v>1</v>
      </c>
      <c r="D333">
        <v>0</v>
      </c>
      <c r="E333">
        <v>0</v>
      </c>
      <c r="F333">
        <v>0</v>
      </c>
      <c r="G333">
        <v>0</v>
      </c>
      <c r="H333">
        <v>44721359549.995811</v>
      </c>
      <c r="I333" t="s">
        <v>1554</v>
      </c>
    </row>
    <row r="334" spans="2:9">
      <c r="B334" t="s">
        <v>1555</v>
      </c>
      <c r="C334" t="b">
        <v>1</v>
      </c>
      <c r="D334">
        <v>3.3195960467221399E-32</v>
      </c>
      <c r="E334">
        <v>3.3195960467221399E-32</v>
      </c>
      <c r="F334">
        <v>3.3195960467221399E-28</v>
      </c>
      <c r="G334">
        <v>3.3195960467221399E-28</v>
      </c>
      <c r="H334">
        <v>0</v>
      </c>
      <c r="I334" t="s">
        <v>1556</v>
      </c>
    </row>
    <row r="335" spans="2:9">
      <c r="B335" t="s">
        <v>1557</v>
      </c>
      <c r="C335" t="b">
        <v>1</v>
      </c>
      <c r="D335">
        <v>2.2737367544323206E-13</v>
      </c>
      <c r="E335">
        <v>2.2737367544323206E-13</v>
      </c>
      <c r="F335">
        <v>5.0842299458504142E-24</v>
      </c>
      <c r="G335">
        <v>5.0842299458504142E-24</v>
      </c>
      <c r="H335">
        <v>44721359549.995804</v>
      </c>
      <c r="I335" t="s">
        <v>1558</v>
      </c>
    </row>
    <row r="336" spans="2:9">
      <c r="B336" t="s">
        <v>1559</v>
      </c>
      <c r="C336" t="b">
        <v>1</v>
      </c>
      <c r="D336">
        <v>-3.5199002841022577E-31</v>
      </c>
      <c r="E336">
        <v>-3.5199002841022577E-31</v>
      </c>
      <c r="F336">
        <v>-3.5199002841022577E-27</v>
      </c>
      <c r="G336">
        <v>-3.5199002841022577E-27</v>
      </c>
      <c r="H336">
        <v>0</v>
      </c>
      <c r="I336" t="s">
        <v>1560</v>
      </c>
    </row>
    <row r="337" spans="2:9">
      <c r="B337" t="s">
        <v>1561</v>
      </c>
      <c r="C337" t="b">
        <v>1</v>
      </c>
      <c r="D337">
        <v>1.1368683772161603E-13</v>
      </c>
      <c r="E337">
        <v>1.1368683772161603E-13</v>
      </c>
      <c r="F337">
        <v>8.9347082376260483E-22</v>
      </c>
      <c r="G337">
        <v>8.9347082376260483E-22</v>
      </c>
      <c r="H337">
        <v>127241802.0801792</v>
      </c>
      <c r="I337" t="s">
        <v>1562</v>
      </c>
    </row>
    <row r="338" spans="2:9">
      <c r="B338" t="s">
        <v>1563</v>
      </c>
      <c r="C338" t="b">
        <v>1</v>
      </c>
      <c r="D338">
        <v>2424.4449064947585</v>
      </c>
      <c r="E338">
        <v>-1.8189894035458565E-12</v>
      </c>
      <c r="F338">
        <v>2.004014152719598</v>
      </c>
      <c r="G338">
        <v>2.0040141527976925</v>
      </c>
      <c r="H338">
        <v>1209.7943036530585</v>
      </c>
      <c r="I338" t="s">
        <v>1564</v>
      </c>
    </row>
    <row r="339" spans="2:9">
      <c r="B339" t="s">
        <v>1565</v>
      </c>
      <c r="C339" t="b">
        <v>1</v>
      </c>
      <c r="D339">
        <v>-1.7968341126106679E-7</v>
      </c>
      <c r="E339">
        <v>0</v>
      </c>
      <c r="F339">
        <v>-2.2550089135581217E-15</v>
      </c>
      <c r="G339">
        <v>-2.2550089135581217E-15</v>
      </c>
      <c r="H339">
        <v>79681907.322285861</v>
      </c>
      <c r="I339" t="s">
        <v>1566</v>
      </c>
    </row>
    <row r="340" spans="2:9">
      <c r="B340" t="s">
        <v>1567</v>
      </c>
      <c r="C340" t="b">
        <v>1</v>
      </c>
      <c r="D340">
        <v>0</v>
      </c>
      <c r="E340">
        <v>0</v>
      </c>
      <c r="F340">
        <v>0</v>
      </c>
      <c r="G340">
        <v>0</v>
      </c>
      <c r="H340">
        <v>2342.7390206139448</v>
      </c>
      <c r="I340" t="s">
        <v>1568</v>
      </c>
    </row>
    <row r="341" spans="2:9">
      <c r="B341" t="s">
        <v>1569</v>
      </c>
      <c r="C341" t="b">
        <v>1</v>
      </c>
      <c r="D341">
        <v>-8.3917198671429531E-30</v>
      </c>
      <c r="E341">
        <v>-8.3917198671429531E-30</v>
      </c>
      <c r="F341">
        <v>-8.3917198671429526E-26</v>
      </c>
      <c r="G341">
        <v>-8.3917198671429526E-26</v>
      </c>
      <c r="H341">
        <v>3.0947490465007593E-13</v>
      </c>
      <c r="I341" t="s">
        <v>1570</v>
      </c>
    </row>
    <row r="342" spans="2:9">
      <c r="B342" t="s">
        <v>1571</v>
      </c>
      <c r="C342" t="b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1572</v>
      </c>
    </row>
    <row r="343" spans="2:9">
      <c r="B343" t="s">
        <v>1573</v>
      </c>
      <c r="C343" t="b">
        <v>1</v>
      </c>
      <c r="D343">
        <v>-364.3162009476714</v>
      </c>
      <c r="E343">
        <v>0</v>
      </c>
      <c r="F343">
        <v>-0.67034807452588785</v>
      </c>
      <c r="G343">
        <v>-0.79151576623101227</v>
      </c>
      <c r="H343">
        <v>460.27661922951745</v>
      </c>
      <c r="I343" t="s">
        <v>1574</v>
      </c>
    </row>
    <row r="344" spans="2:9">
      <c r="B344" t="s">
        <v>1575</v>
      </c>
      <c r="C344" t="b">
        <v>1</v>
      </c>
      <c r="D344">
        <v>473.75993827186534</v>
      </c>
      <c r="E344">
        <v>0</v>
      </c>
      <c r="F344">
        <v>2.8493846859007697</v>
      </c>
      <c r="G344" s="36">
        <v>2.8733651147316883</v>
      </c>
      <c r="H344">
        <v>164.87982534586612</v>
      </c>
      <c r="I344" t="s">
        <v>1576</v>
      </c>
    </row>
    <row r="345" spans="2:9">
      <c r="B345" t="s">
        <v>1577</v>
      </c>
      <c r="C345" t="b">
        <v>1</v>
      </c>
      <c r="D345">
        <v>6321.51100489487</v>
      </c>
      <c r="E345">
        <v>0</v>
      </c>
      <c r="F345">
        <v>0.38551866099124071</v>
      </c>
      <c r="G345">
        <v>0.38551866455951367</v>
      </c>
      <c r="H345">
        <v>16397.41881788709</v>
      </c>
      <c r="I345" t="s">
        <v>1578</v>
      </c>
    </row>
    <row r="346" spans="2:9">
      <c r="B346" t="s">
        <v>1579</v>
      </c>
      <c r="C346" t="b">
        <v>1</v>
      </c>
      <c r="D346">
        <v>0</v>
      </c>
      <c r="E346">
        <v>0</v>
      </c>
      <c r="F346">
        <v>0</v>
      </c>
      <c r="G346">
        <v>0</v>
      </c>
      <c r="H346">
        <v>18264.101875853543</v>
      </c>
      <c r="I346" t="s">
        <v>1580</v>
      </c>
    </row>
    <row r="347" spans="2:9">
      <c r="B347" t="s">
        <v>1581</v>
      </c>
      <c r="C347" t="b">
        <v>1</v>
      </c>
      <c r="D347">
        <v>21.674749887739381</v>
      </c>
      <c r="E347">
        <v>0</v>
      </c>
      <c r="F347">
        <v>8.4662136339905686E-3</v>
      </c>
      <c r="G347">
        <v>8.4662484488252625E-3</v>
      </c>
      <c r="H347">
        <v>2560.1362892612569</v>
      </c>
      <c r="I347" t="s">
        <v>1582</v>
      </c>
    </row>
    <row r="348" spans="2:9">
      <c r="B348" t="s">
        <v>1583</v>
      </c>
      <c r="C348" t="b">
        <v>1</v>
      </c>
      <c r="D348">
        <v>0</v>
      </c>
      <c r="E348">
        <v>0</v>
      </c>
      <c r="F348">
        <v>0</v>
      </c>
      <c r="G348">
        <v>0</v>
      </c>
      <c r="H348">
        <v>44721359549.995811</v>
      </c>
      <c r="I348" t="s">
        <v>1584</v>
      </c>
    </row>
    <row r="349" spans="2:9">
      <c r="B349" t="s">
        <v>1585</v>
      </c>
      <c r="C349" t="b">
        <v>1</v>
      </c>
      <c r="D349">
        <v>0</v>
      </c>
      <c r="E349">
        <v>0</v>
      </c>
      <c r="F349">
        <v>0</v>
      </c>
      <c r="G349">
        <v>0</v>
      </c>
      <c r="H349">
        <v>44721359549.995804</v>
      </c>
      <c r="I349" t="s">
        <v>1586</v>
      </c>
    </row>
    <row r="350" spans="2:9">
      <c r="B350" t="s">
        <v>1587</v>
      </c>
      <c r="C350" t="b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1588</v>
      </c>
    </row>
    <row r="351" spans="2:9">
      <c r="B351" t="s">
        <v>1589</v>
      </c>
      <c r="C351" t="b">
        <v>1</v>
      </c>
      <c r="D351">
        <v>0</v>
      </c>
      <c r="E351">
        <v>0</v>
      </c>
      <c r="F351">
        <v>0</v>
      </c>
      <c r="G351">
        <v>0</v>
      </c>
      <c r="H351">
        <v>44721359549.995796</v>
      </c>
      <c r="I351" t="s">
        <v>1590</v>
      </c>
    </row>
    <row r="352" spans="2:9">
      <c r="B352" t="s">
        <v>1591</v>
      </c>
      <c r="C352" t="b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1592</v>
      </c>
    </row>
    <row r="353" spans="2:9">
      <c r="B353" t="s">
        <v>1593</v>
      </c>
      <c r="C353" t="b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1594</v>
      </c>
    </row>
    <row r="354" spans="2:9">
      <c r="B354" t="s">
        <v>1595</v>
      </c>
      <c r="C354" t="b">
        <v>1</v>
      </c>
      <c r="D354">
        <v>5.7777898331617076E-31</v>
      </c>
      <c r="E354">
        <v>5.7777898331617076E-31</v>
      </c>
      <c r="F354">
        <v>5.7777898331617076E-27</v>
      </c>
      <c r="G354">
        <v>5.7777898331617076E-27</v>
      </c>
      <c r="H354">
        <v>0</v>
      </c>
      <c r="I354" t="s">
        <v>1596</v>
      </c>
    </row>
    <row r="355" spans="2:9">
      <c r="B355" t="s">
        <v>1597</v>
      </c>
      <c r="C355" t="b">
        <v>1</v>
      </c>
      <c r="D355">
        <v>-3.3195960467221399E-32</v>
      </c>
      <c r="E355">
        <v>-3.3195960467221399E-32</v>
      </c>
      <c r="F355">
        <v>-3.3195960467221399E-28</v>
      </c>
      <c r="G355">
        <v>-3.3195960467221399E-28</v>
      </c>
      <c r="H355">
        <v>0</v>
      </c>
      <c r="I355" t="s">
        <v>1598</v>
      </c>
    </row>
    <row r="356" spans="2:9">
      <c r="B356" t="s">
        <v>1599</v>
      </c>
      <c r="C356" t="b">
        <v>1</v>
      </c>
      <c r="D356">
        <v>-460.4</v>
      </c>
      <c r="E356">
        <v>-3.8036782780499559E-46</v>
      </c>
      <c r="F356">
        <v>-10</v>
      </c>
      <c r="G356" s="36">
        <v>-4604000</v>
      </c>
      <c r="H356">
        <v>0</v>
      </c>
      <c r="I356" t="s">
        <v>1600</v>
      </c>
    </row>
    <row r="357" spans="2:9">
      <c r="B357" t="s">
        <v>1601</v>
      </c>
      <c r="C357" t="b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1602</v>
      </c>
    </row>
    <row r="358" spans="2:9">
      <c r="B358" t="s">
        <v>1603</v>
      </c>
      <c r="C358" t="b">
        <v>1</v>
      </c>
      <c r="D358">
        <v>-2.2737367544323206E-13</v>
      </c>
      <c r="E358">
        <v>-2.2737367544323206E-13</v>
      </c>
      <c r="F358">
        <v>-5.084229945850415E-24</v>
      </c>
      <c r="G358">
        <v>-5.084229945850415E-24</v>
      </c>
      <c r="H358">
        <v>44721359549.995796</v>
      </c>
      <c r="I358" t="s">
        <v>1604</v>
      </c>
    </row>
    <row r="359" spans="2:9">
      <c r="B359" t="s">
        <v>1605</v>
      </c>
      <c r="C359" t="b">
        <v>1</v>
      </c>
      <c r="D359">
        <v>-7.2118929411648983E-31</v>
      </c>
      <c r="E359">
        <v>-7.2118929411648983E-31</v>
      </c>
      <c r="F359">
        <v>-7.2118929411648983E-27</v>
      </c>
      <c r="G359">
        <v>-7.2118929411648983E-27</v>
      </c>
      <c r="H359">
        <v>0</v>
      </c>
      <c r="I359" t="s">
        <v>1606</v>
      </c>
    </row>
    <row r="360" spans="2:9">
      <c r="B360" t="s">
        <v>1607</v>
      </c>
      <c r="C360" t="b">
        <v>1</v>
      </c>
      <c r="D360">
        <v>18.299999999999955</v>
      </c>
      <c r="E360">
        <v>0</v>
      </c>
      <c r="F360">
        <v>0.43436980773795286</v>
      </c>
      <c r="G360" s="36">
        <v>182999.99999999953</v>
      </c>
      <c r="H360">
        <v>0</v>
      </c>
      <c r="I360" t="s">
        <v>1608</v>
      </c>
    </row>
    <row r="361" spans="2:9">
      <c r="B361" t="s">
        <v>1609</v>
      </c>
      <c r="C361" t="b">
        <v>1</v>
      </c>
      <c r="D361">
        <v>4.2200000000000015E-2</v>
      </c>
      <c r="E361">
        <v>0</v>
      </c>
      <c r="F361">
        <v>1.135903535339148</v>
      </c>
      <c r="G361">
        <v>2.185619332041155</v>
      </c>
      <c r="H361">
        <v>1.9308028338397492E-2</v>
      </c>
      <c r="I361" t="s">
        <v>1610</v>
      </c>
    </row>
    <row r="362" spans="2:9">
      <c r="B362" t="s">
        <v>1611</v>
      </c>
      <c r="C362" t="b">
        <v>1</v>
      </c>
      <c r="D362">
        <v>0</v>
      </c>
      <c r="E362">
        <v>0</v>
      </c>
      <c r="F362">
        <v>0</v>
      </c>
      <c r="G362">
        <v>0</v>
      </c>
      <c r="H362">
        <v>7.6254395283157222E-2</v>
      </c>
      <c r="I362" t="s">
        <v>1612</v>
      </c>
    </row>
    <row r="363" spans="2:9">
      <c r="B363" t="s">
        <v>1613</v>
      </c>
      <c r="C363" t="b">
        <v>1</v>
      </c>
      <c r="D363">
        <v>0</v>
      </c>
      <c r="E363">
        <v>0</v>
      </c>
      <c r="F363">
        <v>0</v>
      </c>
      <c r="G363">
        <v>0</v>
      </c>
      <c r="H363">
        <v>2.0339769910203007E-2</v>
      </c>
      <c r="I363" t="s">
        <v>1614</v>
      </c>
    </row>
    <row r="364" spans="2:9">
      <c r="B364" t="s">
        <v>1615</v>
      </c>
      <c r="C364" t="b">
        <v>1</v>
      </c>
      <c r="D364">
        <v>-4.2199900000000012E-2</v>
      </c>
      <c r="E364">
        <v>0</v>
      </c>
      <c r="F364">
        <v>-1.2294526443375255</v>
      </c>
      <c r="G364">
        <v>-2.0193058850153176</v>
      </c>
      <c r="H364">
        <v>2.0898220677289761E-2</v>
      </c>
      <c r="I364" t="s">
        <v>1616</v>
      </c>
    </row>
    <row r="365" spans="2:9">
      <c r="B365" t="s">
        <v>1617</v>
      </c>
      <c r="C365" t="b">
        <v>1</v>
      </c>
      <c r="D365">
        <v>-1.419722421965941E-2</v>
      </c>
      <c r="E365">
        <v>0</v>
      </c>
      <c r="F365">
        <v>-0.20945031336839262</v>
      </c>
      <c r="G365">
        <v>-0.20945031336839262</v>
      </c>
      <c r="H365">
        <v>6.7783256044542453E-2</v>
      </c>
      <c r="I365" t="s">
        <v>1618</v>
      </c>
    </row>
    <row r="366" spans="2:9">
      <c r="B366" t="s">
        <v>1619</v>
      </c>
      <c r="C366" t="b">
        <v>1</v>
      </c>
      <c r="D366">
        <v>0</v>
      </c>
      <c r="E366">
        <v>0</v>
      </c>
      <c r="F366">
        <v>0</v>
      </c>
      <c r="G366">
        <v>0</v>
      </c>
      <c r="H366">
        <v>7.2209744494770176E-2</v>
      </c>
      <c r="I366" t="s">
        <v>1620</v>
      </c>
    </row>
    <row r="367" spans="2:9">
      <c r="B367" t="s">
        <v>1621</v>
      </c>
      <c r="C367" t="b">
        <v>1</v>
      </c>
      <c r="D367">
        <v>0</v>
      </c>
      <c r="E367">
        <v>0</v>
      </c>
      <c r="F367">
        <v>0</v>
      </c>
      <c r="G367">
        <v>0</v>
      </c>
      <c r="H367">
        <v>2.0630699454938502E-2</v>
      </c>
      <c r="I367" t="s">
        <v>1622</v>
      </c>
    </row>
    <row r="368" spans="2:9">
      <c r="B368" t="s">
        <v>1623</v>
      </c>
      <c r="C368" t="b">
        <v>1</v>
      </c>
      <c r="D368">
        <v>197.16062729073383</v>
      </c>
      <c r="E368">
        <v>0</v>
      </c>
      <c r="F368">
        <v>6.3992237479270589E-2</v>
      </c>
      <c r="G368">
        <v>6.3992237486863765E-2</v>
      </c>
      <c r="H368">
        <v>3081.0084946819788</v>
      </c>
      <c r="I368" t="s">
        <v>1624</v>
      </c>
    </row>
    <row r="369" spans="2:9">
      <c r="B369" t="s">
        <v>1625</v>
      </c>
      <c r="C369" t="b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1626</v>
      </c>
    </row>
    <row r="370" spans="2:9">
      <c r="B370" t="s">
        <v>1627</v>
      </c>
      <c r="C370" t="b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1628</v>
      </c>
    </row>
    <row r="371" spans="2:9">
      <c r="B371" t="s">
        <v>1629</v>
      </c>
      <c r="C371" t="b">
        <v>1</v>
      </c>
      <c r="D371">
        <v>-5.7017533123153719E-2</v>
      </c>
      <c r="E371">
        <v>0</v>
      </c>
      <c r="F371">
        <v>-0.75870312980637167</v>
      </c>
      <c r="G371">
        <v>-0.758703129806372</v>
      </c>
      <c r="H371">
        <v>7.5151308704506217E-2</v>
      </c>
      <c r="I371" t="s">
        <v>1630</v>
      </c>
    </row>
    <row r="372" spans="2:9">
      <c r="B372" t="s">
        <v>1631</v>
      </c>
      <c r="C372" t="b">
        <v>1</v>
      </c>
      <c r="D372">
        <v>20920.750078491586</v>
      </c>
      <c r="E372">
        <v>0</v>
      </c>
      <c r="F372">
        <v>3.4973089685781691</v>
      </c>
      <c r="G372" s="36">
        <v>3.4973089701425066</v>
      </c>
      <c r="H372">
        <v>5981.9564862864027</v>
      </c>
      <c r="I372" t="s">
        <v>1632</v>
      </c>
    </row>
    <row r="373" spans="2:9">
      <c r="B373" t="s">
        <v>1633</v>
      </c>
      <c r="C373" t="b">
        <v>1</v>
      </c>
      <c r="D373">
        <v>0</v>
      </c>
      <c r="E373">
        <v>0</v>
      </c>
      <c r="F373">
        <v>0</v>
      </c>
      <c r="G373">
        <v>0</v>
      </c>
      <c r="H373">
        <v>99999999.999999985</v>
      </c>
      <c r="I373" t="s">
        <v>1634</v>
      </c>
    </row>
    <row r="374" spans="2:9">
      <c r="B374" t="s">
        <v>1635</v>
      </c>
      <c r="C374" t="b">
        <v>1</v>
      </c>
      <c r="D374">
        <v>23631344.088366121</v>
      </c>
      <c r="E374">
        <v>-3.637978807091713E-12</v>
      </c>
      <c r="F374">
        <v>1.1799470351284818</v>
      </c>
      <c r="G374">
        <v>1.1799470352468004</v>
      </c>
      <c r="H374">
        <v>20027461.727062464</v>
      </c>
      <c r="I374" t="s">
        <v>1636</v>
      </c>
    </row>
    <row r="375" spans="2:9">
      <c r="B375" t="s">
        <v>1637</v>
      </c>
      <c r="C375" t="b">
        <v>1</v>
      </c>
      <c r="D375">
        <v>0</v>
      </c>
      <c r="E375">
        <v>0</v>
      </c>
      <c r="F375">
        <v>0</v>
      </c>
      <c r="G375">
        <v>0</v>
      </c>
      <c r="H375">
        <v>20027461.72706246</v>
      </c>
      <c r="I375" t="s">
        <v>1638</v>
      </c>
    </row>
    <row r="376" spans="2:9">
      <c r="B376" t="s">
        <v>1639</v>
      </c>
      <c r="C376" t="b">
        <v>1</v>
      </c>
      <c r="D376">
        <v>0</v>
      </c>
      <c r="E376">
        <v>0</v>
      </c>
      <c r="F376">
        <v>0</v>
      </c>
      <c r="G376">
        <v>0</v>
      </c>
      <c r="H376">
        <v>414.66834683781923</v>
      </c>
      <c r="I376" t="s">
        <v>1640</v>
      </c>
    </row>
    <row r="377" spans="2:9">
      <c r="B377" t="s">
        <v>1641</v>
      </c>
      <c r="C377" t="b">
        <v>1</v>
      </c>
      <c r="D377">
        <v>0</v>
      </c>
      <c r="E377">
        <v>0</v>
      </c>
      <c r="F377">
        <v>0</v>
      </c>
      <c r="G377">
        <v>0</v>
      </c>
      <c r="H377">
        <v>816496580927.72607</v>
      </c>
      <c r="I377" t="s">
        <v>1642</v>
      </c>
    </row>
    <row r="378" spans="2:9">
      <c r="B378" t="s">
        <v>1643</v>
      </c>
      <c r="C378" t="b">
        <v>1</v>
      </c>
      <c r="D378">
        <v>-64.300000000000011</v>
      </c>
      <c r="E378">
        <v>0</v>
      </c>
      <c r="F378">
        <v>-0.98249993419134352</v>
      </c>
      <c r="G378">
        <v>-2.2726934460466501</v>
      </c>
      <c r="H378">
        <v>28.2924210970247</v>
      </c>
      <c r="I378" t="s">
        <v>1644</v>
      </c>
    </row>
    <row r="379" spans="2:9">
      <c r="B379" t="s">
        <v>1645</v>
      </c>
      <c r="C379" t="b">
        <v>1</v>
      </c>
      <c r="D379">
        <v>75.881690797003216</v>
      </c>
      <c r="E379">
        <v>0</v>
      </c>
      <c r="F379">
        <v>1.4016838592074663</v>
      </c>
      <c r="G379">
        <v>1.4016838592074663</v>
      </c>
      <c r="H379">
        <v>54.136095167642083</v>
      </c>
      <c r="I379" t="s">
        <v>1646</v>
      </c>
    </row>
    <row r="380" spans="2:9">
      <c r="B380" t="s">
        <v>1647</v>
      </c>
      <c r="C380" t="b">
        <v>1</v>
      </c>
      <c r="D380">
        <v>0</v>
      </c>
      <c r="E380">
        <v>0</v>
      </c>
      <c r="F380">
        <v>0</v>
      </c>
      <c r="G380">
        <v>0</v>
      </c>
      <c r="H380">
        <v>816496580927.72607</v>
      </c>
      <c r="I380" t="s">
        <v>1648</v>
      </c>
    </row>
    <row r="381" spans="2:9">
      <c r="B381" t="s">
        <v>1649</v>
      </c>
      <c r="C381" t="b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1650</v>
      </c>
    </row>
    <row r="382" spans="2:9">
      <c r="B382" t="s">
        <v>1651</v>
      </c>
      <c r="C382" t="b">
        <v>1</v>
      </c>
      <c r="D382">
        <v>-1.8140386964660138E-4</v>
      </c>
      <c r="E382">
        <v>0</v>
      </c>
      <c r="F382">
        <v>-4.7774571730596643E-8</v>
      </c>
      <c r="G382">
        <v>-4.7774571744126744E-8</v>
      </c>
      <c r="H382">
        <v>3797.0799742208596</v>
      </c>
      <c r="I382" t="s">
        <v>1652</v>
      </c>
    </row>
    <row r="383" spans="2:9">
      <c r="B383" t="s">
        <v>1653</v>
      </c>
      <c r="C383" t="b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1654</v>
      </c>
    </row>
    <row r="384" spans="2:9">
      <c r="B384" t="s">
        <v>1655</v>
      </c>
      <c r="C384" t="b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1656</v>
      </c>
    </row>
    <row r="385" spans="2:9">
      <c r="B385" t="s">
        <v>1657</v>
      </c>
      <c r="C385" t="b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1658</v>
      </c>
    </row>
    <row r="386" spans="2:9">
      <c r="B386" t="s">
        <v>1659</v>
      </c>
      <c r="C386" t="b">
        <v>1</v>
      </c>
      <c r="D386">
        <v>-663.33311963736196</v>
      </c>
      <c r="E386">
        <v>0</v>
      </c>
      <c r="F386">
        <v>-1.5996714595827186</v>
      </c>
      <c r="G386">
        <v>-1.5996714596033486</v>
      </c>
      <c r="H386">
        <v>414.66834683781929</v>
      </c>
      <c r="I386" t="s">
        <v>1660</v>
      </c>
    </row>
    <row r="387" spans="2:9">
      <c r="B387" t="s">
        <v>1661</v>
      </c>
      <c r="C387" t="b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1662</v>
      </c>
    </row>
    <row r="388" spans="2:9">
      <c r="B388" t="s">
        <v>1663</v>
      </c>
      <c r="C388" t="b">
        <v>1</v>
      </c>
      <c r="D388">
        <v>75.881690797003216</v>
      </c>
      <c r="E388">
        <v>0</v>
      </c>
      <c r="F388">
        <v>1.4016838592074663</v>
      </c>
      <c r="G388">
        <v>1.4016838592074663</v>
      </c>
      <c r="H388">
        <v>54.136095167642083</v>
      </c>
      <c r="I388" t="s">
        <v>1664</v>
      </c>
    </row>
    <row r="389" spans="2:9">
      <c r="B389" t="s">
        <v>1665</v>
      </c>
      <c r="C389" t="b">
        <v>1</v>
      </c>
      <c r="D389">
        <v>-1.0316754560335539E-4</v>
      </c>
      <c r="E389">
        <v>0</v>
      </c>
      <c r="F389">
        <v>-1.2682627102660817E-7</v>
      </c>
      <c r="G389">
        <v>-1.2682627102660827E-7</v>
      </c>
      <c r="H389">
        <v>813.45564107700318</v>
      </c>
      <c r="I389" t="s">
        <v>1666</v>
      </c>
    </row>
    <row r="390" spans="2:9">
      <c r="B390" t="s">
        <v>1667</v>
      </c>
      <c r="C390" t="b">
        <v>1</v>
      </c>
      <c r="D390">
        <v>-1.0316754560335539E-4</v>
      </c>
      <c r="E390">
        <v>0</v>
      </c>
      <c r="F390">
        <v>-1.2682627102660817E-7</v>
      </c>
      <c r="G390">
        <v>-1.2682627102660827E-7</v>
      </c>
      <c r="H390">
        <v>813.45564107700318</v>
      </c>
      <c r="I390" t="s">
        <v>1668</v>
      </c>
    </row>
    <row r="391" spans="2:9">
      <c r="B391" t="s">
        <v>1669</v>
      </c>
      <c r="C391" t="b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1670</v>
      </c>
    </row>
    <row r="392" spans="2:9">
      <c r="B392" t="s">
        <v>1671</v>
      </c>
      <c r="C392" t="b">
        <v>1</v>
      </c>
      <c r="D392">
        <v>-1.0316754560335539E-4</v>
      </c>
      <c r="E392">
        <v>0</v>
      </c>
      <c r="F392">
        <v>-1.2682627102660817E-7</v>
      </c>
      <c r="G392">
        <v>-1.2682627102660827E-7</v>
      </c>
      <c r="H392">
        <v>813.45564107700318</v>
      </c>
      <c r="I392" t="s">
        <v>1672</v>
      </c>
    </row>
    <row r="393" spans="2:9">
      <c r="B393" t="s">
        <v>1673</v>
      </c>
      <c r="C393" t="b">
        <v>1</v>
      </c>
      <c r="D393">
        <v>-419.59999999999997</v>
      </c>
      <c r="E393">
        <v>-419.59999999999997</v>
      </c>
      <c r="F393">
        <v>-4195999.9999999991</v>
      </c>
      <c r="G393" s="36">
        <v>-4195999.9999999991</v>
      </c>
      <c r="H393">
        <v>0</v>
      </c>
      <c r="I393" t="s">
        <v>1674</v>
      </c>
    </row>
    <row r="394" spans="2:9">
      <c r="B394" t="s">
        <v>1675</v>
      </c>
      <c r="C394" t="b">
        <v>1</v>
      </c>
      <c r="D394">
        <v>2.6999999999999968E-2</v>
      </c>
      <c r="E394">
        <v>0</v>
      </c>
      <c r="F394">
        <v>0.24100541761266528</v>
      </c>
      <c r="G394">
        <v>0.44069728316916856</v>
      </c>
      <c r="H394">
        <v>6.1266545157337843E-2</v>
      </c>
      <c r="I394" t="s">
        <v>1676</v>
      </c>
    </row>
    <row r="395" spans="2:9">
      <c r="B395" t="s">
        <v>1677</v>
      </c>
      <c r="C395" t="b">
        <v>1</v>
      </c>
      <c r="D395">
        <v>0</v>
      </c>
      <c r="E395">
        <v>0</v>
      </c>
      <c r="F395">
        <v>0</v>
      </c>
      <c r="G395">
        <v>0</v>
      </c>
      <c r="H395">
        <v>2.5070537289814912E-2</v>
      </c>
      <c r="I395" t="s">
        <v>1678</v>
      </c>
    </row>
    <row r="396" spans="2:9">
      <c r="B396" t="s">
        <v>1679</v>
      </c>
      <c r="C396" t="b">
        <v>1</v>
      </c>
      <c r="D396">
        <v>40.599999999999966</v>
      </c>
      <c r="E396">
        <v>0</v>
      </c>
      <c r="F396">
        <v>0.70071539066867672</v>
      </c>
      <c r="G396">
        <v>1.4350132800854416</v>
      </c>
      <c r="H396">
        <v>28.2924210970247</v>
      </c>
      <c r="I396" t="s">
        <v>1680</v>
      </c>
    </row>
    <row r="397" spans="2:9">
      <c r="B397" t="s">
        <v>1681</v>
      </c>
      <c r="C397" t="b">
        <v>1</v>
      </c>
      <c r="D397">
        <v>75.881690797003216</v>
      </c>
      <c r="E397">
        <v>0</v>
      </c>
      <c r="F397">
        <v>1.4016838592074663</v>
      </c>
      <c r="G397">
        <v>1.4016838592074663</v>
      </c>
      <c r="H397">
        <v>54.136095167642083</v>
      </c>
      <c r="I397" t="s">
        <v>1682</v>
      </c>
    </row>
    <row r="398" spans="2:9">
      <c r="B398" t="s">
        <v>1683</v>
      </c>
      <c r="C398" t="b">
        <v>1</v>
      </c>
      <c r="D398">
        <v>-64.300000000000011</v>
      </c>
      <c r="E398">
        <v>0</v>
      </c>
      <c r="F398">
        <v>-0.98249993419134352</v>
      </c>
      <c r="G398">
        <v>-2.2726934460466501</v>
      </c>
      <c r="H398">
        <v>28.2924210970247</v>
      </c>
      <c r="I398" t="s">
        <v>1684</v>
      </c>
    </row>
    <row r="399" spans="2:9">
      <c r="B399" t="s">
        <v>1685</v>
      </c>
      <c r="C399" t="b">
        <v>1</v>
      </c>
      <c r="D399">
        <v>75.881690797003216</v>
      </c>
      <c r="E399">
        <v>0</v>
      </c>
      <c r="F399">
        <v>1.4016838592074663</v>
      </c>
      <c r="G399">
        <v>1.4016838592074663</v>
      </c>
      <c r="H399">
        <v>54.136095167642083</v>
      </c>
      <c r="I399" t="s">
        <v>1686</v>
      </c>
    </row>
    <row r="400" spans="2:9">
      <c r="B400" t="s">
        <v>1687</v>
      </c>
      <c r="C400" t="b">
        <v>1</v>
      </c>
      <c r="D400">
        <v>196402669.005</v>
      </c>
      <c r="E400">
        <v>0</v>
      </c>
      <c r="F400">
        <v>4.9999992109324358</v>
      </c>
      <c r="G400" s="36">
        <v>1964026690049.9998</v>
      </c>
      <c r="H400">
        <v>0</v>
      </c>
      <c r="I400" t="s">
        <v>1688</v>
      </c>
    </row>
    <row r="401" spans="2:9">
      <c r="B401" t="s">
        <v>1689</v>
      </c>
      <c r="C401" t="b">
        <v>1</v>
      </c>
      <c r="D401">
        <v>55713239.005000003</v>
      </c>
      <c r="E401">
        <v>0</v>
      </c>
      <c r="F401">
        <v>4.9999972183467243</v>
      </c>
      <c r="G401" s="36">
        <v>557132390050</v>
      </c>
      <c r="H401">
        <v>0</v>
      </c>
      <c r="I401" t="s">
        <v>1690</v>
      </c>
    </row>
    <row r="402" spans="2:9">
      <c r="B402" t="s">
        <v>1691</v>
      </c>
      <c r="C402" t="b">
        <v>1</v>
      </c>
      <c r="D402">
        <v>-29.300000000000011</v>
      </c>
      <c r="E402">
        <v>0</v>
      </c>
      <c r="F402">
        <v>-0.46621563654630327</v>
      </c>
      <c r="G402">
        <v>-1.0356130321798891</v>
      </c>
      <c r="H402">
        <v>28.2924210970247</v>
      </c>
      <c r="I402" t="s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7"/>
  <dimension ref="B1:L387"/>
  <sheetViews>
    <sheetView workbookViewId="0">
      <selection activeCell="J14" sqref="J14"/>
    </sheetView>
  </sheetViews>
  <sheetFormatPr defaultColWidth="17.28515625" defaultRowHeight="15"/>
  <cols>
    <col min="1" max="1" width="4.42578125" customWidth="1"/>
    <col min="2" max="2" width="29.140625" customWidth="1"/>
    <col min="3" max="3" width="24" customWidth="1"/>
    <col min="4" max="4" width="13" customWidth="1"/>
    <col min="5" max="5" width="18" customWidth="1"/>
  </cols>
  <sheetData>
    <row r="1" spans="2:12" ht="26.25">
      <c r="B1" s="67" t="s">
        <v>20</v>
      </c>
      <c r="C1" s="67"/>
      <c r="D1" s="67"/>
      <c r="E1" s="67"/>
      <c r="F1" s="67"/>
      <c r="H1" s="37" t="s">
        <v>1697</v>
      </c>
      <c r="I1" s="38"/>
      <c r="J1" s="38"/>
      <c r="K1" s="38"/>
      <c r="L1" s="38"/>
    </row>
    <row r="2" spans="2:12" s="41" customFormat="1" ht="12.75">
      <c r="B2" s="39" t="s">
        <v>65</v>
      </c>
      <c r="C2" s="40" t="s">
        <v>66</v>
      </c>
      <c r="D2" s="40" t="s">
        <v>32</v>
      </c>
      <c r="E2" s="40" t="s">
        <v>66</v>
      </c>
      <c r="F2" s="40" t="s">
        <v>1698</v>
      </c>
      <c r="H2" s="41">
        <f>MIN($H$6)</f>
        <v>2758.9735149100434</v>
      </c>
    </row>
    <row r="3" spans="2:12">
      <c r="B3" t="s">
        <v>1699</v>
      </c>
      <c r="C3">
        <f>((CONCTHK21_CLOSE_Q*CONCTHK21_CLOSE_CF+CONCTHK21_PP52_Q*CONCTHK21_PP52_CF+CONCTHK21_PP51_Q*CONCTHK21_PP51_CF))</f>
        <v>283.69369830652113</v>
      </c>
      <c r="D3" s="14" t="s">
        <v>22</v>
      </c>
      <c r="E3">
        <f xml:space="preserve"> (CONCTHK21_OPEN_Q * CONCTHK21_OPEN_CF + DI101_CONCTHK21_Q * DI101_CONCTHK21_CF )</f>
        <v>234.36018483247693</v>
      </c>
      <c r="F3" t="b">
        <f>C3=E3</f>
        <v>0</v>
      </c>
      <c r="H3">
        <f>COUNT($C$151:$C$387)</f>
        <v>237</v>
      </c>
    </row>
    <row r="4" spans="2:12">
      <c r="B4" t="s">
        <v>1700</v>
      </c>
      <c r="C4">
        <f>(( CONCTHK21_CLOSE_Q + CONCTHK21_PP51_Q + CONCTHK21_PP52_Q) )</f>
        <v>1381.6164148122593</v>
      </c>
      <c r="D4" s="14" t="s">
        <v>22</v>
      </c>
      <c r="E4">
        <f>(CONCTHK21_OPEN_Q + DI101_CONCTHK21_Q )</f>
        <v>1381.6164148122596</v>
      </c>
      <c r="F4" t="b">
        <f t="shared" ref="F4:F67" si="0">C4=E4</f>
        <v>1</v>
      </c>
      <c r="H4" t="b">
        <f t="array" ref="H4">$C$3:$C$148=$E$3:$E$148</f>
        <v>0</v>
      </c>
    </row>
    <row r="5" spans="2:12">
      <c r="B5" t="s">
        <v>1701</v>
      </c>
      <c r="C5">
        <f>((CONCTHK21_TOTVOL_CLOSE_Q))</f>
        <v>5086</v>
      </c>
      <c r="D5" s="14" t="s">
        <v>22</v>
      </c>
      <c r="E5">
        <f>(CONCTHK21_TOTVOL_OPEN_Q )</f>
        <v>5086</v>
      </c>
      <c r="F5" t="b">
        <f t="shared" si="0"/>
        <v>1</v>
      </c>
      <c r="H5">
        <f>{1000,100,0.001,5,TRUE,TRUE,TRUE,1,1,1,0.00001,FALSE,FALSE}</f>
        <v>1000</v>
      </c>
    </row>
    <row r="6" spans="2:12">
      <c r="B6" t="s">
        <v>1702</v>
      </c>
      <c r="C6">
        <f>((CONCTHK21_CLOSE_Q*CONCTHK21_CLOSE_WF+CONCTHK21_PP52_Q*CONCTHK21_PP52_WF+CONCTHK1_OVERFLOW_Q+CONCTHK21_PP51_Q*CONCTHK21_PP51_WF))</f>
        <v>4776.744606331742</v>
      </c>
      <c r="D6" s="14" t="s">
        <v>22</v>
      </c>
      <c r="E6">
        <f>(CONCTHK21_OPEN_Q * CONCTHK21_OPEN_WF + DI101_CONCTHK21_Q * DI101_CONCTHK21_WF )</f>
        <v>4784.8818693848416</v>
      </c>
      <c r="F6" t="b">
        <f t="shared" si="0"/>
        <v>0</v>
      </c>
      <c r="H6">
        <f>[2]!Gaussian($C$151:$C$387)</f>
        <v>2758.9735149100434</v>
      </c>
    </row>
    <row r="7" spans="2:12">
      <c r="B7" t="s">
        <v>1703</v>
      </c>
      <c r="C7">
        <f>((CONCTHK22_CLOSE_Q*CONCTHK22_CLOSE_CF+CONCTHK22_PP53_Q*CONCTHK22_PP53_CF+CONCTHK22_PP54_Q*CONCTHK22_PP54_CF))</f>
        <v>-45258.39588739918</v>
      </c>
      <c r="D7" s="14" t="s">
        <v>22</v>
      </c>
      <c r="E7">
        <f>(CONCTHK22_OPEN_Q * CONCTHK22_OPEN_CF + DI101_CONCTHK22_Q * DI101_CONCTHK22_CF )</f>
        <v>-37162.16224551708</v>
      </c>
      <c r="F7" t="b">
        <f t="shared" si="0"/>
        <v>0</v>
      </c>
    </row>
    <row r="8" spans="2:12">
      <c r="B8" t="s">
        <v>1704</v>
      </c>
      <c r="C8">
        <f>((CONCTHK22_CLOSE_Q+CONCTHK22_PP53_Q+CONCTHK22_PP54_Q))</f>
        <v>18236.801591730495</v>
      </c>
      <c r="D8" s="14" t="s">
        <v>22</v>
      </c>
      <c r="E8">
        <f>(CONCTHK22_OPEN_Q + DI101_CONCTHK22_Q )</f>
        <v>18236.801591730495</v>
      </c>
      <c r="F8" t="b">
        <f t="shared" si="0"/>
        <v>1</v>
      </c>
    </row>
    <row r="9" spans="2:12">
      <c r="B9" t="s">
        <v>1705</v>
      </c>
      <c r="C9">
        <f>((CONCTHK22_TOTVOL_CLOSE_Q))</f>
        <v>5086</v>
      </c>
      <c r="D9" s="14" t="s">
        <v>22</v>
      </c>
      <c r="E9">
        <f>(CONCTHK22_TOTVOL_OPEN_Q )</f>
        <v>5086</v>
      </c>
      <c r="F9" t="b">
        <f t="shared" si="0"/>
        <v>1</v>
      </c>
    </row>
    <row r="10" spans="2:12">
      <c r="B10" t="s">
        <v>1706</v>
      </c>
      <c r="C10">
        <f>((CONCTHK22_CLOSE_Q*CONCTHK22_CLOSE_WF+CONCTHK22_PP53_Q*CONCTHK22_PP53_WF+CONCTHK22_PP54_Q*CONCTHK22_PP54_WF+CONCTHK2_OVERFLOW_Q))</f>
        <v>4915.1355432175296</v>
      </c>
      <c r="D10" s="14" t="s">
        <v>22</v>
      </c>
      <c r="E10">
        <f>(CONCTHK22_OPEN_Q * CONCTHK22_OPEN_WF + DI101_CONCTHK22_Q * DI101_CONCTHK22_WF )</f>
        <v>4918.3878172960749</v>
      </c>
      <c r="F10" t="b">
        <f t="shared" si="0"/>
        <v>0</v>
      </c>
    </row>
    <row r="11" spans="2:12">
      <c r="B11" t="s">
        <v>1707</v>
      </c>
      <c r="C11">
        <f>((CONCTHK_OVERFLOW_Q))</f>
        <v>-574.70562502924565</v>
      </c>
      <c r="D11" s="14" t="s">
        <v>22</v>
      </c>
      <c r="E11">
        <f>(CONCTHK1_OVERFLOW_Q + CONCTHK2_OVERFLOW_Q )</f>
        <v>-574.70562502924577</v>
      </c>
      <c r="F11" t="b">
        <f t="shared" si="0"/>
        <v>1</v>
      </c>
    </row>
    <row r="12" spans="2:12">
      <c r="B12" t="s">
        <v>1708</v>
      </c>
      <c r="C12">
        <f>((DI101_CONCTHK21_Q*DI101_CONCTHK21_CF+DI101_CONCTHK22_Q*DI101_CONCTHK22_CF))</f>
        <v>-39192.727630474998</v>
      </c>
      <c r="D12" s="14" t="s">
        <v>22</v>
      </c>
      <c r="E12">
        <f>(DI101_TOTAL_Q * DI101_TOTAL_CF )</f>
        <v>-39192.72763047499</v>
      </c>
      <c r="F12" t="b">
        <f t="shared" si="0"/>
        <v>1</v>
      </c>
    </row>
    <row r="13" spans="2:12">
      <c r="B13" t="s">
        <v>1709</v>
      </c>
      <c r="C13">
        <f>( DI101_CONCTHK22_Q + DI101_CONCTHK21_Q)</f>
        <v>13630.314803042756</v>
      </c>
      <c r="D13" s="14" t="s">
        <v>22</v>
      </c>
      <c r="E13">
        <f>(DI101_TOTAL_Q )</f>
        <v>13630.314803042756</v>
      </c>
      <c r="F13" t="b">
        <f t="shared" si="0"/>
        <v>1</v>
      </c>
    </row>
    <row r="14" spans="2:12">
      <c r="B14" t="s">
        <v>1710</v>
      </c>
      <c r="C14">
        <f>( DI101_CONCTHK21_Q * DI101_CONCTHK21_WF + DI101_CONCTHK22_Q * DI101_CONCTHK22_WF)</f>
        <v>962.42648463165312</v>
      </c>
      <c r="D14" s="14" t="s">
        <v>22</v>
      </c>
      <c r="E14">
        <f>(DI101_TOTAL_Q * DI101_TOTAL_WF )</f>
        <v>962.42648463165312</v>
      </c>
      <c r="F14" t="b">
        <f t="shared" si="0"/>
        <v>1</v>
      </c>
    </row>
    <row r="15" spans="2:12">
      <c r="B15" t="s">
        <v>1711</v>
      </c>
      <c r="C15">
        <f>( DI101_TOTAL_Q * DI101_TOTAL_CF)</f>
        <v>-39192.72763047499</v>
      </c>
      <c r="D15" s="14" t="s">
        <v>22</v>
      </c>
      <c r="E15">
        <f>(FINALCONC_Q * FINALCONC_CF + PP54_DI101_Q * PP54_DI101_CF + PP51_DI101_Q * PP51_DI101_CF + PP53_DI101_Q * PP53_DI101_CF + PP52_DI101_Q * PP52_DI101_CF )</f>
        <v>-24375.529856917292</v>
      </c>
      <c r="F15" t="b">
        <f t="shared" si="0"/>
        <v>0</v>
      </c>
    </row>
    <row r="16" spans="2:12">
      <c r="B16" t="s">
        <v>1712</v>
      </c>
      <c r="C16">
        <f>( DI101_TOTAL_Q)</f>
        <v>13630.314803042756</v>
      </c>
      <c r="D16" s="14" t="s">
        <v>22</v>
      </c>
      <c r="E16">
        <f>(FINALCONC_Q + PP51_DI101_Q + PP52_DI101_Q + PP53_DI101_Q + PP54_DI101_Q )</f>
        <v>13630.314803042755</v>
      </c>
      <c r="F16" t="b">
        <f t="shared" si="0"/>
        <v>1</v>
      </c>
    </row>
    <row r="17" spans="2:6">
      <c r="B17" t="s">
        <v>1713</v>
      </c>
      <c r="C17">
        <f>( DI101_TOTAL_Q * DI101_TOTAL_WF)</f>
        <v>962.42648463165312</v>
      </c>
      <c r="D17" s="14" t="s">
        <v>22</v>
      </c>
      <c r="E17">
        <f>(FINALCONC_Q * FINALCONC_WF + PP52_DI101_Q * PP52_DI101_WF + PP54_DI101_Q * PP54_DI101_WF + PP53_DI101_Q * PP53_DI101_WF + PP51_DI101_Q * PP51_DI101_WF )</f>
        <v>1158.8820919477748</v>
      </c>
      <c r="F17" t="b">
        <f t="shared" si="0"/>
        <v>0</v>
      </c>
    </row>
    <row r="18" spans="2:6">
      <c r="B18" t="s">
        <v>1714</v>
      </c>
      <c r="C18">
        <f>( CONCTHK_TK23_Q * CONCTHK_TK23_CF + CONCTHK_TK24_Q * CONCTHK_TK24_CF + CONCTHK_TK25_Q * CONCTHK_TK25_CF + CONCTHK_TK26_Q * CONCTHK_TK26_CF)</f>
        <v>562.4462291447087</v>
      </c>
      <c r="D18" s="14" t="s">
        <v>22</v>
      </c>
      <c r="E18">
        <f>(CONCTHK_TKC_Q * CONCTHK_TKC_CF )</f>
        <v>562.44622914470858</v>
      </c>
      <c r="F18" t="b">
        <f t="shared" si="0"/>
        <v>1</v>
      </c>
    </row>
    <row r="19" spans="2:6">
      <c r="B19" t="s">
        <v>1715</v>
      </c>
      <c r="C19">
        <f>( CONCTHK_TK24_Q + CONCTHK_TK25_Q + CONCTHK_TK26_Q + CONCTHK_TK23_Q)</f>
        <v>1832.5600405048008</v>
      </c>
      <c r="D19" s="14" t="s">
        <v>22</v>
      </c>
      <c r="E19">
        <f>(CONCTHK_TKC_Q )</f>
        <v>1832.5600405048006</v>
      </c>
      <c r="F19" t="b">
        <f t="shared" si="0"/>
        <v>1</v>
      </c>
    </row>
    <row r="20" spans="2:6">
      <c r="B20" t="s">
        <v>1716</v>
      </c>
      <c r="C20">
        <f>( CONCTHK_TK23_Q * CONCTHK_TK23_WF + CONCTHK_TK24_Q * CONCTHK_TK24_WF + CONCTHK_TK26_Q * CONCTHK_TK26_WF + CONCTHK_TK25_Q * CONCTHK_TK25_WF)</f>
        <v>919.19463212573305</v>
      </c>
      <c r="D20" s="14" t="s">
        <v>22</v>
      </c>
      <c r="E20">
        <f>(CONCTHK_TKC_Q * CONCTHK_TKC_WF )</f>
        <v>919.19463212573294</v>
      </c>
      <c r="F20" t="b">
        <f t="shared" si="0"/>
        <v>1</v>
      </c>
    </row>
    <row r="21" spans="2:6">
      <c r="B21" t="s">
        <v>1717</v>
      </c>
      <c r="C21">
        <f>( CONCTHK_TKC_Q * CONCTHK_TKC_CF)</f>
        <v>562.44622914470858</v>
      </c>
      <c r="D21" s="14" t="s">
        <v>22</v>
      </c>
      <c r="E21">
        <f>(PP53_DI104_Q * PP53_DI104_CF + PP51_DI104_Q * PP51_DI104_CF + PP52_DI104_Q * PP52_DI104_CF + PP54_DI104_Q * PP54_DI104_CF )</f>
        <v>504.16155869897665</v>
      </c>
      <c r="F21" t="b">
        <f t="shared" si="0"/>
        <v>0</v>
      </c>
    </row>
    <row r="22" spans="2:6">
      <c r="B22" t="s">
        <v>1718</v>
      </c>
      <c r="C22">
        <f>( CONCTHK_TKC_Q)</f>
        <v>1832.5600405048006</v>
      </c>
      <c r="D22" s="14" t="s">
        <v>22</v>
      </c>
      <c r="E22">
        <f>(PP52_DI104_Q + PP53_DI104_Q + PP51_DI104_Q + PP54_DI104_Q )</f>
        <v>1832.5600405048008</v>
      </c>
      <c r="F22" t="b">
        <f t="shared" si="0"/>
        <v>1</v>
      </c>
    </row>
    <row r="23" spans="2:6">
      <c r="B23" t="s">
        <v>1719</v>
      </c>
      <c r="C23">
        <f>( CONCTHK_TKC_Q * CONCTHK_TKC_WF)</f>
        <v>919.19463212573294</v>
      </c>
      <c r="D23" s="14" t="s">
        <v>22</v>
      </c>
      <c r="E23">
        <f>(PP51_DI104_Q * PP51_DI104_WF + PP53_DI104_Q * PP53_DI104_WF + PP54_DI104_Q * PP54_DI104_WF + PP52_DI104_Q * PP52_DI104_WF )</f>
        <v>920.32151718036323</v>
      </c>
      <c r="F23" t="b">
        <f t="shared" si="0"/>
        <v>0</v>
      </c>
    </row>
    <row r="24" spans="2:6">
      <c r="B24" t="s">
        <v>1720</v>
      </c>
      <c r="C24">
        <f>( TKC_PIPE_Q * TKC_PIPE_CF)</f>
        <v>608.87858732038865</v>
      </c>
      <c r="D24" s="14" t="s">
        <v>22</v>
      </c>
      <c r="E24">
        <f>(TK24_DI105_Q * TK24_DI105_CF + TK25_DI105_Q * TK25_DI105_CF + TK23_DI105_Q * TK23_DI105_CF + TK26_DI105_Q * TK26_DI105_CF )</f>
        <v>609.24395158428331</v>
      </c>
      <c r="F24" t="b">
        <f t="shared" si="0"/>
        <v>0</v>
      </c>
    </row>
    <row r="25" spans="2:6">
      <c r="B25" t="s">
        <v>1721</v>
      </c>
      <c r="C25">
        <f>( TKC_PIPE_Q)</f>
        <v>1689.0166771432596</v>
      </c>
      <c r="D25" s="14" t="s">
        <v>22</v>
      </c>
      <c r="E25">
        <f>(TK24_DI105_Q + TK25_DI105_Q + TK26_DI105_Q + TK23_DI105_Q )</f>
        <v>1689.0166771432596</v>
      </c>
      <c r="F25" t="b">
        <f t="shared" si="0"/>
        <v>1</v>
      </c>
    </row>
    <row r="26" spans="2:6">
      <c r="B26" t="s">
        <v>1722</v>
      </c>
      <c r="C26">
        <f>( TKC_PIPE_Q * TKC_PIPE_WF)</f>
        <v>785.51974882498598</v>
      </c>
      <c r="D26" s="14" t="s">
        <v>22</v>
      </c>
      <c r="E26">
        <f>(TK23_DI105_Q * TK23_DI105_WF + TK26_DI105_Q * TK26_DI105_WF + TK24_DI105_Q * TK24_DI105_WF + TK25_DI105_Q * TK25_DI105_WF )</f>
        <v>785.56634487861743</v>
      </c>
      <c r="F26" t="b">
        <f t="shared" si="0"/>
        <v>0</v>
      </c>
    </row>
    <row r="27" spans="2:6">
      <c r="B27" t="s">
        <v>1723</v>
      </c>
      <c r="C27">
        <f>( DI150_TAILTHK6_Q * DI150_TAILTHK6_CF + DI150_TAILTHK7_Q * DI150_TAILTHK7_CF + DI150_TAILTHK8_Q * DI150_TAILTHK8_CF)</f>
        <v>178.62433120597245</v>
      </c>
      <c r="D27" s="14" t="s">
        <v>22</v>
      </c>
      <c r="E27">
        <f>(TAILS_Q * TAILS_CF )</f>
        <v>178.62433120597245</v>
      </c>
      <c r="F27" t="b">
        <f t="shared" si="0"/>
        <v>1</v>
      </c>
    </row>
    <row r="28" spans="2:6">
      <c r="B28" t="s">
        <v>1724</v>
      </c>
      <c r="C28">
        <f>( DI150_TAILTHK6_Q + DI150_TAILTHK7_Q + DI150_TAILTHK8_Q)</f>
        <v>57630.047170825113</v>
      </c>
      <c r="D28" s="14" t="s">
        <v>22</v>
      </c>
      <c r="E28">
        <f>(TAILS_Q )</f>
        <v>57630.047170825121</v>
      </c>
      <c r="F28" t="b">
        <f t="shared" si="0"/>
        <v>1</v>
      </c>
    </row>
    <row r="29" spans="2:6">
      <c r="B29" t="s">
        <v>1725</v>
      </c>
      <c r="C29">
        <f>( DI150_TAILTHK6_Q * DI150_TAILTHK6_WF + DI150_TAILTHK8_Q * DI150_TAILTHK8_WF + DI150_TAILTHK7_Q * DI150_TAILTHK7_WF)</f>
        <v>165744.01506873796</v>
      </c>
      <c r="D29" s="14" t="s">
        <v>22</v>
      </c>
      <c r="E29">
        <f>(TAILS_Q * TAILS_WF )</f>
        <v>165744.01506873799</v>
      </c>
      <c r="F29" t="b">
        <f t="shared" si="0"/>
        <v>1</v>
      </c>
    </row>
    <row r="30" spans="2:6">
      <c r="B30" t="s">
        <v>1726</v>
      </c>
      <c r="C30">
        <f>( FINALCONC_Q * FINALCONC_CF + TAILS_Q * TAILS_CF)</f>
        <v>308.97886438961962</v>
      </c>
      <c r="D30" s="14" t="s">
        <v>22</v>
      </c>
      <c r="E30">
        <f>(ROUFEED_Q * ROUFEED_CF )</f>
        <v>406.66705404725991</v>
      </c>
      <c r="F30" t="b">
        <f t="shared" si="0"/>
        <v>0</v>
      </c>
    </row>
    <row r="31" spans="2:6">
      <c r="B31" t="s">
        <v>1727</v>
      </c>
      <c r="C31">
        <f>( FINALCONC_Q + TAILS_Q)</f>
        <v>57979.626880362637</v>
      </c>
      <c r="D31" s="14" t="s">
        <v>22</v>
      </c>
      <c r="E31">
        <f>(ROUFEED_Q )</f>
        <v>57979.626880362637</v>
      </c>
      <c r="F31" t="b">
        <f t="shared" si="0"/>
        <v>1</v>
      </c>
    </row>
    <row r="32" spans="2:6">
      <c r="B32" t="s">
        <v>1728</v>
      </c>
      <c r="C32">
        <f>( FINALCONC_Q * FINALCONC_WF + TAILS_Q * TAILS_WF)</f>
        <v>166651.90853237413</v>
      </c>
      <c r="D32" s="14" t="s">
        <v>22</v>
      </c>
      <c r="E32">
        <f>(H2OSEAL_REM_1_Q + H2OSEAL_REM_2_Q + POOL_REM_1_Q + ROUFEED_Q * ROUFEED_WF + H2OSEAL_DI30_Q + POOL_2CLN_Q + POOL_REM_2_Q + POOL_TK91_Q + POOL_DI30_Q + POOL_2CLNCONC_Q + H2OSEAL_1CLN_Q + POOL_TK42_Q )</f>
        <v>166649.65390834946</v>
      </c>
      <c r="F32" t="b">
        <f t="shared" si="0"/>
        <v>0</v>
      </c>
    </row>
    <row r="33" spans="2:6">
      <c r="B33" t="s">
        <v>1729</v>
      </c>
      <c r="C33">
        <f>( H2OFRESH_TK83_Q)</f>
        <v>-9051.8499043205193</v>
      </c>
      <c r="D33" s="14" t="s">
        <v>22</v>
      </c>
      <c r="E33">
        <f>(BOREWATER_Q + RIVERWATER_Q )</f>
        <v>-9051.8499043205193</v>
      </c>
      <c r="F33" t="b">
        <f t="shared" si="0"/>
        <v>1</v>
      </c>
    </row>
    <row r="34" spans="2:6">
      <c r="B34" t="s">
        <v>1730</v>
      </c>
      <c r="C34">
        <f>( MILL_MIXER_Q * MILL_MIXER_CF)</f>
        <v>505.34246206314498</v>
      </c>
      <c r="D34" s="14" t="s">
        <v>22</v>
      </c>
      <c r="E34">
        <f>(FEED_Q * FEED_CF )</f>
        <v>600.5158179119635</v>
      </c>
      <c r="F34" t="b">
        <f t="shared" si="0"/>
        <v>0</v>
      </c>
    </row>
    <row r="35" spans="2:6">
      <c r="B35" t="s">
        <v>1731</v>
      </c>
      <c r="C35">
        <f>( MILL_MIXER_Q)</f>
        <v>57979.626880362637</v>
      </c>
      <c r="D35" s="14" t="s">
        <v>22</v>
      </c>
      <c r="E35">
        <f>(FEED_Q )</f>
        <v>57979.626880362637</v>
      </c>
      <c r="F35" t="b">
        <f t="shared" si="0"/>
        <v>1</v>
      </c>
    </row>
    <row r="36" spans="2:6">
      <c r="B36" t="s">
        <v>1732</v>
      </c>
      <c r="C36">
        <f>( MILL_MIXER_Q * MILL_MIXER_WF)</f>
        <v>109396.28852231154</v>
      </c>
      <c r="D36" s="14" t="s">
        <v>22</v>
      </c>
      <c r="E36">
        <f>(FEED_Q * FEED_WF + POOL_BC2SUMP_Q + POOL_BC3SUMP_Q + POOL_MB1_Q + POOL_SAG_Q + TK83_MB1_Q + POOL_BC1SUMP_Q + TK83_D25_Q + TK83_MB3_Q + POOL_MB2_Q + TK83_MB2_Q + TK83_D20_Q + POOL_MB3_Q + POOL_M1_Q )</f>
        <v>109394.77095314029</v>
      </c>
      <c r="F36" t="b">
        <f t="shared" si="0"/>
        <v>0</v>
      </c>
    </row>
    <row r="37" spans="2:6">
      <c r="B37" t="s">
        <v>1733</v>
      </c>
      <c r="C37">
        <f>( ROUFEED_Q * ROUFEED_CF)</f>
        <v>406.66705404725991</v>
      </c>
      <c r="D37" s="14" t="s">
        <v>22</v>
      </c>
      <c r="E37">
        <f>(MILL_MIXER_Q * MILL_MIXER_CF )</f>
        <v>505.34246206314498</v>
      </c>
      <c r="F37" t="b">
        <f t="shared" si="0"/>
        <v>0</v>
      </c>
    </row>
    <row r="38" spans="2:6">
      <c r="B38" t="s">
        <v>1734</v>
      </c>
      <c r="C38">
        <f>( ROUFEED_Q)</f>
        <v>57979.626880362637</v>
      </c>
      <c r="D38" s="14" t="s">
        <v>22</v>
      </c>
      <c r="E38">
        <f>(MILL_MIXER_Q )</f>
        <v>57979.626880362637</v>
      </c>
      <c r="F38" t="b">
        <f t="shared" si="0"/>
        <v>1</v>
      </c>
    </row>
    <row r="39" spans="2:6">
      <c r="B39" t="s">
        <v>1735</v>
      </c>
      <c r="C39">
        <f>( ROUFEED_Q * ROUFEED_WF)</f>
        <v>157393.33511128594</v>
      </c>
      <c r="D39" s="14" t="s">
        <v>22</v>
      </c>
      <c r="E39">
        <f>(POOL_MIXER_Q + MILL_MIXER_Q * MILL_MIXER_WF )</f>
        <v>157396.28831305972</v>
      </c>
      <c r="F39" t="b">
        <f t="shared" si="0"/>
        <v>0</v>
      </c>
    </row>
    <row r="40" spans="2:6">
      <c r="B40" t="s">
        <v>1736</v>
      </c>
      <c r="C40">
        <f>( PIPELINE_CLOSE_Q * PIPELINE_CLOSE_CF + PIPE_TKCLC_Q * PIPE_TKCLC_CF)</f>
        <v>863.69404967578964</v>
      </c>
      <c r="D40" s="14" t="s">
        <v>22</v>
      </c>
      <c r="E40">
        <f>(PIPELINE_OPEN_Q * PIPELINE_OPEN_CF + TKC_PIPE_Q * TKC_PIPE_CF )</f>
        <v>862.96178732038868</v>
      </c>
      <c r="F40" t="b">
        <f t="shared" si="0"/>
        <v>0</v>
      </c>
    </row>
    <row r="41" spans="2:6">
      <c r="B41" t="s">
        <v>1737</v>
      </c>
      <c r="C41">
        <f>( PIPELINE_CLOSE_Q + PIPE_TKCLC_Q)</f>
        <v>2389.0166771432591</v>
      </c>
      <c r="D41" s="14" t="s">
        <v>22</v>
      </c>
      <c r="E41">
        <f>(PIPELINE_OPEN_Q + TKC_PIPE_Q )</f>
        <v>2389.0166771432596</v>
      </c>
      <c r="F41" t="b">
        <f t="shared" si="0"/>
        <v>1</v>
      </c>
    </row>
    <row r="42" spans="2:6">
      <c r="B42" t="s">
        <v>1738</v>
      </c>
      <c r="C42">
        <f>( PIPELINE_CLOSE_Q * PIPELINE_CLOSE_WF + PIPE_TKCLC_Q * PIPE_TKCLC_WF)</f>
        <v>1103.1992872790124</v>
      </c>
      <c r="D42" s="14" t="s">
        <v>22</v>
      </c>
      <c r="E42">
        <f>(PIPELINE_OPEN_Q * PIPELINE_OPEN_WF + TKC_PIPE_Q * TKC_PIPE_WF )</f>
        <v>1103.2099888249859</v>
      </c>
      <c r="F42" t="b">
        <f t="shared" si="0"/>
        <v>0</v>
      </c>
    </row>
    <row r="43" spans="2:6">
      <c r="B43" t="s">
        <v>1739</v>
      </c>
      <c r="C43">
        <f>( RO_POND_Q + RO_TANK_Q)</f>
        <v>0</v>
      </c>
      <c r="D43" s="14" t="s">
        <v>22</v>
      </c>
      <c r="E43">
        <f>(PLANTA_RO_FEED_Q )</f>
        <v>0</v>
      </c>
      <c r="F43" t="b">
        <f t="shared" si="0"/>
        <v>1</v>
      </c>
    </row>
    <row r="44" spans="2:6">
      <c r="B44" t="s">
        <v>1740</v>
      </c>
      <c r="C44">
        <f>( POOL_2CLN_Q + POOL_BC2SUMP_Q + POOL_BC3SUMP_Q + POOL_REM_1_Q + POOL_SAG_Q + POOL_2CLNCONC_Q + POOL_DI30_Q + POOL_MB2_Q + POOL_MIXER_Q + POOL_TK42_Q + POOL_MB3_Q + POOL_MB1_Q + POOL_BC1SUMP_Q + POOL_TK91_Q + POOL_REM_2_Q + POOL_M1_Q)</f>
        <v>148427.61958271312</v>
      </c>
      <c r="D44" s="14" t="s">
        <v>22</v>
      </c>
      <c r="E44">
        <f>(H2OPROCESSTOTAL_Q )</f>
        <v>148427.61958271312</v>
      </c>
      <c r="F44" t="b">
        <f t="shared" si="0"/>
        <v>1</v>
      </c>
    </row>
    <row r="45" spans="2:6">
      <c r="B45" t="s">
        <v>1741</v>
      </c>
      <c r="C45">
        <f>( PP51_DI101_Q * PP51_DI101_CF + PP51_DI104_Q * PP51_DI104_CF)</f>
        <v>0.17109682112532337</v>
      </c>
      <c r="D45" s="14" t="s">
        <v>22</v>
      </c>
      <c r="E45">
        <f>(CONCTHK21_PP51_Q * CONCTHK21_PP51_CF )</f>
        <v>-1.3536042207205639E-35</v>
      </c>
      <c r="F45" t="b">
        <f t="shared" si="0"/>
        <v>0</v>
      </c>
    </row>
    <row r="46" spans="2:6">
      <c r="B46" t="s">
        <v>1742</v>
      </c>
      <c r="C46">
        <f>( PP51_DI101_Q + PP51_DI104_Q)</f>
        <v>0.40776172813470779</v>
      </c>
      <c r="D46" s="14" t="s">
        <v>22</v>
      </c>
      <c r="E46">
        <f>(CONCTHK21_PP51_Q )</f>
        <v>0.40776172813470779</v>
      </c>
      <c r="F46" t="b">
        <f t="shared" si="0"/>
        <v>1</v>
      </c>
    </row>
    <row r="47" spans="2:6">
      <c r="B47" t="s">
        <v>1743</v>
      </c>
      <c r="C47">
        <f>( PP51_DI104_Q * PP51_DI104_WF + PP51_DI101_Q * PP51_DI101_WF)</f>
        <v>1.5509944279260996E-49</v>
      </c>
      <c r="D47" s="14" t="s">
        <v>22</v>
      </c>
      <c r="E47">
        <f>(CONCTHK21_PP51_Q * CONCTHK21_PP51_WF )</f>
        <v>0</v>
      </c>
      <c r="F47" t="b">
        <f t="shared" si="0"/>
        <v>0</v>
      </c>
    </row>
    <row r="48" spans="2:6">
      <c r="B48" t="s">
        <v>1744</v>
      </c>
      <c r="C48">
        <f>( PP52_DI101_Q * PP52_DI101_CF + PP52_DI104_Q * PP52_DI104_CF)</f>
        <v>-4.7535014530092711E-31</v>
      </c>
      <c r="D48" s="14" t="s">
        <v>22</v>
      </c>
      <c r="E48">
        <f>(CONCTHK21_PP52_Q * CONCTHK21_PP52_CF )</f>
        <v>7.4103939769319875E-31</v>
      </c>
      <c r="F48" t="b">
        <f t="shared" si="0"/>
        <v>0</v>
      </c>
    </row>
    <row r="49" spans="2:6">
      <c r="B49" t="s">
        <v>1745</v>
      </c>
      <c r="C49">
        <f>( PP52_DI101_Q + PP52_DI104_Q)</f>
        <v>2105.2852009476715</v>
      </c>
      <c r="D49" s="14" t="s">
        <v>22</v>
      </c>
      <c r="E49">
        <f>(CONCTHK21_PP52_Q )</f>
        <v>2105.2852009476715</v>
      </c>
      <c r="F49" t="b">
        <f t="shared" si="0"/>
        <v>1</v>
      </c>
    </row>
    <row r="50" spans="2:6">
      <c r="B50" t="s">
        <v>1746</v>
      </c>
      <c r="C50">
        <f>( PP52_DI101_Q * PP52_DI101_WF + PP52_DI104_Q * PP52_DI104_WF)</f>
        <v>925.4833743365964</v>
      </c>
      <c r="D50" s="14" t="s">
        <v>22</v>
      </c>
      <c r="E50">
        <f>(CONCTHK21_PP52_Q * CONCTHK21_PP52_WF )</f>
        <v>925.4833743365964</v>
      </c>
      <c r="F50" t="b">
        <f t="shared" si="0"/>
        <v>1</v>
      </c>
    </row>
    <row r="51" spans="2:6">
      <c r="B51" t="s">
        <v>1747</v>
      </c>
      <c r="C51">
        <f>( PP53_DI101_Q * PP53_DI101_CF + PP53_DI104_Q * PP53_DI104_CF)</f>
        <v>0</v>
      </c>
      <c r="D51" s="14" t="s">
        <v>22</v>
      </c>
      <c r="E51">
        <f>(CONCTHK22_PP53_Q * CONCTHK22_PP53_CF )</f>
        <v>-1.5484573365136016E-29</v>
      </c>
      <c r="F51" t="b">
        <f t="shared" si="0"/>
        <v>0</v>
      </c>
    </row>
    <row r="52" spans="2:6">
      <c r="B52" t="s">
        <v>1748</v>
      </c>
      <c r="C52">
        <f>( PP53_DI101_Q + PP53_DI104_Q)</f>
        <v>0</v>
      </c>
      <c r="D52" s="14" t="s">
        <v>22</v>
      </c>
      <c r="E52">
        <f>(CONCTHK22_PP53_Q )</f>
        <v>8.3917198671429531E-30</v>
      </c>
      <c r="F52" t="b">
        <f t="shared" si="0"/>
        <v>0</v>
      </c>
    </row>
    <row r="53" spans="2:6">
      <c r="B53" t="s">
        <v>1749</v>
      </c>
      <c r="C53">
        <f>( PP53_DI104_Q * PP53_DI104_WF + PP53_DI101_Q * PP53_DI101_WF)</f>
        <v>0</v>
      </c>
      <c r="D53" s="14" t="s">
        <v>22</v>
      </c>
      <c r="E53">
        <f>(CONCTHK22_PP53_Q * CONCTHK22_PP53_WF )</f>
        <v>4.3653726748877643E-30</v>
      </c>
      <c r="F53" t="b">
        <f t="shared" si="0"/>
        <v>0</v>
      </c>
    </row>
    <row r="54" spans="2:6">
      <c r="B54" t="s">
        <v>1750</v>
      </c>
      <c r="C54">
        <f>( PP54_DI101_Q * PP54_DI101_CF + PP54_DI104_Q * PP54_DI104_CF)</f>
        <v>-24001.893928223086</v>
      </c>
      <c r="D54" s="14" t="s">
        <v>22</v>
      </c>
      <c r="E54">
        <f>(CONCTHK22_PP54_Q * CONCTHK22_PP54_CF )</f>
        <v>-24001.893928223089</v>
      </c>
      <c r="F54" t="b">
        <f t="shared" si="0"/>
        <v>1</v>
      </c>
    </row>
    <row r="55" spans="2:6">
      <c r="B55" t="s">
        <v>1751</v>
      </c>
      <c r="C55">
        <f>( PP54_DI101_Q + PP54_DI104_Q)</f>
        <v>13007.602171334234</v>
      </c>
      <c r="D55" s="14" t="s">
        <v>22</v>
      </c>
      <c r="E55">
        <f>(CONCTHK22_PP54_Q )</f>
        <v>13007.602171334236</v>
      </c>
      <c r="F55" t="b">
        <f t="shared" si="0"/>
        <v>1</v>
      </c>
    </row>
    <row r="56" spans="2:6">
      <c r="B56" t="s">
        <v>1752</v>
      </c>
      <c r="C56">
        <f>( PP54_DI101_Q * PP54_DI101_WF + PP54_DI104_Q * PP54_DI104_WF)</f>
        <v>245.82677115539431</v>
      </c>
      <c r="D56" s="14" t="s">
        <v>22</v>
      </c>
      <c r="E56">
        <f>(CONCTHK22_PP54_Q * CONCTHK22_PP54_WF )</f>
        <v>245.82677115539434</v>
      </c>
      <c r="F56" t="b">
        <f t="shared" si="0"/>
        <v>1</v>
      </c>
    </row>
    <row r="57" spans="2:6">
      <c r="B57" t="s">
        <v>1753</v>
      </c>
      <c r="C57">
        <f>( TAILTHK6_CLOSE_Q * TAILTHK6_CLOSE_CF + TAILTHK6_UNDERFLOW_Q * TAILTHK6_UNDERFLOW_CF)</f>
        <v>-242.27626740932465</v>
      </c>
      <c r="D57" s="14" t="s">
        <v>22</v>
      </c>
      <c r="E57">
        <f>(TAILTHK6_OPEN_Q * TAILTHK6_OPEN_CF + DI150_TAILTHK6_Q * DI150_TAILTHK6_CF )</f>
        <v>-9.412789420219795</v>
      </c>
      <c r="F57" t="b">
        <f t="shared" si="0"/>
        <v>0</v>
      </c>
    </row>
    <row r="58" spans="2:6">
      <c r="B58" t="s">
        <v>1754</v>
      </c>
      <c r="C58">
        <f>( TAILTHK6_CLOSE_Q + TAILTHK6_UNDERFLOW_Q)</f>
        <v>-2.2651428509561811E-2</v>
      </c>
      <c r="D58" s="14" t="s">
        <v>22</v>
      </c>
      <c r="E58">
        <f>(TAILTHK6_OPEN_Q + DI150_TAILTHK6_Q )</f>
        <v>-2.2651428513199789E-2</v>
      </c>
      <c r="F58" t="b">
        <f t="shared" si="0"/>
        <v>0</v>
      </c>
    </row>
    <row r="59" spans="2:6">
      <c r="B59" t="s">
        <v>1755</v>
      </c>
      <c r="C59">
        <f>( TAILTHK6_TOTVOL_CLOSE_Q)</f>
        <v>89291.287670000005</v>
      </c>
      <c r="D59" s="14" t="s">
        <v>22</v>
      </c>
      <c r="E59">
        <f>(TAILTHK6_TOTVOL_OPEN_Q )</f>
        <v>89291.287670000005</v>
      </c>
      <c r="F59" t="b">
        <f t="shared" si="0"/>
        <v>1</v>
      </c>
    </row>
    <row r="60" spans="2:6">
      <c r="B60" t="s">
        <v>1756</v>
      </c>
      <c r="C60">
        <f>( TAILTHK6_CLOSE_Q * TAILTHK6_CLOSE_WF + TAILTHK6_OVERFLOW_Q + TAILTHK6_UNDERFLOW_Q * TAILTHK6_UNDERFLOW_WF)</f>
        <v>40157.980898048743</v>
      </c>
      <c r="D60" s="14" t="s">
        <v>22</v>
      </c>
      <c r="E60">
        <f>(TAILTHK6_OPEN_Q * TAILTHK6_OPEN_WF + DI150_TAILTHK6_Q * DI150_TAILTHK6_WF )</f>
        <v>40157.980898223635</v>
      </c>
      <c r="F60" t="b">
        <f t="shared" si="0"/>
        <v>0</v>
      </c>
    </row>
    <row r="61" spans="2:6">
      <c r="B61" t="s">
        <v>1757</v>
      </c>
      <c r="C61">
        <f>( TAILTHK7_CLOSE_Q * TAILTHK7_CLOSE_CF + TAILTHK7_UNDERFLOW_Q * TAILTHK7_UNDERFLOW_CF)</f>
        <v>226.80070735974982</v>
      </c>
      <c r="D61" s="14" t="s">
        <v>22</v>
      </c>
      <c r="E61">
        <f>(TAILTHK7_OPEN_Q * TAILTHK7_OPEN_CF + DI150_TAILTHK7_Q * DI150_TAILTHK7_CF )</f>
        <v>226.77993178660395</v>
      </c>
      <c r="F61" t="b">
        <f t="shared" si="0"/>
        <v>0</v>
      </c>
    </row>
    <row r="62" spans="2:6">
      <c r="B62" t="s">
        <v>1758</v>
      </c>
      <c r="C62">
        <f>( TAILTHK7_CLOSE_Q + TAILTHK7_UNDERFLOW_Q)</f>
        <v>75480.282433753629</v>
      </c>
      <c r="D62" s="14" t="s">
        <v>22</v>
      </c>
      <c r="E62">
        <f>(TAILTHK7_OPEN_Q + DI150_TAILTHK7_Q )</f>
        <v>75480.282433753629</v>
      </c>
      <c r="F62" t="b">
        <f t="shared" si="0"/>
        <v>1</v>
      </c>
    </row>
    <row r="63" spans="2:6">
      <c r="B63" t="s">
        <v>1759</v>
      </c>
      <c r="C63">
        <f>( TAILTHK7_TOTVOL_CLOSE_Q)</f>
        <v>89291.287670000005</v>
      </c>
      <c r="D63" s="14" t="s">
        <v>22</v>
      </c>
      <c r="E63">
        <f>(TAILTHK7_TOTVOL_OPEN_Q )</f>
        <v>89291.287670000005</v>
      </c>
      <c r="F63" t="b">
        <f t="shared" si="0"/>
        <v>1</v>
      </c>
    </row>
    <row r="64" spans="2:6">
      <c r="B64" t="s">
        <v>1760</v>
      </c>
      <c r="C64">
        <f>( TAILTHK7_CLOSE_Q * TAILTHK7_CLOSE_WF + TAILTHK7_OVERFLOW_Q + TAILTHK7_UNDERFLOW_Q * TAILTHK7_UNDERFLOW_WF)</f>
        <v>268420.11886437517</v>
      </c>
      <c r="D64" s="14" t="s">
        <v>22</v>
      </c>
      <c r="E64">
        <f>(TAILTHK7_OPEN_Q * TAILTHK7_OPEN_WF + DI150_TAILTHK7_Q * DI150_TAILTHK7_WF )</f>
        <v>268420.12921853736</v>
      </c>
      <c r="F64" t="b">
        <f t="shared" si="0"/>
        <v>0</v>
      </c>
    </row>
    <row r="65" spans="2:6">
      <c r="B65" t="s">
        <v>1761</v>
      </c>
      <c r="C65">
        <f>( TAILTHK8_CLOSE_Q * TAILTHK8_CLOSE_CF + TAILTHK8_UNDERFLOW_Q * TAILTHK8_UNDERFLOW_CF)</f>
        <v>4525680.3909483515</v>
      </c>
      <c r="D65" s="14" t="s">
        <v>22</v>
      </c>
      <c r="E65">
        <f>(TAILTHK8_OPEN_Q * TAILTHK8_OPEN_CF + DI150_TAILTHK8_Q * DI150_TAILTHK8_CF )</f>
        <v>53.824268115779574</v>
      </c>
      <c r="F65" t="b">
        <f t="shared" si="0"/>
        <v>0</v>
      </c>
    </row>
    <row r="66" spans="2:6">
      <c r="B66" t="s">
        <v>1762</v>
      </c>
      <c r="C66">
        <f>( TAILTHK8_CLOSE_Q + TAILTHK8_UNDERFLOW_Q)</f>
        <v>19792.189033799994</v>
      </c>
      <c r="D66" s="14" t="s">
        <v>22</v>
      </c>
      <c r="E66">
        <f>(TAILTHK8_OPEN_Q + DI150_TAILTHK8_Q )</f>
        <v>19792.189033799994</v>
      </c>
      <c r="F66" t="b">
        <f t="shared" si="0"/>
        <v>1</v>
      </c>
    </row>
    <row r="67" spans="2:6">
      <c r="B67" t="s">
        <v>1763</v>
      </c>
      <c r="C67">
        <f>( TAILTHK8_TOTVOL_CLOSE_Q)</f>
        <v>89291.287670000005</v>
      </c>
      <c r="D67" s="14" t="s">
        <v>22</v>
      </c>
      <c r="E67">
        <f>(TAILTHK8_TOTVOL_OPEN_Q )</f>
        <v>89291.287670000005</v>
      </c>
      <c r="F67" t="b">
        <f t="shared" si="0"/>
        <v>1</v>
      </c>
    </row>
    <row r="68" spans="2:6">
      <c r="B68" t="s">
        <v>1764</v>
      </c>
      <c r="C68">
        <f>( TAILTHK8_CLOSE_Q * TAILTHK8_CLOSE_WF + TAILTHK8_OVERFLOW_Q + TAILTHK8_UNDERFLOW_Q * TAILTHK8_UNDERFLOW_WF)</f>
        <v>111319.11250348203</v>
      </c>
      <c r="D68" s="14" t="s">
        <v>22</v>
      </c>
      <c r="E68">
        <f>(TAILTHK8_OPEN_Q * TAILTHK8_OPEN_WF + DI150_TAILTHK8_Q * DI150_TAILTHK8_WF )</f>
        <v>111319.11250244561</v>
      </c>
      <c r="F68" t="b">
        <f t="shared" ref="F68:F131" si="1">C68=E68</f>
        <v>0</v>
      </c>
    </row>
    <row r="69" spans="2:6">
      <c r="B69" t="s">
        <v>1765</v>
      </c>
      <c r="C69">
        <f>( TAILTHK_OVERFLOW_Q)</f>
        <v>146732.37125253942</v>
      </c>
      <c r="D69" s="14" t="s">
        <v>22</v>
      </c>
      <c r="E69">
        <f>(TAILTHK7_OVERFLOW_Q + TAILTHK6_OVERFLOW_Q + TAILTHK8_OVERFLOW_Q )</f>
        <v>146732.37125253939</v>
      </c>
      <c r="F69" t="b">
        <f t="shared" si="1"/>
        <v>1</v>
      </c>
    </row>
    <row r="70" spans="2:6">
      <c r="B70" t="s">
        <v>1766</v>
      </c>
      <c r="C70">
        <f>( TANK_CLOSE_Q + H2ODISCHARGE_Q + H2OPROCESSTOTAL_Q)</f>
        <v>202749.10958882509</v>
      </c>
      <c r="D70" s="14" t="s">
        <v>22</v>
      </c>
      <c r="E70">
        <f>(TANK_OPEN_Q + H2O_RECOVERED_Q + RO_TANK_Q + TK83_TANK_Q )</f>
        <v>202749.10958882509</v>
      </c>
      <c r="F70" t="b">
        <f t="shared" si="1"/>
        <v>1</v>
      </c>
    </row>
    <row r="71" spans="2:6">
      <c r="B71" t="s">
        <v>1767</v>
      </c>
      <c r="C71">
        <f>( TK10_TK11_Q)</f>
        <v>26849.40981859613</v>
      </c>
      <c r="D71" s="14" t="s">
        <v>22</v>
      </c>
      <c r="E71">
        <f>(POND_RECVR_Q )</f>
        <v>26849.40981859613</v>
      </c>
      <c r="F71" t="b">
        <f t="shared" si="1"/>
        <v>1</v>
      </c>
    </row>
    <row r="72" spans="2:6">
      <c r="B72" t="s">
        <v>1768</v>
      </c>
      <c r="C72">
        <f>( H2O_RECOVERED_Q)</f>
        <v>173007.07544610626</v>
      </c>
      <c r="D72" s="14" t="s">
        <v>22</v>
      </c>
      <c r="E72">
        <f>(TK10_TK11_Q + CONCTHK_OVERFLOW_Q + TAILTHK_OVERFLOW_Q )</f>
        <v>173007.07544610632</v>
      </c>
      <c r="F72" t="b">
        <f t="shared" si="1"/>
        <v>1</v>
      </c>
    </row>
    <row r="73" spans="2:6">
      <c r="B73" t="s">
        <v>1769</v>
      </c>
      <c r="C73">
        <f>( TK140_TK165_Q * TK140_TK165_CF)</f>
        <v>1020747.5324708193</v>
      </c>
      <c r="D73" s="14" t="s">
        <v>22</v>
      </c>
      <c r="E73">
        <f>(TAILTHK8_UNDERFLOW_Q * TAILTHK8_UNDERFLOW_CF + TAILTHK7_UNDERFLOW_Q * TAILTHK7_UNDERFLOW_CF )</f>
        <v>672876.55770982394</v>
      </c>
      <c r="F73" t="b">
        <f t="shared" si="1"/>
        <v>0</v>
      </c>
    </row>
    <row r="74" spans="2:6">
      <c r="B74" t="s">
        <v>1770</v>
      </c>
      <c r="C74">
        <f>( TK140_TK165_Q)</f>
        <v>62071.879647571623</v>
      </c>
      <c r="D74" s="14" t="s">
        <v>22</v>
      </c>
      <c r="E74">
        <f>(TAILTHK7_UNDERFLOW_Q + TAILTHK8_UNDERFLOW_Q )</f>
        <v>62071.879647571623</v>
      </c>
      <c r="F74" t="b">
        <f t="shared" si="1"/>
        <v>1</v>
      </c>
    </row>
    <row r="75" spans="2:6">
      <c r="B75" t="s">
        <v>1771</v>
      </c>
      <c r="C75">
        <f>( TK140_TK165_Q * TK140_TK165_WF)</f>
        <v>44971.365484488844</v>
      </c>
      <c r="D75" s="14" t="s">
        <v>22</v>
      </c>
      <c r="E75">
        <f>(TAILTHK7_UNDERFLOW_Q * TAILTHK7_UNDERFLOW_WF + TAILTHK8_UNDERFLOW_Q * TAILTHK8_UNDERFLOW_WF )</f>
        <v>44970.790577038439</v>
      </c>
      <c r="F75" t="b">
        <f t="shared" si="1"/>
        <v>0</v>
      </c>
    </row>
    <row r="76" spans="2:6">
      <c r="B76" t="s">
        <v>1772</v>
      </c>
      <c r="C76">
        <f>( TAILPOND_Q * TAILPOND_CF)</f>
        <v>-235603266.73481768</v>
      </c>
      <c r="D76" s="14" t="s">
        <v>22</v>
      </c>
      <c r="E76">
        <f>(TAILTHK6_UNDERFLOW_Q * TAILTHK6_UNDERFLOW_CF + TK140_TK165_Q * TK140_TK165_CF )</f>
        <v>-235980934.84091988</v>
      </c>
      <c r="F76" t="b">
        <f t="shared" si="1"/>
        <v>0</v>
      </c>
    </row>
    <row r="77" spans="2:6">
      <c r="B77" t="s">
        <v>1773</v>
      </c>
      <c r="C77">
        <f>( TAILPOND_Q)</f>
        <v>39913.594305772909</v>
      </c>
      <c r="D77" s="14" t="s">
        <v>22</v>
      </c>
      <c r="E77">
        <f>(TAILTHK6_UNDERFLOW_Q + TK140_TK165_Q )</f>
        <v>39913.594305772909</v>
      </c>
      <c r="F77" t="b">
        <f t="shared" si="1"/>
        <v>1</v>
      </c>
    </row>
    <row r="78" spans="2:6">
      <c r="B78" t="s">
        <v>1774</v>
      </c>
      <c r="C78">
        <f>( TAILPOND_Q * TAILPOND_WF)</f>
        <v>25469.259031937327</v>
      </c>
      <c r="D78" s="14" t="s">
        <v>22</v>
      </c>
      <c r="E78">
        <f>(TAILTHK6_UNDERFLOW_Q * TAILTHK6_UNDERFLOW_WF + TK140_TK165_Q * TK140_TK165_WF )</f>
        <v>25469.859077866106</v>
      </c>
      <c r="F78" t="b">
        <f t="shared" si="1"/>
        <v>0</v>
      </c>
    </row>
    <row r="79" spans="2:6">
      <c r="B79" t="s">
        <v>1775</v>
      </c>
      <c r="C79">
        <f>( TK23_CLOSE_Q * TK23_CLOSE_CF + TK23_DI105_Q * TK23_DI105_CF)</f>
        <v>0</v>
      </c>
      <c r="D79" s="14" t="s">
        <v>22</v>
      </c>
      <c r="E79">
        <f>(TK23_OPEN_Q * TK23_OPEN_CF + CONCTHK_TK23_Q * CONCTHK_TK23_CF )</f>
        <v>0</v>
      </c>
      <c r="F79" t="b">
        <f t="shared" si="1"/>
        <v>1</v>
      </c>
    </row>
    <row r="80" spans="2:6">
      <c r="B80" t="s">
        <v>1776</v>
      </c>
      <c r="C80">
        <f>( TK23_CLOSE_Q + TK23_DI105_Q)</f>
        <v>0</v>
      </c>
      <c r="D80" s="14" t="s">
        <v>22</v>
      </c>
      <c r="E80">
        <f>(TK23_OPEN_Q + CONCTHK_TK23_Q )</f>
        <v>0</v>
      </c>
      <c r="F80" t="b">
        <f t="shared" si="1"/>
        <v>1</v>
      </c>
    </row>
    <row r="81" spans="2:6">
      <c r="B81" t="s">
        <v>1777</v>
      </c>
      <c r="C81">
        <f>( TK23_CLOSE_Q * TK23_CLOSE_WF + TK23_DI105_Q * TK23_DI105_WF)</f>
        <v>0</v>
      </c>
      <c r="D81" s="14" t="s">
        <v>22</v>
      </c>
      <c r="E81">
        <f>(TK23_OPEN_Q * TK23_OPEN_WF + CONCTHK_TK23_Q * CONCTHK_TK23_WF )</f>
        <v>0</v>
      </c>
      <c r="F81" t="b">
        <f t="shared" si="1"/>
        <v>1</v>
      </c>
    </row>
    <row r="82" spans="2:6">
      <c r="B82" t="s">
        <v>1778</v>
      </c>
      <c r="C82">
        <f>( TK24_CLOSE_Q * TK24_CLOSE_CF + TK24_DI105_Q * TK24_DI105_CF)</f>
        <v>0</v>
      </c>
      <c r="D82" s="14" t="s">
        <v>22</v>
      </c>
      <c r="E82">
        <f>(TK24_OPEN_Q * TK24_OPEN_CF + CONCTHK_TK24_Q * CONCTHK_TK24_CF )</f>
        <v>0</v>
      </c>
      <c r="F82" t="b">
        <f t="shared" si="1"/>
        <v>1</v>
      </c>
    </row>
    <row r="83" spans="2:6">
      <c r="B83" t="s">
        <v>1779</v>
      </c>
      <c r="C83">
        <f>( TK24_CLOSE_Q + TK24_DI105_Q)</f>
        <v>0</v>
      </c>
      <c r="D83" s="14" t="s">
        <v>22</v>
      </c>
      <c r="E83">
        <f>(TK24_OPEN_Q + CONCTHK_TK24_Q )</f>
        <v>0</v>
      </c>
      <c r="F83" t="b">
        <f t="shared" si="1"/>
        <v>1</v>
      </c>
    </row>
    <row r="84" spans="2:6">
      <c r="B84" t="s">
        <v>1780</v>
      </c>
      <c r="C84">
        <f>( TK24_CLOSE_Q * TK24_CLOSE_WF + TK24_DI105_Q * TK24_DI105_WF)</f>
        <v>0</v>
      </c>
      <c r="D84" s="14" t="s">
        <v>22</v>
      </c>
      <c r="E84">
        <f>(TK24_OPEN_Q * TK24_OPEN_WF + CONCTHK_TK24_Q * CONCTHK_TK24_WF )</f>
        <v>0</v>
      </c>
      <c r="F84" t="b">
        <f t="shared" si="1"/>
        <v>1</v>
      </c>
    </row>
    <row r="85" spans="2:6">
      <c r="B85" t="s">
        <v>1781</v>
      </c>
      <c r="C85">
        <f>( TK25_CLOSE_Q * TK25_CLOSE_CF + TK25_DI105_Q * TK25_DI105_CF)</f>
        <v>1168.3177502919389</v>
      </c>
      <c r="D85" s="14" t="s">
        <v>22</v>
      </c>
      <c r="E85">
        <f>(TK25_OPEN_Q * TK25_OPEN_CF + CONCTHK_TK25_Q * CONCTHK_TK25_CF )</f>
        <v>1169.124234243659</v>
      </c>
      <c r="F85" t="b">
        <f t="shared" si="1"/>
        <v>0</v>
      </c>
    </row>
    <row r="86" spans="2:6">
      <c r="B86" t="s">
        <v>1782</v>
      </c>
      <c r="C86">
        <f>( TK25_CLOSE_Q + TK25_DI105_Q)</f>
        <v>3238.9458431457074</v>
      </c>
      <c r="D86" s="14" t="s">
        <v>22</v>
      </c>
      <c r="E86">
        <f>(TK25_OPEN_Q + CONCTHK_TK25_Q )</f>
        <v>3238.9458431457074</v>
      </c>
      <c r="F86" t="b">
        <f t="shared" si="1"/>
        <v>1</v>
      </c>
    </row>
    <row r="87" spans="2:6">
      <c r="B87" t="s">
        <v>1783</v>
      </c>
      <c r="C87">
        <f>( TK25_CLOSE_Q * TK25_CLOSE_WF + TK25_DI105_Q * TK25_DI105_WF)</f>
        <v>1506.4427022492641</v>
      </c>
      <c r="D87" s="14" t="s">
        <v>22</v>
      </c>
      <c r="E87">
        <f>(TK25_OPEN_Q * TK25_OPEN_WF + CONCTHK_TK25_Q * CONCTHK_TK25_WF )</f>
        <v>1506.313184191607</v>
      </c>
      <c r="F87" t="b">
        <f t="shared" si="1"/>
        <v>0</v>
      </c>
    </row>
    <row r="88" spans="2:6">
      <c r="B88" t="s">
        <v>1784</v>
      </c>
      <c r="C88">
        <f>( TK26_CLOSE_Q * TK26_CLOSE_CF + TK26_DI105_Q * TK26_DI105_CF)</f>
        <v>889.24980357572497</v>
      </c>
      <c r="D88" s="14" t="s">
        <v>22</v>
      </c>
      <c r="E88">
        <f>(TK26_OPEN_Q * TK26_OPEN_CF + CONCTHK_TK26_Q * CONCTHK_TK26_CF )</f>
        <v>889.21498220742683</v>
      </c>
      <c r="F88" t="b">
        <f t="shared" si="1"/>
        <v>0</v>
      </c>
    </row>
    <row r="89" spans="2:6">
      <c r="B89" t="s">
        <v>1785</v>
      </c>
      <c r="C89">
        <f>( TK26_CLOSE_Q + TK26_DI105_Q)</f>
        <v>2626.660093959093</v>
      </c>
      <c r="D89" s="14" t="s">
        <v>22</v>
      </c>
      <c r="E89">
        <f>(TK26_OPEN_Q + CONCTHK_TK26_Q )</f>
        <v>2626.6600939590935</v>
      </c>
      <c r="F89" t="b">
        <f t="shared" si="1"/>
        <v>1</v>
      </c>
    </row>
    <row r="90" spans="2:6">
      <c r="B90" t="s">
        <v>1786</v>
      </c>
      <c r="C90">
        <f>( TK26_CLOSE_Q * TK26_CLOSE_WF + TK26_DI105_Q * TK26_DI105_WF)</f>
        <v>1246.0414950192833</v>
      </c>
      <c r="D90" s="14" t="s">
        <v>22</v>
      </c>
      <c r="E90">
        <f>(TK26_OPEN_Q * TK26_OPEN_WF + CONCTHK_TK26_Q * CONCTHK_TK26_WF )</f>
        <v>1245.9660856974619</v>
      </c>
      <c r="F90" t="b">
        <f t="shared" si="1"/>
        <v>0</v>
      </c>
    </row>
    <row r="91" spans="2:6">
      <c r="B91" t="s">
        <v>1787</v>
      </c>
      <c r="C91">
        <f>( H2OSEAL_DI30_Q + TK83_D25_Q + TK83_MB2_Q + H2OSEAL_REM_1_Q + TK83_D20_Q + TK83_MB3_Q + TK83_MB1_Q + H2OSEAL_REM_2_Q + H2OSEAL_1CLN_Q)</f>
        <v>16431.899487635452</v>
      </c>
      <c r="D91" s="14" t="s">
        <v>22</v>
      </c>
      <c r="E91">
        <f>(H2OSEAL_Q )</f>
        <v>16431.899487635455</v>
      </c>
      <c r="F91" t="b">
        <f t="shared" si="1"/>
        <v>1</v>
      </c>
    </row>
    <row r="92" spans="2:6">
      <c r="B92" t="s">
        <v>1788</v>
      </c>
      <c r="C92">
        <f>( TK83_CLOSE_Q + TK83_CHIL_Q + H2OSEAL_Q + PLANTA_RO_FEED_Q + TK83_TANK_Q)</f>
        <v>-6598.3152664205154</v>
      </c>
      <c r="D92" s="14" t="s">
        <v>22</v>
      </c>
      <c r="E92">
        <f>(TK83_OPEN_Q + H2OFRESH_TK83_Q )</f>
        <v>-6598.315266420519</v>
      </c>
      <c r="F92" t="b">
        <f t="shared" si="1"/>
        <v>1</v>
      </c>
    </row>
    <row r="93" spans="2:6">
      <c r="B93" t="s">
        <v>1789</v>
      </c>
      <c r="C93">
        <f>( ( CONCTHK21_TOTVOL_CLOSE_Q  ))</f>
        <v>5086</v>
      </c>
      <c r="D93" s="14" t="s">
        <v>22</v>
      </c>
      <c r="E93">
        <f>(( 0.239 * CONCTHK21_CLOSE_Q  + CONCTHK21_CLOSE_Q * CONCTHK21_CLOSE_WF ) )</f>
        <v>5085.999995625888</v>
      </c>
      <c r="F93" t="b">
        <f t="shared" si="1"/>
        <v>0</v>
      </c>
    </row>
    <row r="94" spans="2:6">
      <c r="B94" t="s">
        <v>1790</v>
      </c>
      <c r="C94">
        <f>( ( 500 * CONCTHK21_OPEN_CF + 500 * CONCTHK21_CLOSE_CF ))</f>
        <v>0</v>
      </c>
      <c r="D94" s="14" t="s">
        <v>22</v>
      </c>
      <c r="E94">
        <f>(( 1000 * CONCTHK21_PP51_CF ) )</f>
        <v>-3.3195960467221399E-32</v>
      </c>
      <c r="F94" t="b">
        <f t="shared" si="1"/>
        <v>0</v>
      </c>
    </row>
    <row r="95" spans="2:6">
      <c r="B95" t="s">
        <v>1791</v>
      </c>
      <c r="C95">
        <f>( ( 500 * CONCTHK21_CLOSE_CF + 500 * CONCTHK21_OPEN_CF ))</f>
        <v>0</v>
      </c>
      <c r="D95" s="14" t="s">
        <v>22</v>
      </c>
      <c r="E95">
        <f>(( 1000 * CONCTHK21_PP52_CF ) )</f>
        <v>3.5199002841022577E-31</v>
      </c>
      <c r="F95" t="b">
        <f t="shared" si="1"/>
        <v>0</v>
      </c>
    </row>
    <row r="96" spans="2:6">
      <c r="B96" t="s">
        <v>1792</v>
      </c>
      <c r="C96">
        <f>( ( CONCTHK22_TOTVOL_CLOSE_Q  ))</f>
        <v>5086</v>
      </c>
      <c r="D96" s="14" t="s">
        <v>22</v>
      </c>
      <c r="E96">
        <f>(( CONCTHK22_CLOSE_Q * CONCTHK22_CLOSE_WF + 0.239 * CONCTHK22_CLOSE_Q  ) )</f>
        <v>5085.9999999959564</v>
      </c>
      <c r="F96" t="b">
        <f t="shared" si="1"/>
        <v>0</v>
      </c>
    </row>
    <row r="97" spans="2:6">
      <c r="B97" t="s">
        <v>1793</v>
      </c>
      <c r="C97">
        <f>( ( 500 * CONCTHK22_OPEN_CF + 500 * CONCTHK22_CLOSE_CF ))</f>
        <v>-1845.2204804600915</v>
      </c>
      <c r="D97" s="14" t="s">
        <v>22</v>
      </c>
      <c r="E97">
        <f>(( 1000 * CONCTHK22_PP53_CF ) )</f>
        <v>-1845.2204804600917</v>
      </c>
      <c r="F97" t="b">
        <f t="shared" si="1"/>
        <v>1</v>
      </c>
    </row>
    <row r="98" spans="2:6">
      <c r="B98" t="s">
        <v>1794</v>
      </c>
      <c r="C98">
        <f>( ( 500 * CONCTHK22_CLOSE_CF + 500 * CONCTHK22_OPEN_CF ))</f>
        <v>-1845.2204804600915</v>
      </c>
      <c r="D98" s="14" t="s">
        <v>22</v>
      </c>
      <c r="E98">
        <f>(( 1000 * CONCTHK22_PP54_CF ) )</f>
        <v>-1845.2204804600915</v>
      </c>
      <c r="F98" t="b">
        <f t="shared" si="1"/>
        <v>1</v>
      </c>
    </row>
    <row r="99" spans="2:6">
      <c r="B99" t="s">
        <v>1795</v>
      </c>
      <c r="C99">
        <f>( ( 10000 * DI101_CONCTHK21_CF ))</f>
        <v>-28754.088366121832</v>
      </c>
      <c r="D99" s="14" t="s">
        <v>22</v>
      </c>
      <c r="E99">
        <f>(( 10000 * DI101_TOTAL_CF ) )</f>
        <v>-28754.088366121832</v>
      </c>
      <c r="F99" t="b">
        <f t="shared" si="1"/>
        <v>1</v>
      </c>
    </row>
    <row r="100" spans="2:6">
      <c r="B100" t="s">
        <v>1796</v>
      </c>
      <c r="C100">
        <f>( ( 10000 * DI101_CONCTHK22_CF ))</f>
        <v>-28754.088366121836</v>
      </c>
      <c r="D100" s="14" t="s">
        <v>22</v>
      </c>
      <c r="E100">
        <f>(( 10000 * DI101_TOTAL_CF ) )</f>
        <v>-28754.088366121832</v>
      </c>
      <c r="F100" t="b">
        <f t="shared" si="1"/>
        <v>1</v>
      </c>
    </row>
    <row r="101" spans="2:6">
      <c r="B101" t="s">
        <v>1797</v>
      </c>
      <c r="C101">
        <f>( ( 10000 * DI101_CONCTHK21_WF ))</f>
        <v>706.09263141655856</v>
      </c>
      <c r="D101" s="14" t="s">
        <v>22</v>
      </c>
      <c r="E101">
        <f>(( 10000 * DI101_TOTAL_WF ) )</f>
        <v>706.09263141655856</v>
      </c>
      <c r="F101" t="b">
        <f t="shared" si="1"/>
        <v>1</v>
      </c>
    </row>
    <row r="102" spans="2:6">
      <c r="B102" t="s">
        <v>1798</v>
      </c>
      <c r="C102">
        <f>( ( 10000 * DI101_CONCTHK22_WF ))</f>
        <v>706.09263141655856</v>
      </c>
      <c r="D102" s="14" t="s">
        <v>22</v>
      </c>
      <c r="E102">
        <f>(( 10000 * DI101_TOTAL_WF ) )</f>
        <v>706.09263141655856</v>
      </c>
      <c r="F102" t="b">
        <f t="shared" si="1"/>
        <v>1</v>
      </c>
    </row>
    <row r="103" spans="2:6">
      <c r="B103" t="s">
        <v>1799</v>
      </c>
      <c r="C103">
        <f>( ( 1000 * CONCTHK_TKC_CF ))</f>
        <v>306.91830920299674</v>
      </c>
      <c r="D103" s="14" t="s">
        <v>22</v>
      </c>
      <c r="E103">
        <f>(( 1000 * CONCTHK_TK23_CF ) )</f>
        <v>306.91830920299674</v>
      </c>
      <c r="F103" t="b">
        <f t="shared" si="1"/>
        <v>1</v>
      </c>
    </row>
    <row r="104" spans="2:6">
      <c r="B104" t="s">
        <v>1800</v>
      </c>
      <c r="C104">
        <f>( ( 1000 * CONCTHK_TKC_WF ))</f>
        <v>501.59045914399059</v>
      </c>
      <c r="D104" s="14" t="s">
        <v>22</v>
      </c>
      <c r="E104">
        <f>(( 1000 * CONCTHK_TK23_WF ) )</f>
        <v>501.59045914399059</v>
      </c>
      <c r="F104" t="b">
        <f t="shared" si="1"/>
        <v>1</v>
      </c>
    </row>
    <row r="105" spans="2:6">
      <c r="B105" t="s">
        <v>1801</v>
      </c>
      <c r="C105">
        <f>( ( 1000 * CONCTHK_TKC_CF ))</f>
        <v>306.91830920299674</v>
      </c>
      <c r="D105" s="14" t="s">
        <v>22</v>
      </c>
      <c r="E105">
        <f>(( 1000 * CONCTHK_TK24_CF ) )</f>
        <v>306.91830920299674</v>
      </c>
      <c r="F105" t="b">
        <f t="shared" si="1"/>
        <v>1</v>
      </c>
    </row>
    <row r="106" spans="2:6">
      <c r="B106" t="s">
        <v>1802</v>
      </c>
      <c r="C106">
        <f>( ( 1000 * CONCTHK_TKC_WF ))</f>
        <v>501.59045914399059</v>
      </c>
      <c r="D106" s="14" t="s">
        <v>22</v>
      </c>
      <c r="E106">
        <f>(( 1000 * CONCTHK_TK24_WF ) )</f>
        <v>501.59045914399059</v>
      </c>
      <c r="F106" t="b">
        <f t="shared" si="1"/>
        <v>1</v>
      </c>
    </row>
    <row r="107" spans="2:6">
      <c r="B107" t="s">
        <v>1803</v>
      </c>
      <c r="C107">
        <f>( ( 1000 * CONCTHK_TKC_CF ))</f>
        <v>306.91830920299674</v>
      </c>
      <c r="D107" s="14" t="s">
        <v>22</v>
      </c>
      <c r="E107">
        <f>(( 1000 * CONCTHK_TK25_CF ) )</f>
        <v>306.91830920299674</v>
      </c>
      <c r="F107" t="b">
        <f t="shared" si="1"/>
        <v>1</v>
      </c>
    </row>
    <row r="108" spans="2:6">
      <c r="B108" t="s">
        <v>1804</v>
      </c>
      <c r="C108">
        <f>( ( 1000 * CONCTHK_TKC_WF ))</f>
        <v>501.59045914399059</v>
      </c>
      <c r="D108" s="14" t="s">
        <v>22</v>
      </c>
      <c r="E108">
        <f>(( 1000 * CONCTHK_TK25_WF ) )</f>
        <v>501.59045914399059</v>
      </c>
      <c r="F108" t="b">
        <f t="shared" si="1"/>
        <v>1</v>
      </c>
    </row>
    <row r="109" spans="2:6">
      <c r="B109" t="s">
        <v>1805</v>
      </c>
      <c r="C109">
        <f>( ( 1000 * CONCTHK_TKC_CF ))</f>
        <v>306.91830920299674</v>
      </c>
      <c r="D109" s="14" t="s">
        <v>22</v>
      </c>
      <c r="E109">
        <f>(( 1000 * CONCTHK_TK26_CF ) )</f>
        <v>306.91830920299674</v>
      </c>
      <c r="F109" t="b">
        <f t="shared" si="1"/>
        <v>1</v>
      </c>
    </row>
    <row r="110" spans="2:6">
      <c r="B110" t="s">
        <v>1806</v>
      </c>
      <c r="C110">
        <f>( ( 1000 * CONCTHK_TKC_WF ))</f>
        <v>501.59045914399059</v>
      </c>
      <c r="D110" s="14" t="s">
        <v>22</v>
      </c>
      <c r="E110">
        <f>(( 1000 * CONCTHK_TK26_WF ) )</f>
        <v>501.59045914399059</v>
      </c>
      <c r="F110" t="b">
        <f t="shared" si="1"/>
        <v>1</v>
      </c>
    </row>
    <row r="111" spans="2:6">
      <c r="B111" t="s">
        <v>1807</v>
      </c>
      <c r="C111">
        <f>( ( 10000 * DI150_TAILTHK6_CF ))</f>
        <v>30.994999999999997</v>
      </c>
      <c r="D111" s="14" t="s">
        <v>22</v>
      </c>
      <c r="E111">
        <f>(( 10000 * TAILS_CF ) )</f>
        <v>30.994999999999997</v>
      </c>
      <c r="F111" t="b">
        <f t="shared" si="1"/>
        <v>1</v>
      </c>
    </row>
    <row r="112" spans="2:6">
      <c r="B112" t="s">
        <v>1808</v>
      </c>
      <c r="C112">
        <f>( ( 10000 * DI150_TAILTHK7_CF ))</f>
        <v>30.994999999999997</v>
      </c>
      <c r="D112" s="14" t="s">
        <v>22</v>
      </c>
      <c r="E112">
        <f>(( 10000 * TAILS_CF ) )</f>
        <v>30.994999999999997</v>
      </c>
      <c r="F112" t="b">
        <f t="shared" si="1"/>
        <v>1</v>
      </c>
    </row>
    <row r="113" spans="2:6">
      <c r="B113" t="s">
        <v>1809</v>
      </c>
      <c r="C113">
        <f>( ( 10000 * DI150_TAILTHK8_CF ))</f>
        <v>30.994999999999997</v>
      </c>
      <c r="D113" s="14" t="s">
        <v>22</v>
      </c>
      <c r="E113">
        <f>(( 10000 * TAILS_CF ) )</f>
        <v>30.994999999999997</v>
      </c>
      <c r="F113" t="b">
        <f t="shared" si="1"/>
        <v>1</v>
      </c>
    </row>
    <row r="114" spans="2:6">
      <c r="B114" t="s">
        <v>1810</v>
      </c>
      <c r="C114">
        <f>( ( 10000 * DI150_TAILTHK6_WF ))</f>
        <v>28759.999896832454</v>
      </c>
      <c r="D114" s="14" t="s">
        <v>22</v>
      </c>
      <c r="E114">
        <f>(( 10000 * TAILS_WF ) )</f>
        <v>28759.999896832454</v>
      </c>
      <c r="F114" t="b">
        <f t="shared" si="1"/>
        <v>1</v>
      </c>
    </row>
    <row r="115" spans="2:6">
      <c r="B115" t="s">
        <v>1811</v>
      </c>
      <c r="C115">
        <f>( ( 10000 * DI150_TAILTHK7_WF ))</f>
        <v>28759.999896832454</v>
      </c>
      <c r="D115" s="14" t="s">
        <v>22</v>
      </c>
      <c r="E115">
        <f>(( 10000 * TAILS_WF ) )</f>
        <v>28759.999896832454</v>
      </c>
      <c r="F115" t="b">
        <f t="shared" si="1"/>
        <v>1</v>
      </c>
    </row>
    <row r="116" spans="2:6">
      <c r="B116" t="s">
        <v>1812</v>
      </c>
      <c r="C116">
        <f>( ( 10000 * DI150_TAILTHK8_WF ))</f>
        <v>28759.999896832454</v>
      </c>
      <c r="D116" s="14" t="s">
        <v>22</v>
      </c>
      <c r="E116">
        <f>(( 10000 * TAILS_WF ) )</f>
        <v>28759.999896832454</v>
      </c>
      <c r="F116" t="b">
        <f t="shared" si="1"/>
        <v>1</v>
      </c>
    </row>
    <row r="117" spans="2:6">
      <c r="B117" t="s">
        <v>1813</v>
      </c>
      <c r="C117">
        <f>( ( PIPE_TKCLC_CF ))</f>
        <v>0.36152700729932896</v>
      </c>
      <c r="D117" s="14" t="s">
        <v>22</v>
      </c>
      <c r="E117">
        <f>(( PIPELINE_CLOSE_CF ) )</f>
        <v>0.36152700729932896</v>
      </c>
      <c r="F117" t="b">
        <f t="shared" si="1"/>
        <v>1</v>
      </c>
    </row>
    <row r="118" spans="2:6">
      <c r="B118" t="s">
        <v>1814</v>
      </c>
      <c r="C118">
        <f>( ( PIPE_TKCLC_WF ))</f>
        <v>0.46177965094751749</v>
      </c>
      <c r="D118" s="14" t="s">
        <v>22</v>
      </c>
      <c r="E118">
        <f>(( PIPELINE_CLOSE_WF ) )</f>
        <v>0.46177965094751749</v>
      </c>
      <c r="F118" t="b">
        <f t="shared" si="1"/>
        <v>1</v>
      </c>
    </row>
    <row r="119" spans="2:6">
      <c r="B119" t="s">
        <v>1815</v>
      </c>
      <c r="C119">
        <f>( ( 1000 * CONCTHK21_PP51_CF ))</f>
        <v>-3.3195960467221399E-32</v>
      </c>
      <c r="D119" s="14" t="s">
        <v>22</v>
      </c>
      <c r="E119">
        <f>(( 1000 * PP51_DI104_CF ) )</f>
        <v>419.59999999999997</v>
      </c>
      <c r="F119" t="b">
        <f t="shared" si="1"/>
        <v>0</v>
      </c>
    </row>
    <row r="120" spans="2:6">
      <c r="B120" t="s">
        <v>1816</v>
      </c>
      <c r="C120">
        <f>( ( 1000 * CONCTHK21_PP51_CF ))</f>
        <v>-3.3195960467221399E-32</v>
      </c>
      <c r="D120" s="14" t="s">
        <v>22</v>
      </c>
      <c r="E120">
        <f>(( 1000 * PP51_DI101_CF ) )</f>
        <v>0</v>
      </c>
      <c r="F120" t="b">
        <f t="shared" si="1"/>
        <v>0</v>
      </c>
    </row>
    <row r="121" spans="2:6">
      <c r="B121" t="s">
        <v>1817</v>
      </c>
      <c r="C121">
        <f>( ( 1000 * CONCTHK21_PP51_WF ))</f>
        <v>0</v>
      </c>
      <c r="D121" s="14" t="s">
        <v>22</v>
      </c>
      <c r="E121">
        <f>(( 1000 * PP51_DI104_WF ) )</f>
        <v>3.8036782780499559E-46</v>
      </c>
      <c r="F121" t="b">
        <f t="shared" si="1"/>
        <v>0</v>
      </c>
    </row>
    <row r="122" spans="2:6">
      <c r="B122" t="s">
        <v>1818</v>
      </c>
      <c r="C122">
        <f>( ( 1000 * CONCTHK21_PP51_WF ))</f>
        <v>0</v>
      </c>
      <c r="D122" s="14" t="s">
        <v>22</v>
      </c>
      <c r="E122">
        <f>(( 1000 * PP51_DI101_WF ) )</f>
        <v>0</v>
      </c>
      <c r="F122" t="b">
        <f t="shared" si="1"/>
        <v>1</v>
      </c>
    </row>
    <row r="123" spans="2:6">
      <c r="B123" t="s">
        <v>1819</v>
      </c>
      <c r="C123">
        <f>( ( 1000 * CONCTHK21_PP52_CF ))</f>
        <v>3.5199002841022577E-31</v>
      </c>
      <c r="D123" s="14" t="s">
        <v>22</v>
      </c>
      <c r="E123">
        <f>(( 1000 * PP52_DI104_CF ) )</f>
        <v>-2.2578895490594498E-31</v>
      </c>
      <c r="F123" t="b">
        <f t="shared" si="1"/>
        <v>0</v>
      </c>
    </row>
    <row r="124" spans="2:6">
      <c r="B124" t="s">
        <v>1820</v>
      </c>
      <c r="C124">
        <f>( ( 1000 * CONCTHK21_PP52_CF ))</f>
        <v>3.5199002841022577E-31</v>
      </c>
      <c r="D124" s="14" t="s">
        <v>22</v>
      </c>
      <c r="E124">
        <f>(( 1000 * PP52_DI101_CF ) )</f>
        <v>1.0731793225267156E-30</v>
      </c>
      <c r="F124" t="b">
        <f t="shared" si="1"/>
        <v>0</v>
      </c>
    </row>
    <row r="125" spans="2:6">
      <c r="B125" t="s">
        <v>1821</v>
      </c>
      <c r="C125">
        <f>( ( 1000 * CONCTHK21_PP52_WF ))</f>
        <v>439.59999999999997</v>
      </c>
      <c r="D125" s="14" t="s">
        <v>22</v>
      </c>
      <c r="E125">
        <f>(( 1000 * PP52_DI104_WF ) )</f>
        <v>439.59999999999997</v>
      </c>
      <c r="F125" t="b">
        <f t="shared" si="1"/>
        <v>1</v>
      </c>
    </row>
    <row r="126" spans="2:6">
      <c r="B126" t="s">
        <v>1822</v>
      </c>
      <c r="C126">
        <f>( ( 1000 * CONCTHK21_PP52_WF ))</f>
        <v>439.59999999999997</v>
      </c>
      <c r="D126" s="14" t="s">
        <v>22</v>
      </c>
      <c r="E126">
        <f>(( 1000 * PP52_DI101_WF ) )</f>
        <v>439.59999999999997</v>
      </c>
      <c r="F126" t="b">
        <f t="shared" si="1"/>
        <v>1</v>
      </c>
    </row>
    <row r="127" spans="2:6">
      <c r="B127" t="s">
        <v>1823</v>
      </c>
      <c r="C127">
        <f>( ( 1000 * CONCTHK22_PP53_CF ))</f>
        <v>-1845.2204804600917</v>
      </c>
      <c r="D127" s="14" t="s">
        <v>22</v>
      </c>
      <c r="E127">
        <f>(( 1000 * PP53_DI104_CF ) )</f>
        <v>-1845.2204804600915</v>
      </c>
      <c r="F127" t="b">
        <f t="shared" si="1"/>
        <v>1</v>
      </c>
    </row>
    <row r="128" spans="2:6">
      <c r="B128" t="s">
        <v>1824</v>
      </c>
      <c r="C128">
        <f>( ( 1000 * CONCTHK22_PP53_CF ))</f>
        <v>-1845.2204804600917</v>
      </c>
      <c r="D128" s="14" t="s">
        <v>22</v>
      </c>
      <c r="E128">
        <f>(( 1000 * PP53_DI101_CF ) )</f>
        <v>-1845.2204804600917</v>
      </c>
      <c r="F128" t="b">
        <f t="shared" si="1"/>
        <v>1</v>
      </c>
    </row>
    <row r="129" spans="2:6">
      <c r="B129" t="s">
        <v>1825</v>
      </c>
      <c r="C129">
        <f>( ( 1000 * CONCTHK22_PP53_WF ))</f>
        <v>520.20000000000005</v>
      </c>
      <c r="D129" s="14" t="s">
        <v>22</v>
      </c>
      <c r="E129">
        <f>(( 1000 * PP53_DI104_WF ) )</f>
        <v>520.20000000000005</v>
      </c>
      <c r="F129" t="b">
        <f t="shared" si="1"/>
        <v>1</v>
      </c>
    </row>
    <row r="130" spans="2:6">
      <c r="B130" t="s">
        <v>1826</v>
      </c>
      <c r="C130">
        <f>( ( 1000 * CONCTHK22_PP53_WF ))</f>
        <v>520.20000000000005</v>
      </c>
      <c r="D130" s="14" t="s">
        <v>22</v>
      </c>
      <c r="E130">
        <f>(( 1000 * PP53_DI101_WF ) )</f>
        <v>520.20000000000005</v>
      </c>
      <c r="F130" t="b">
        <f t="shared" si="1"/>
        <v>1</v>
      </c>
    </row>
    <row r="131" spans="2:6">
      <c r="B131" t="s">
        <v>1827</v>
      </c>
      <c r="C131">
        <f>( ( 1000 * CONCTHK22_PP54_CF ))</f>
        <v>-1845.2204804600915</v>
      </c>
      <c r="D131" s="14" t="s">
        <v>22</v>
      </c>
      <c r="E131">
        <f>(( 1000 * PP54_DI104_CF ) )</f>
        <v>-1845.2204804600915</v>
      </c>
      <c r="F131" t="b">
        <f t="shared" si="1"/>
        <v>1</v>
      </c>
    </row>
    <row r="132" spans="2:6">
      <c r="B132" t="s">
        <v>1828</v>
      </c>
      <c r="C132">
        <f>( ( 1000 * CONCTHK22_PP54_CF ))</f>
        <v>-1845.2204804600915</v>
      </c>
      <c r="D132" s="14" t="s">
        <v>22</v>
      </c>
      <c r="E132">
        <f>(( 1000 * PP54_DI101_CF ) )</f>
        <v>-1845.2204804600915</v>
      </c>
      <c r="F132" t="b">
        <f t="shared" ref="F132:F148" si="2">C132=E132</f>
        <v>1</v>
      </c>
    </row>
    <row r="133" spans="2:6">
      <c r="B133" t="s">
        <v>1829</v>
      </c>
      <c r="C133">
        <f>( ( 1000 * CONCTHK22_PP54_WF ))</f>
        <v>18.898700000000002</v>
      </c>
      <c r="D133" s="14" t="s">
        <v>22</v>
      </c>
      <c r="E133">
        <f>(( 1000 * PP54_DI104_WF ) )</f>
        <v>18.898700000000002</v>
      </c>
      <c r="F133" t="b">
        <f t="shared" si="2"/>
        <v>1</v>
      </c>
    </row>
    <row r="134" spans="2:6">
      <c r="B134" t="s">
        <v>1830</v>
      </c>
      <c r="C134">
        <f>( ( 1000 * CONCTHK22_PP54_WF ))</f>
        <v>18.898700000000002</v>
      </c>
      <c r="D134" s="14" t="s">
        <v>22</v>
      </c>
      <c r="E134">
        <f>(( 1000 * PP54_DI101_WF ) )</f>
        <v>18.898700000000002</v>
      </c>
      <c r="F134" t="b">
        <f t="shared" si="2"/>
        <v>1</v>
      </c>
    </row>
    <row r="135" spans="2:6">
      <c r="B135" t="s">
        <v>1831</v>
      </c>
      <c r="C135">
        <f>( ( TAILTHK6_UNDERFLOW_CF ))</f>
        <v>10695.849372709266</v>
      </c>
      <c r="D135" s="14" t="s">
        <v>22</v>
      </c>
      <c r="E135">
        <f>(( TAILTHK6_CLOSE_CF ) )</f>
        <v>10695.849372709266</v>
      </c>
      <c r="F135" t="b">
        <f t="shared" si="2"/>
        <v>1</v>
      </c>
    </row>
    <row r="136" spans="2:6">
      <c r="B136" t="s">
        <v>1832</v>
      </c>
      <c r="C136">
        <f>( ( TAILTHK6_TOTVOL_CLOSE_Q  ))</f>
        <v>89291.287670000005</v>
      </c>
      <c r="D136" s="14" t="s">
        <v>22</v>
      </c>
      <c r="E136">
        <f>(( TAILTHK6_CLOSE_Q * TAILTHK6_CLOSE_WF + 0.3645 * TAILTHK6_CLOSE_Q  ) )</f>
        <v>89291.286283695998</v>
      </c>
      <c r="F136" t="b">
        <f t="shared" si="2"/>
        <v>0</v>
      </c>
    </row>
    <row r="137" spans="2:6">
      <c r="B137" t="s">
        <v>1833</v>
      </c>
      <c r="C137">
        <f>( ( TAILTHK7_UNDERFLOW_CF ))</f>
        <v>3.0047676034970429E-3</v>
      </c>
      <c r="D137" s="14" t="s">
        <v>22</v>
      </c>
      <c r="E137">
        <f>(( TAILTHK7_CLOSE_CF ) )</f>
        <v>3.0047676034970429E-3</v>
      </c>
      <c r="F137" t="b">
        <f t="shared" si="2"/>
        <v>1</v>
      </c>
    </row>
    <row r="138" spans="2:6">
      <c r="B138" t="s">
        <v>1834</v>
      </c>
      <c r="C138">
        <f>( ( TAILTHK7_TOTVOL_CLOSE_Q  ))</f>
        <v>89291.287670000005</v>
      </c>
      <c r="D138" s="14" t="s">
        <v>22</v>
      </c>
      <c r="E138">
        <f>(( TAILTHK7_CLOSE_Q * TAILTHK7_CLOSE_WF + 0.3645 * TAILTHK7_CLOSE_Q  ) )</f>
        <v>89291.286527146745</v>
      </c>
      <c r="F138" t="b">
        <f t="shared" si="2"/>
        <v>0</v>
      </c>
    </row>
    <row r="139" spans="2:6">
      <c r="B139" t="s">
        <v>1835</v>
      </c>
      <c r="C139">
        <f>( ( TAILTHK8_UNDERFLOW_CF ))</f>
        <v>228.6599215084116</v>
      </c>
      <c r="D139" s="14" t="s">
        <v>22</v>
      </c>
      <c r="E139">
        <f>(( TAILTHK8_CLOSE_CF ) )</f>
        <v>228.6599215084116</v>
      </c>
      <c r="F139" t="b">
        <f t="shared" si="2"/>
        <v>1</v>
      </c>
    </row>
    <row r="140" spans="2:6">
      <c r="B140" t="s">
        <v>1836</v>
      </c>
      <c r="C140">
        <f>( ( TAILTHK8_TOTVOL_CLOSE_Q  ))</f>
        <v>89291.287670000005</v>
      </c>
      <c r="D140" s="14" t="s">
        <v>22</v>
      </c>
      <c r="E140">
        <f>(( TAILTHK8_CLOSE_Q * TAILTHK8_CLOSE_WF + 0.3645 * TAILTHK8_CLOSE_Q  ) )</f>
        <v>89291.286501131501</v>
      </c>
      <c r="F140" t="b">
        <f t="shared" si="2"/>
        <v>0</v>
      </c>
    </row>
    <row r="141" spans="2:6">
      <c r="B141" t="s">
        <v>1837</v>
      </c>
      <c r="C141">
        <f>( ( TK23_DI105_CF ))</f>
        <v>0.3216</v>
      </c>
      <c r="D141" s="14" t="s">
        <v>22</v>
      </c>
      <c r="E141">
        <f>(( TK23_CLOSE_CF ) )</f>
        <v>0.3216</v>
      </c>
      <c r="F141" t="b">
        <f t="shared" si="2"/>
        <v>1</v>
      </c>
    </row>
    <row r="142" spans="2:6">
      <c r="B142" t="s">
        <v>1838</v>
      </c>
      <c r="C142">
        <f>( ( TK23_DI105_WF ))</f>
        <v>0.53920000000000001</v>
      </c>
      <c r="D142" s="14" t="s">
        <v>22</v>
      </c>
      <c r="E142">
        <f>(( TK23_CLOSE_WF ) )</f>
        <v>0.53920000000000001</v>
      </c>
      <c r="F142" t="b">
        <f t="shared" si="2"/>
        <v>1</v>
      </c>
    </row>
    <row r="143" spans="2:6">
      <c r="B143" t="s">
        <v>1839</v>
      </c>
      <c r="C143">
        <f>( ( TK24_DI105_CF ))</f>
        <v>0.30489257452865021</v>
      </c>
      <c r="D143" s="14" t="s">
        <v>22</v>
      </c>
      <c r="E143">
        <f>(( TK24_CLOSE_CF ) )</f>
        <v>0.30489257452865021</v>
      </c>
      <c r="F143" t="b">
        <f t="shared" si="2"/>
        <v>1</v>
      </c>
    </row>
    <row r="144" spans="2:6">
      <c r="B144" t="s">
        <v>1840</v>
      </c>
      <c r="C144">
        <f>( ( TK24_DI105_WF ))</f>
        <v>0.51060000000000005</v>
      </c>
      <c r="D144" s="14" t="s">
        <v>22</v>
      </c>
      <c r="E144">
        <f>(( TK24_CLOSE_WF ) )</f>
        <v>0.51060000000000005</v>
      </c>
      <c r="F144" t="b">
        <f t="shared" si="2"/>
        <v>1</v>
      </c>
    </row>
    <row r="145" spans="2:10">
      <c r="B145" t="s">
        <v>1841</v>
      </c>
      <c r="C145">
        <f>( ( TK25_DI105_CF ))</f>
        <v>0.36070925753956201</v>
      </c>
      <c r="D145" s="14" t="s">
        <v>22</v>
      </c>
      <c r="E145">
        <f>(( TK25_CLOSE_CF ) )</f>
        <v>0.36070925753956201</v>
      </c>
      <c r="F145" t="b">
        <f t="shared" si="2"/>
        <v>1</v>
      </c>
    </row>
    <row r="146" spans="2:10">
      <c r="B146" t="s">
        <v>1842</v>
      </c>
      <c r="C146">
        <f>( ( TK25_DI105_WF ))</f>
        <v>0.46510277578034059</v>
      </c>
      <c r="D146" s="14" t="s">
        <v>22</v>
      </c>
      <c r="E146">
        <f>(( TK25_CLOSE_WF ) )</f>
        <v>0.46510277578034059</v>
      </c>
      <c r="F146" t="b">
        <f t="shared" si="2"/>
        <v>1</v>
      </c>
    </row>
    <row r="147" spans="2:10">
      <c r="B147" t="s">
        <v>1843</v>
      </c>
      <c r="C147">
        <f>( ( TK26_DI105_CF ))</f>
        <v>0.33854772668182698</v>
      </c>
      <c r="D147" s="14" t="s">
        <v>22</v>
      </c>
      <c r="E147">
        <f>(( TK26_CLOSE_CF ) )</f>
        <v>0.33854772668182698</v>
      </c>
      <c r="F147" t="b">
        <f t="shared" si="2"/>
        <v>1</v>
      </c>
    </row>
    <row r="148" spans="2:10">
      <c r="B148" t="s">
        <v>1844</v>
      </c>
      <c r="C148">
        <f>( ( TK26_DI105_WF ))</f>
        <v>0.47438246687684626</v>
      </c>
      <c r="D148" s="14" t="s">
        <v>22</v>
      </c>
      <c r="E148">
        <f>(( TK26_CLOSE_WF ) )</f>
        <v>0.47438246687684626</v>
      </c>
      <c r="F148" t="b">
        <f t="shared" si="2"/>
        <v>1</v>
      </c>
    </row>
    <row r="149" spans="2:10" ht="26.25">
      <c r="B149" s="67" t="s">
        <v>1</v>
      </c>
      <c r="C149" s="67"/>
      <c r="D149" s="67"/>
      <c r="E149" s="67"/>
      <c r="F149" s="67"/>
      <c r="G149" s="67" t="s">
        <v>1845</v>
      </c>
      <c r="H149" s="67"/>
      <c r="I149" s="67" t="s">
        <v>1846</v>
      </c>
      <c r="J149" s="67"/>
    </row>
    <row r="150" spans="2:10" s="44" customFormat="1" ht="12.75">
      <c r="B150" s="42" t="s">
        <v>685</v>
      </c>
      <c r="C150" s="43" t="s">
        <v>7</v>
      </c>
      <c r="D150" s="43" t="s">
        <v>37</v>
      </c>
      <c r="E150" s="43" t="s">
        <v>38</v>
      </c>
      <c r="F150" s="43" t="s">
        <v>686</v>
      </c>
      <c r="G150" s="43" t="s">
        <v>38</v>
      </c>
      <c r="H150" s="43" t="s">
        <v>686</v>
      </c>
      <c r="I150" s="43" t="s">
        <v>38</v>
      </c>
      <c r="J150" s="43" t="s">
        <v>686</v>
      </c>
    </row>
    <row r="151" spans="2:10">
      <c r="B151" t="s">
        <v>1282</v>
      </c>
      <c r="C151">
        <f t="array" ref="C151">D151:F151</f>
        <v>6745.2459998203158</v>
      </c>
      <c r="D151" s="29">
        <v>6745.2459998203158</v>
      </c>
      <c r="E151" s="29">
        <v>337.26229999999998</v>
      </c>
      <c r="F151" s="29">
        <v>6745.2460000000001</v>
      </c>
      <c r="G151" s="29">
        <v>673.15353420999998</v>
      </c>
      <c r="H151" s="29">
        <v>6731.5353421</v>
      </c>
      <c r="I151" s="29">
        <v>337.26229999999998</v>
      </c>
      <c r="J151" s="29">
        <v>6745.2460000000001</v>
      </c>
    </row>
    <row r="152" spans="2:10">
      <c r="B152" t="s">
        <v>1171</v>
      </c>
      <c r="C152">
        <f t="array" ref="C152">D152:F152</f>
        <v>-1407.7930585701301</v>
      </c>
      <c r="D152" s="29">
        <v>-1407.7930585701301</v>
      </c>
      <c r="E152" s="29"/>
      <c r="F152" s="29"/>
      <c r="G152" s="29">
        <v>7.6660853500000004</v>
      </c>
      <c r="H152" s="29">
        <v>76.660853500000002</v>
      </c>
      <c r="I152" s="29"/>
      <c r="J152" s="29"/>
    </row>
    <row r="153" spans="2:10">
      <c r="B153" t="s">
        <v>1157</v>
      </c>
      <c r="C153">
        <f t="array" ref="C153">D153:F153</f>
        <v>-0.3918007</v>
      </c>
      <c r="D153" s="29">
        <v>-0.3918007</v>
      </c>
      <c r="E153" s="29"/>
      <c r="F153" s="29"/>
      <c r="G153" s="29">
        <v>3.8985899999999997E-2</v>
      </c>
      <c r="H153" s="29">
        <v>0.38985900000000001</v>
      </c>
      <c r="I153" s="29"/>
      <c r="J153" s="29"/>
    </row>
    <row r="154" spans="2:10">
      <c r="B154" t="s">
        <v>1155</v>
      </c>
      <c r="C154">
        <f t="array" ref="C154">D154:F154</f>
        <v>-724.07654786354669</v>
      </c>
      <c r="D154" s="29">
        <v>-724.07654786354669</v>
      </c>
      <c r="E154" s="29">
        <v>470.56</v>
      </c>
      <c r="F154" s="29">
        <v>1176.4000000000001</v>
      </c>
      <c r="G154" s="29">
        <v>99.562795320000006</v>
      </c>
      <c r="H154" s="29">
        <v>995.62795319999998</v>
      </c>
      <c r="I154" s="29">
        <v>470.56</v>
      </c>
      <c r="J154" s="29">
        <v>1176.4000000000001</v>
      </c>
    </row>
    <row r="155" spans="2:10">
      <c r="B155" t="s">
        <v>1169</v>
      </c>
      <c r="C155">
        <f t="array" ref="C155">D155:F155</f>
        <v>-7.2631192186552518</v>
      </c>
      <c r="D155" s="29">
        <v>-7.2631192186552518</v>
      </c>
      <c r="E155" s="29"/>
      <c r="F155" s="29"/>
      <c r="G155" s="29">
        <v>0.48693339000000002</v>
      </c>
      <c r="H155" s="29">
        <v>4.8693339</v>
      </c>
      <c r="I155" s="29"/>
      <c r="J155" s="29"/>
    </row>
    <row r="156" spans="2:10">
      <c r="B156" t="s">
        <v>1164</v>
      </c>
      <c r="C156">
        <f t="array" ref="C156">D156:F156</f>
        <v>0.3918007</v>
      </c>
      <c r="D156" s="29">
        <v>0.3918007</v>
      </c>
      <c r="E156" s="29">
        <v>0</v>
      </c>
      <c r="F156" s="29">
        <v>0.3918007</v>
      </c>
      <c r="G156" s="29">
        <v>0</v>
      </c>
      <c r="H156" s="29">
        <v>0.3918007</v>
      </c>
      <c r="I156" s="29">
        <v>0</v>
      </c>
      <c r="J156" s="29">
        <v>0.3918007</v>
      </c>
    </row>
    <row r="157" spans="2:10">
      <c r="B157" t="s">
        <v>1163</v>
      </c>
      <c r="C157">
        <f t="array" ref="C157">D157:F157</f>
        <v>1287.6652647000001</v>
      </c>
      <c r="D157" s="29">
        <v>1287.6652647000001</v>
      </c>
      <c r="E157" s="29">
        <v>0</v>
      </c>
      <c r="F157" s="29">
        <v>1287.6652647000001</v>
      </c>
      <c r="G157" s="29">
        <v>0</v>
      </c>
      <c r="H157" s="29">
        <v>1287.6652647000001</v>
      </c>
      <c r="I157" s="29">
        <v>0</v>
      </c>
      <c r="J157" s="29">
        <v>1287.6652647000001</v>
      </c>
    </row>
    <row r="158" spans="2:10">
      <c r="B158" t="s">
        <v>1173</v>
      </c>
      <c r="C158">
        <f t="array" ref="C158">D158:F158</f>
        <v>3.7107842999999998</v>
      </c>
      <c r="D158" s="29">
        <v>3.7107842999999998</v>
      </c>
      <c r="E158" s="29">
        <v>0</v>
      </c>
      <c r="F158" s="29">
        <v>3.7107842999999998</v>
      </c>
      <c r="G158" s="29">
        <v>0</v>
      </c>
      <c r="H158" s="29">
        <v>3.7107842999999998</v>
      </c>
      <c r="I158" s="29">
        <v>0</v>
      </c>
      <c r="J158" s="29">
        <v>3.7107842999999998</v>
      </c>
    </row>
    <row r="159" spans="2:10">
      <c r="B159" t="s">
        <v>1162</v>
      </c>
      <c r="C159">
        <f t="array" ref="C159">D159:F159</f>
        <v>-3.3195960467221399E-35</v>
      </c>
      <c r="D159" s="29">
        <v>-3.3195960467221399E-35</v>
      </c>
      <c r="E159" s="29"/>
      <c r="F159" s="29"/>
      <c r="G159" s="29">
        <v>3.9082989999999998E-2</v>
      </c>
      <c r="H159" s="29">
        <v>0.39082990000000001</v>
      </c>
      <c r="I159" s="29"/>
      <c r="J159" s="29"/>
    </row>
    <row r="160" spans="2:10">
      <c r="B160" t="s">
        <v>1160</v>
      </c>
      <c r="C160">
        <f t="array" ref="C160">D160:F160</f>
        <v>0.40776172813470779</v>
      </c>
      <c r="D160" s="29">
        <v>0.40776172813470779</v>
      </c>
      <c r="E160" s="29"/>
      <c r="F160" s="29"/>
      <c r="G160" s="29">
        <v>0</v>
      </c>
      <c r="H160" s="29">
        <v>0</v>
      </c>
      <c r="I160" s="29"/>
      <c r="J160" s="29"/>
    </row>
    <row r="161" spans="2:10">
      <c r="B161" t="s">
        <v>1172</v>
      </c>
      <c r="C161">
        <f t="array" ref="C161">D161:F161</f>
        <v>0</v>
      </c>
      <c r="D161" s="29">
        <v>0</v>
      </c>
      <c r="E161" s="29"/>
      <c r="F161" s="29"/>
      <c r="G161" s="29">
        <v>36.139702900000003</v>
      </c>
      <c r="H161" s="29">
        <v>361.39702899999997</v>
      </c>
      <c r="I161" s="29"/>
      <c r="J161" s="29"/>
    </row>
    <row r="162" spans="2:10">
      <c r="B162" t="s">
        <v>1159</v>
      </c>
      <c r="C162">
        <f t="array" ref="C162">D162:F162</f>
        <v>3.5199002841022577E-34</v>
      </c>
      <c r="D162" s="29">
        <v>3.5199002841022577E-34</v>
      </c>
      <c r="E162" s="29"/>
      <c r="F162" s="29"/>
      <c r="G162" s="29">
        <v>3.9082989999999998E-2</v>
      </c>
      <c r="H162" s="29">
        <v>0.39082990000000001</v>
      </c>
      <c r="I162" s="29"/>
      <c r="J162" s="29"/>
    </row>
    <row r="163" spans="2:10">
      <c r="B163" t="s">
        <v>1158</v>
      </c>
      <c r="C163">
        <f t="array" ref="C163">D163:F163</f>
        <v>2105.2852009476715</v>
      </c>
      <c r="D163" s="29">
        <v>2105.2852009476715</v>
      </c>
      <c r="E163" s="29"/>
      <c r="F163" s="29"/>
      <c r="G163" s="29">
        <v>41.559362999999998</v>
      </c>
      <c r="H163" s="29">
        <v>415.59363000000002</v>
      </c>
      <c r="I163" s="29"/>
      <c r="J163" s="29"/>
    </row>
    <row r="164" spans="2:10">
      <c r="B164" t="s">
        <v>1170</v>
      </c>
      <c r="C164">
        <f t="array" ref="C164">D164:F164</f>
        <v>0.43959999999999999</v>
      </c>
      <c r="D164" s="29">
        <v>0.43959999999999999</v>
      </c>
      <c r="E164" s="29"/>
      <c r="F164" s="29"/>
      <c r="G164" s="29">
        <v>4.1959999999999997E-2</v>
      </c>
      <c r="H164" s="29">
        <v>0.41959999999999997</v>
      </c>
      <c r="I164" s="29"/>
      <c r="J164" s="29"/>
    </row>
    <row r="165" spans="2:10">
      <c r="B165" t="s">
        <v>1167</v>
      </c>
      <c r="C165">
        <f t="array" ref="C165">D165:F165</f>
        <v>5086</v>
      </c>
      <c r="D165" s="29">
        <v>5086</v>
      </c>
      <c r="E165" s="29">
        <v>0</v>
      </c>
      <c r="F165" s="29">
        <v>5086</v>
      </c>
      <c r="G165" s="29">
        <v>0</v>
      </c>
      <c r="H165" s="29">
        <v>5086</v>
      </c>
      <c r="I165" s="29">
        <v>0</v>
      </c>
      <c r="J165" s="29">
        <v>5086</v>
      </c>
    </row>
    <row r="166" spans="2:10">
      <c r="B166" t="s">
        <v>1168</v>
      </c>
      <c r="C166">
        <f t="array" ref="C166">D166:F166</f>
        <v>5086</v>
      </c>
      <c r="D166" s="29">
        <v>5086</v>
      </c>
      <c r="E166" s="29"/>
      <c r="F166" s="29"/>
      <c r="G166" s="29">
        <v>508.6</v>
      </c>
      <c r="H166" s="29">
        <v>5086</v>
      </c>
      <c r="I166" s="29"/>
      <c r="J166" s="29"/>
    </row>
    <row r="167" spans="2:10">
      <c r="B167" t="s">
        <v>1176</v>
      </c>
      <c r="C167">
        <f t="array" ref="C167">D167:F167</f>
        <v>-4.0649629609201829</v>
      </c>
      <c r="D167" s="29">
        <v>-4.0649629609201829</v>
      </c>
      <c r="E167" s="29"/>
      <c r="F167" s="29"/>
      <c r="G167" s="29">
        <v>3.7390590000000001E-2</v>
      </c>
      <c r="H167" s="29">
        <v>0.37390590000000001</v>
      </c>
      <c r="I167" s="29"/>
      <c r="J167" s="29"/>
    </row>
    <row r="168" spans="2:10">
      <c r="B168" t="s">
        <v>1175</v>
      </c>
      <c r="C168">
        <f t="array" ref="C168">D168:F168</f>
        <v>5229.1994203962604</v>
      </c>
      <c r="D168" s="29">
        <v>5229.1994203962604</v>
      </c>
      <c r="E168" s="29">
        <v>1594.6371999999999</v>
      </c>
      <c r="F168" s="29">
        <v>3986.5929999999998</v>
      </c>
      <c r="G168" s="29">
        <v>553.72619653000004</v>
      </c>
      <c r="H168" s="29">
        <v>5537.2619653000002</v>
      </c>
      <c r="I168" s="29">
        <v>1594.6371999999999</v>
      </c>
      <c r="J168" s="29">
        <v>3986.5929999999998</v>
      </c>
    </row>
    <row r="169" spans="2:10">
      <c r="B169" t="s">
        <v>1187</v>
      </c>
      <c r="C169">
        <f t="array" ref="C169">D169:F169</f>
        <v>0.73361542180973993</v>
      </c>
      <c r="D169" s="29">
        <v>0.73361542180973993</v>
      </c>
      <c r="E169" s="29"/>
      <c r="F169" s="29"/>
      <c r="G169" s="29">
        <v>6.7950449999999996E-2</v>
      </c>
      <c r="H169" s="29">
        <v>0.67950449999999996</v>
      </c>
      <c r="I169" s="29"/>
      <c r="J169" s="29"/>
    </row>
    <row r="170" spans="2:10">
      <c r="B170" t="s">
        <v>1182</v>
      </c>
      <c r="C170">
        <f t="array" ref="C170">D170:F170</f>
        <v>0.37452200000000002</v>
      </c>
      <c r="D170" s="29">
        <v>0.37452200000000002</v>
      </c>
      <c r="E170" s="29">
        <v>0</v>
      </c>
      <c r="F170" s="29">
        <v>0.37452200000000002</v>
      </c>
      <c r="G170" s="29">
        <v>0</v>
      </c>
      <c r="H170" s="29">
        <v>0.37452200000000002</v>
      </c>
      <c r="I170" s="29">
        <v>0</v>
      </c>
      <c r="J170" s="29">
        <v>0.37452200000000002</v>
      </c>
    </row>
    <row r="171" spans="2:10">
      <c r="B171" t="s">
        <v>1181</v>
      </c>
      <c r="C171">
        <f t="array" ref="C171">D171:F171</f>
        <v>4700.4379387999998</v>
      </c>
      <c r="D171" s="29">
        <v>4700.4379387999998</v>
      </c>
      <c r="E171" s="29">
        <v>0</v>
      </c>
      <c r="F171" s="29">
        <v>4700.4379387999998</v>
      </c>
      <c r="G171" s="29">
        <v>0</v>
      </c>
      <c r="H171" s="29">
        <v>4700.4379387999998</v>
      </c>
      <c r="I171" s="29">
        <v>0</v>
      </c>
      <c r="J171" s="29">
        <v>4700.4379387999998</v>
      </c>
    </row>
    <row r="172" spans="2:10">
      <c r="B172" t="s">
        <v>1191</v>
      </c>
      <c r="C172">
        <f t="array" ref="C172">D172:F172</f>
        <v>0.84302679999999997</v>
      </c>
      <c r="D172" s="29">
        <v>0.84302679999999997</v>
      </c>
      <c r="E172" s="29">
        <v>0</v>
      </c>
      <c r="F172" s="29">
        <v>0.84302679999999997</v>
      </c>
      <c r="G172" s="29">
        <v>0</v>
      </c>
      <c r="H172" s="29">
        <v>0.84302679999999997</v>
      </c>
      <c r="I172" s="29">
        <v>0</v>
      </c>
      <c r="J172" s="29">
        <v>0.84302679999999997</v>
      </c>
    </row>
    <row r="173" spans="2:10">
      <c r="B173" t="s">
        <v>1178</v>
      </c>
      <c r="C173">
        <f t="array" ref="C173">D173:F173</f>
        <v>-1.8452204804600918</v>
      </c>
      <c r="D173" s="29">
        <v>-1.8452204804600918</v>
      </c>
      <c r="E173" s="29"/>
      <c r="F173" s="29"/>
      <c r="G173" s="29">
        <v>3.74214E-2</v>
      </c>
      <c r="H173" s="29">
        <v>0.37421399999999999</v>
      </c>
      <c r="I173" s="29"/>
      <c r="J173" s="29"/>
    </row>
    <row r="174" spans="2:10">
      <c r="B174" t="s">
        <v>1177</v>
      </c>
      <c r="C174">
        <f t="array" ref="C174">D174:F174</f>
        <v>8.3917198671429531E-30</v>
      </c>
      <c r="D174" s="29">
        <v>8.3917198671429531E-30</v>
      </c>
      <c r="E174" s="29"/>
      <c r="F174" s="29"/>
      <c r="G174" s="29">
        <v>154.41572060999999</v>
      </c>
      <c r="H174" s="29">
        <v>1544.1572060999999</v>
      </c>
      <c r="I174" s="29"/>
      <c r="J174" s="29"/>
    </row>
    <row r="175" spans="2:10">
      <c r="B175" t="s">
        <v>1188</v>
      </c>
      <c r="C175">
        <f t="array" ref="C175">D175:F175</f>
        <v>0.5202</v>
      </c>
      <c r="D175" s="29">
        <v>0.5202</v>
      </c>
      <c r="E175" s="29"/>
      <c r="F175" s="29"/>
      <c r="G175" s="29">
        <v>4.3959999999999999E-2</v>
      </c>
      <c r="H175" s="29">
        <v>0.43959999999999999</v>
      </c>
      <c r="I175" s="29"/>
      <c r="J175" s="29"/>
    </row>
    <row r="176" spans="2:10">
      <c r="B176" t="s">
        <v>1180</v>
      </c>
      <c r="C176">
        <f t="array" ref="C176">D176:F176</f>
        <v>-1.8452204804600916</v>
      </c>
      <c r="D176" s="29">
        <v>-1.8452204804600916</v>
      </c>
      <c r="E176" s="29"/>
      <c r="F176" s="29"/>
      <c r="G176" s="29">
        <v>3.74214E-2</v>
      </c>
      <c r="H176" s="29">
        <v>0.37421399999999999</v>
      </c>
      <c r="I176" s="29"/>
      <c r="J176" s="29"/>
    </row>
    <row r="177" spans="2:10">
      <c r="B177" t="s">
        <v>1179</v>
      </c>
      <c r="C177">
        <f t="array" ref="C177">D177:F177</f>
        <v>13007.602171334236</v>
      </c>
      <c r="D177" s="29">
        <v>13007.602171334236</v>
      </c>
      <c r="E177" s="29"/>
      <c r="F177" s="29"/>
      <c r="G177" s="29">
        <v>0</v>
      </c>
      <c r="H177" s="29">
        <v>0</v>
      </c>
      <c r="I177" s="29"/>
      <c r="J177" s="29"/>
    </row>
    <row r="178" spans="2:10">
      <c r="B178" t="s">
        <v>1189</v>
      </c>
      <c r="C178">
        <f t="array" ref="C178">D178:F178</f>
        <v>1.8898700000000001E-2</v>
      </c>
      <c r="D178" s="29">
        <v>1.8898700000000001E-2</v>
      </c>
      <c r="E178" s="29"/>
      <c r="F178" s="29"/>
      <c r="G178" s="29">
        <v>5.2019999999999997E-2</v>
      </c>
      <c r="H178" s="29">
        <v>0.5202</v>
      </c>
      <c r="I178" s="29"/>
      <c r="J178" s="29"/>
    </row>
    <row r="179" spans="2:10">
      <c r="B179" t="s">
        <v>1185</v>
      </c>
      <c r="C179">
        <f t="array" ref="C179">D179:F179</f>
        <v>5086</v>
      </c>
      <c r="D179" s="29">
        <v>5086</v>
      </c>
      <c r="E179" s="29">
        <v>0</v>
      </c>
      <c r="F179" s="29">
        <v>5086</v>
      </c>
      <c r="G179" s="29">
        <v>0</v>
      </c>
      <c r="H179" s="29">
        <v>5086</v>
      </c>
      <c r="I179" s="29">
        <v>0</v>
      </c>
      <c r="J179" s="29">
        <v>5086</v>
      </c>
    </row>
    <row r="180" spans="2:10">
      <c r="B180" t="s">
        <v>1186</v>
      </c>
      <c r="C180">
        <f t="array" ref="C180">D180:F180</f>
        <v>5086</v>
      </c>
      <c r="D180" s="29">
        <v>5086</v>
      </c>
      <c r="E180" s="29"/>
      <c r="F180" s="29"/>
      <c r="G180" s="29">
        <v>508.6</v>
      </c>
      <c r="H180" s="29">
        <v>5086</v>
      </c>
      <c r="I180" s="29"/>
      <c r="J180" s="29"/>
    </row>
    <row r="181" spans="2:10">
      <c r="B181" t="s">
        <v>1190</v>
      </c>
      <c r="C181">
        <f t="array" ref="C181">D181:F181</f>
        <v>833.08743354088438</v>
      </c>
      <c r="D181" s="29">
        <v>833.08743354088438</v>
      </c>
      <c r="E181" s="29"/>
      <c r="F181" s="29"/>
      <c r="G181" s="29">
        <v>570.39251413</v>
      </c>
      <c r="H181" s="29">
        <v>5703.9251413000002</v>
      </c>
      <c r="I181" s="29"/>
      <c r="J181" s="29"/>
    </row>
    <row r="182" spans="2:10">
      <c r="B182" t="s">
        <v>1193</v>
      </c>
      <c r="C182">
        <f t="array" ref="C182">D182:F182</f>
        <v>-574.70562502924565</v>
      </c>
      <c r="D182" s="29">
        <v>-574.70562502924565</v>
      </c>
      <c r="E182" s="29"/>
      <c r="F182" s="29"/>
      <c r="G182" s="29">
        <v>578.05859948</v>
      </c>
      <c r="H182" s="29">
        <v>5780.5859947999998</v>
      </c>
      <c r="I182" s="29"/>
      <c r="J182" s="29"/>
    </row>
    <row r="183" spans="2:10">
      <c r="B183" t="s">
        <v>1213</v>
      </c>
      <c r="C183">
        <f t="array" ref="C183">D183:F183</f>
        <v>0.30691830920299673</v>
      </c>
      <c r="D183" s="29">
        <v>0.30691830920299673</v>
      </c>
      <c r="E183" s="29"/>
      <c r="F183" s="29"/>
      <c r="G183" s="29">
        <v>3.7773760000000003E-2</v>
      </c>
      <c r="H183" s="29">
        <v>0.37773760000000001</v>
      </c>
      <c r="I183" s="29"/>
      <c r="J183" s="29"/>
    </row>
    <row r="184" spans="2:10">
      <c r="B184" t="s">
        <v>1212</v>
      </c>
      <c r="C184">
        <f t="array" ref="C184">D184:F184</f>
        <v>0</v>
      </c>
      <c r="D184" s="29">
        <v>0</v>
      </c>
      <c r="E184" s="29">
        <v>0</v>
      </c>
      <c r="F184" s="29">
        <v>0</v>
      </c>
      <c r="G184" s="29">
        <v>0</v>
      </c>
      <c r="H184" s="29">
        <v>0</v>
      </c>
      <c r="I184" s="29">
        <v>0</v>
      </c>
      <c r="J184" s="29">
        <v>0</v>
      </c>
    </row>
    <row r="185" spans="2:10">
      <c r="B185" t="s">
        <v>1222</v>
      </c>
      <c r="C185">
        <f t="array" ref="C185">D185:F185</f>
        <v>0.50159045914399059</v>
      </c>
      <c r="D185" s="29">
        <v>0.50159045914399059</v>
      </c>
      <c r="E185" s="29">
        <v>4.938E-2</v>
      </c>
      <c r="F185" s="29">
        <v>0.49380000000000002</v>
      </c>
      <c r="G185" s="29">
        <v>4.3535869999999997E-2</v>
      </c>
      <c r="H185" s="29">
        <v>0.43535869999999999</v>
      </c>
      <c r="I185" s="29">
        <v>4.938E-2</v>
      </c>
      <c r="J185" s="29">
        <v>0.49380000000000002</v>
      </c>
    </row>
    <row r="186" spans="2:10">
      <c r="B186" t="s">
        <v>1215</v>
      </c>
      <c r="C186">
        <f t="array" ref="C186">D186:F186</f>
        <v>0.30691830920299673</v>
      </c>
      <c r="D186" s="29">
        <v>0.30691830920299673</v>
      </c>
      <c r="E186" s="29"/>
      <c r="F186" s="29"/>
      <c r="G186" s="29">
        <v>3.7773760000000003E-2</v>
      </c>
      <c r="H186" s="29">
        <v>0.37773760000000001</v>
      </c>
      <c r="I186" s="29"/>
      <c r="J186" s="29"/>
    </row>
    <row r="187" spans="2:10">
      <c r="B187" t="s">
        <v>1214</v>
      </c>
      <c r="C187">
        <f t="array" ref="C187">D187:F187</f>
        <v>0</v>
      </c>
      <c r="D187" s="29">
        <v>0</v>
      </c>
      <c r="E187" s="29">
        <v>0</v>
      </c>
      <c r="F187" s="29">
        <v>0</v>
      </c>
      <c r="G187" s="29">
        <v>0</v>
      </c>
      <c r="H187" s="29">
        <v>0</v>
      </c>
      <c r="I187" s="29">
        <v>0</v>
      </c>
      <c r="J187" s="29">
        <v>0</v>
      </c>
    </row>
    <row r="188" spans="2:10">
      <c r="B188" t="s">
        <v>1223</v>
      </c>
      <c r="C188">
        <f t="array" ref="C188">D188:F188</f>
        <v>0.50159045914399059</v>
      </c>
      <c r="D188" s="29">
        <v>0.50159045914399059</v>
      </c>
      <c r="E188" s="29">
        <v>4.938E-2</v>
      </c>
      <c r="F188" s="29">
        <v>0.49380000000000002</v>
      </c>
      <c r="G188" s="29">
        <v>4.3535869999999997E-2</v>
      </c>
      <c r="H188" s="29">
        <v>0.43535869999999999</v>
      </c>
      <c r="I188" s="29">
        <v>4.938E-2</v>
      </c>
      <c r="J188" s="29">
        <v>0.49380000000000002</v>
      </c>
    </row>
    <row r="189" spans="2:10">
      <c r="B189" t="s">
        <v>1217</v>
      </c>
      <c r="C189">
        <f t="array" ref="C189">D189:F189</f>
        <v>0.30691830920299673</v>
      </c>
      <c r="D189" s="29">
        <v>0.30691830920299673</v>
      </c>
      <c r="E189" s="29"/>
      <c r="F189" s="29"/>
      <c r="G189" s="29">
        <v>3.7773760000000003E-2</v>
      </c>
      <c r="H189" s="29">
        <v>0.37773760000000001</v>
      </c>
      <c r="I189" s="29"/>
      <c r="J189" s="29"/>
    </row>
    <row r="190" spans="2:10">
      <c r="B190" t="s">
        <v>1216</v>
      </c>
      <c r="C190">
        <f t="array" ref="C190">D190:F190</f>
        <v>576.35279184570743</v>
      </c>
      <c r="D190" s="29">
        <v>576.35279184570743</v>
      </c>
      <c r="E190" s="29">
        <v>130.67006000000001</v>
      </c>
      <c r="F190" s="29">
        <v>653.35029999999995</v>
      </c>
      <c r="G190" s="29">
        <v>66.731095499999995</v>
      </c>
      <c r="H190" s="29">
        <v>667.31095500000004</v>
      </c>
      <c r="I190" s="29">
        <v>130.67006000000001</v>
      </c>
      <c r="J190" s="29">
        <v>653.35029999999995</v>
      </c>
    </row>
    <row r="191" spans="2:10">
      <c r="B191" t="s">
        <v>1225</v>
      </c>
      <c r="C191">
        <f t="array" ref="C191">D191:F191</f>
        <v>0.50159045914399059</v>
      </c>
      <c r="D191" s="29">
        <v>0.50159045914399059</v>
      </c>
      <c r="E191" s="29">
        <v>3.8890000000000001E-2</v>
      </c>
      <c r="F191" s="29">
        <v>0.38890000000000002</v>
      </c>
      <c r="G191" s="29">
        <v>4.3535869999999997E-2</v>
      </c>
      <c r="H191" s="29">
        <v>0.43535869999999999</v>
      </c>
      <c r="I191" s="29">
        <v>3.8890000000000001E-2</v>
      </c>
      <c r="J191" s="29">
        <v>0.38890000000000002</v>
      </c>
    </row>
    <row r="192" spans="2:10">
      <c r="B192" t="s">
        <v>1219</v>
      </c>
      <c r="C192">
        <f t="array" ref="C192">D192:F192</f>
        <v>0.30691830920299673</v>
      </c>
      <c r="D192" s="29">
        <v>0.30691830920299673</v>
      </c>
      <c r="E192" s="29"/>
      <c r="F192" s="29"/>
      <c r="G192" s="29">
        <v>3.7773760000000003E-2</v>
      </c>
      <c r="H192" s="29">
        <v>0.37773760000000001</v>
      </c>
      <c r="I192" s="29"/>
      <c r="J192" s="29"/>
    </row>
    <row r="193" spans="2:10">
      <c r="B193" t="s">
        <v>1218</v>
      </c>
      <c r="C193">
        <f t="array" ref="C193">D193:F193</f>
        <v>1256.2072486590932</v>
      </c>
      <c r="D193" s="29">
        <v>1256.2072486590932</v>
      </c>
      <c r="E193" s="29">
        <v>253.26859999999999</v>
      </c>
      <c r="F193" s="29">
        <v>1266.3430000000001</v>
      </c>
      <c r="G193" s="29">
        <v>129.24398811</v>
      </c>
      <c r="H193" s="29">
        <v>1292.4398811000001</v>
      </c>
      <c r="I193" s="29">
        <v>253.26859999999999</v>
      </c>
      <c r="J193" s="29">
        <v>1266.3430000000001</v>
      </c>
    </row>
    <row r="194" spans="2:10">
      <c r="B194" t="s">
        <v>1224</v>
      </c>
      <c r="C194">
        <f t="array" ref="C194">D194:F194</f>
        <v>0.50159045914399059</v>
      </c>
      <c r="D194" s="29">
        <v>0.50159045914399059</v>
      </c>
      <c r="E194" s="29">
        <v>4.5879999999999997E-2</v>
      </c>
      <c r="F194" s="29">
        <v>0.45879999999999999</v>
      </c>
      <c r="G194" s="29">
        <v>4.3535869999999997E-2</v>
      </c>
      <c r="H194" s="29">
        <v>0.43535869999999999</v>
      </c>
      <c r="I194" s="29">
        <v>4.5879999999999997E-2</v>
      </c>
      <c r="J194" s="29">
        <v>0.45879999999999999</v>
      </c>
    </row>
    <row r="195" spans="2:10">
      <c r="B195" t="s">
        <v>1221</v>
      </c>
      <c r="C195">
        <f t="array" ref="C195">D195:F195</f>
        <v>0.30691830920299673</v>
      </c>
      <c r="D195" s="29">
        <v>0.30691830920299673</v>
      </c>
      <c r="E195" s="29">
        <v>3.8280000000000002E-2</v>
      </c>
      <c r="F195" s="29">
        <v>0.38279999999999997</v>
      </c>
      <c r="G195" s="29">
        <v>3.7773760000000003E-2</v>
      </c>
      <c r="H195" s="29">
        <v>0.37773760000000001</v>
      </c>
      <c r="I195" s="29">
        <v>3.8280000000000002E-2</v>
      </c>
      <c r="J195" s="29">
        <v>0.38279999999999997</v>
      </c>
    </row>
    <row r="196" spans="2:10">
      <c r="B196" t="s">
        <v>1220</v>
      </c>
      <c r="C196">
        <f t="array" ref="C196">D196:F196</f>
        <v>1832.5600405048006</v>
      </c>
      <c r="D196" s="29">
        <v>1832.5600405048006</v>
      </c>
      <c r="E196" s="29"/>
      <c r="F196" s="29"/>
      <c r="G196" s="29">
        <v>195.97508361000001</v>
      </c>
      <c r="H196" s="29">
        <v>1959.7508361</v>
      </c>
      <c r="I196" s="29"/>
      <c r="J196" s="29"/>
    </row>
    <row r="197" spans="2:10">
      <c r="B197" t="s">
        <v>1226</v>
      </c>
      <c r="C197">
        <f t="array" ref="C197">D197:F197</f>
        <v>0.50159045914399059</v>
      </c>
      <c r="D197" s="29">
        <v>0.50159045914399059</v>
      </c>
      <c r="E197" s="29">
        <v>4.2950000000000002E-2</v>
      </c>
      <c r="F197" s="29">
        <v>0.42949999999999999</v>
      </c>
      <c r="G197" s="29">
        <v>4.3535869999999997E-2</v>
      </c>
      <c r="H197" s="29">
        <v>0.43535869999999999</v>
      </c>
      <c r="I197" s="29">
        <v>4.2950000000000002E-2</v>
      </c>
      <c r="J197" s="29">
        <v>0.42949999999999999</v>
      </c>
    </row>
    <row r="198" spans="2:10">
      <c r="B198" t="s">
        <v>1166</v>
      </c>
      <c r="C198">
        <f t="array" ref="C198">D198:F198</f>
        <v>-2.8754088366121833</v>
      </c>
      <c r="D198" s="29">
        <v>-2.8754088366121833</v>
      </c>
      <c r="E198" s="29"/>
      <c r="F198" s="29"/>
      <c r="G198" s="29">
        <v>3.7288929999999998E-2</v>
      </c>
      <c r="H198" s="29">
        <v>0.37288929999999998</v>
      </c>
      <c r="I198" s="29"/>
      <c r="J198" s="29"/>
    </row>
    <row r="199" spans="2:10">
      <c r="B199" t="s">
        <v>1165</v>
      </c>
      <c r="C199">
        <f t="array" ref="C199">D199:F199</f>
        <v>93.951150112259413</v>
      </c>
      <c r="D199" s="29">
        <v>93.951150112259413</v>
      </c>
      <c r="E199" s="29">
        <v>69.375540000000001</v>
      </c>
      <c r="F199" s="29">
        <v>115.6259</v>
      </c>
      <c r="G199" s="29">
        <v>12.355631839999999</v>
      </c>
      <c r="H199" s="29">
        <v>123.55631839999999</v>
      </c>
      <c r="I199" s="29">
        <v>69.375540000000001</v>
      </c>
      <c r="J199" s="29">
        <v>115.6259</v>
      </c>
    </row>
    <row r="200" spans="2:10">
      <c r="B200" t="s">
        <v>1174</v>
      </c>
      <c r="C200">
        <f t="array" ref="C200">D200:F200</f>
        <v>7.0609263141655859E-2</v>
      </c>
      <c r="D200" s="29">
        <v>7.0609263141655859E-2</v>
      </c>
      <c r="E200" s="29"/>
      <c r="F200" s="29"/>
      <c r="G200" s="29">
        <v>0.25967174999999998</v>
      </c>
      <c r="H200" s="29">
        <v>2.5967175</v>
      </c>
      <c r="I200" s="29"/>
      <c r="J200" s="29"/>
    </row>
    <row r="201" spans="2:10">
      <c r="B201" t="s">
        <v>1184</v>
      </c>
      <c r="C201">
        <f t="array" ref="C201">D201:F201</f>
        <v>-2.8754088366121837</v>
      </c>
      <c r="D201" s="29">
        <v>-2.8754088366121837</v>
      </c>
      <c r="E201" s="29">
        <v>1416.1554000000001</v>
      </c>
      <c r="F201" s="29">
        <v>2360.259</v>
      </c>
      <c r="G201" s="29">
        <v>3.7288929999999998E-2</v>
      </c>
      <c r="H201" s="29">
        <v>0.37288929999999998</v>
      </c>
      <c r="I201" s="29">
        <v>1416.1554000000001</v>
      </c>
      <c r="J201" s="29">
        <v>2360.259</v>
      </c>
    </row>
    <row r="202" spans="2:10">
      <c r="B202" t="s">
        <v>1183</v>
      </c>
      <c r="C202">
        <f t="array" ref="C202">D202:F202</f>
        <v>13536.363652930497</v>
      </c>
      <c r="D202" s="29">
        <v>13536.363652930497</v>
      </c>
      <c r="E202" s="29"/>
      <c r="F202" s="29"/>
      <c r="G202" s="29">
        <v>238.09812327</v>
      </c>
      <c r="H202" s="29">
        <v>2380.9812327</v>
      </c>
      <c r="I202" s="29"/>
      <c r="J202" s="29"/>
    </row>
    <row r="203" spans="2:10">
      <c r="B203" t="s">
        <v>1192</v>
      </c>
      <c r="C203">
        <f t="array" ref="C203">D203:F203</f>
        <v>7.0609263141655859E-2</v>
      </c>
      <c r="D203" s="29">
        <v>7.0609263141655859E-2</v>
      </c>
      <c r="E203" s="29"/>
      <c r="F203" s="29"/>
      <c r="G203" s="29">
        <v>0.25967174999999998</v>
      </c>
      <c r="H203" s="29">
        <v>2.5967175</v>
      </c>
      <c r="I203" s="29"/>
      <c r="J203" s="29"/>
    </row>
    <row r="204" spans="2:10">
      <c r="B204" t="s">
        <v>1195</v>
      </c>
      <c r="C204">
        <f t="array" ref="C204">D204:F204</f>
        <v>-2.8754088366121833</v>
      </c>
      <c r="D204" s="29">
        <v>-2.8754088366121833</v>
      </c>
      <c r="E204" s="29"/>
      <c r="F204" s="29"/>
      <c r="G204" s="29">
        <v>3.7288929999999998E-2</v>
      </c>
      <c r="H204" s="29">
        <v>0.37288929999999998</v>
      </c>
      <c r="I204" s="29"/>
      <c r="J204" s="29"/>
    </row>
    <row r="205" spans="2:10">
      <c r="B205" t="s">
        <v>1194</v>
      </c>
      <c r="C205">
        <f t="array" ref="C205">D205:F205</f>
        <v>13630.314803042756</v>
      </c>
      <c r="D205" s="29">
        <v>13630.314803042756</v>
      </c>
      <c r="E205" s="29"/>
      <c r="F205" s="29"/>
      <c r="G205" s="29">
        <v>250.45375511</v>
      </c>
      <c r="H205" s="29">
        <v>2504.5375511000002</v>
      </c>
      <c r="I205" s="29"/>
      <c r="J205" s="29"/>
    </row>
    <row r="206" spans="2:10">
      <c r="B206" t="s">
        <v>1196</v>
      </c>
      <c r="C206">
        <f t="array" ref="C206">D206:F206</f>
        <v>7.0609263141655859E-2</v>
      </c>
      <c r="D206" s="29">
        <v>7.0609263141655859E-2</v>
      </c>
      <c r="E206" s="29"/>
      <c r="F206" s="29"/>
      <c r="G206" s="29">
        <v>0.25967174999999998</v>
      </c>
      <c r="H206" s="29">
        <v>2.5967175</v>
      </c>
      <c r="I206" s="29"/>
      <c r="J206" s="29"/>
    </row>
    <row r="207" spans="2:10">
      <c r="B207" t="s">
        <v>1255</v>
      </c>
      <c r="C207">
        <f t="array" ref="C207">D207:F207</f>
        <v>3.0994999999999998E-3</v>
      </c>
      <c r="D207" s="29">
        <v>3.0994999999999998E-3</v>
      </c>
      <c r="E207" s="29">
        <v>1114.2654</v>
      </c>
      <c r="F207" s="29">
        <v>5571.3270000000002</v>
      </c>
      <c r="G207" s="29">
        <v>3.0995000000000003E-4</v>
      </c>
      <c r="H207" s="29">
        <v>3.0994999999999998E-3</v>
      </c>
      <c r="I207" s="29">
        <v>1114.2654</v>
      </c>
      <c r="J207" s="29">
        <v>5571.3270000000002</v>
      </c>
    </row>
    <row r="208" spans="2:10">
      <c r="B208" t="s">
        <v>1254</v>
      </c>
      <c r="C208">
        <f t="array" ref="C208">D208:F208</f>
        <v>-15162.263650328514</v>
      </c>
      <c r="D208" s="29">
        <v>-15162.263650328514</v>
      </c>
      <c r="E208" s="29"/>
      <c r="F208" s="29"/>
      <c r="G208" s="29">
        <v>638.66891825000005</v>
      </c>
      <c r="H208" s="29">
        <v>6386.6891825000002</v>
      </c>
      <c r="I208" s="29"/>
      <c r="J208" s="29"/>
    </row>
    <row r="209" spans="2:10">
      <c r="B209" t="s">
        <v>1262</v>
      </c>
      <c r="C209">
        <f t="array" ref="C209">D209:F209</f>
        <v>2.8759999896832453</v>
      </c>
      <c r="D209" s="29">
        <v>2.8759999896832453</v>
      </c>
      <c r="E209" s="29"/>
      <c r="F209" s="29"/>
      <c r="G209" s="29">
        <v>0.28654911999999999</v>
      </c>
      <c r="H209" s="29">
        <v>2.8654912000000001</v>
      </c>
      <c r="I209" s="29"/>
      <c r="J209" s="29"/>
    </row>
    <row r="210" spans="2:10">
      <c r="B210" t="s">
        <v>1257</v>
      </c>
      <c r="C210">
        <f t="array" ref="C210">D210:F210</f>
        <v>3.0994999999999998E-3</v>
      </c>
      <c r="D210" s="29">
        <v>3.0994999999999998E-3</v>
      </c>
      <c r="E210" s="29">
        <v>3928.0540000000001</v>
      </c>
      <c r="F210" s="29">
        <v>19640.27</v>
      </c>
      <c r="G210" s="29">
        <v>3.0995000000000003E-4</v>
      </c>
      <c r="H210" s="29">
        <v>3.0994999999999998E-3</v>
      </c>
      <c r="I210" s="29">
        <v>3928.0540000000001</v>
      </c>
      <c r="J210" s="29">
        <v>19640.27</v>
      </c>
    </row>
    <row r="211" spans="2:10">
      <c r="B211" t="s">
        <v>1256</v>
      </c>
      <c r="C211">
        <f t="array" ref="C211">D211:F211</f>
        <v>63768.370598353635</v>
      </c>
      <c r="D211" s="29">
        <v>63768.370598353635</v>
      </c>
      <c r="E211" s="29"/>
      <c r="F211" s="29"/>
      <c r="G211" s="29">
        <v>2768.9391790999998</v>
      </c>
      <c r="H211" s="29">
        <v>27689.391790999998</v>
      </c>
      <c r="I211" s="29"/>
      <c r="J211" s="29"/>
    </row>
    <row r="212" spans="2:10">
      <c r="B212" t="s">
        <v>1264</v>
      </c>
      <c r="C212">
        <f t="array" ref="C212">D212:F212</f>
        <v>2.8759999896832453</v>
      </c>
      <c r="D212" s="29">
        <v>2.8759999896832453</v>
      </c>
      <c r="E212" s="29"/>
      <c r="F212" s="29"/>
      <c r="G212" s="29">
        <v>0.28654911999999999</v>
      </c>
      <c r="H212" s="29">
        <v>2.8654912000000001</v>
      </c>
      <c r="I212" s="29"/>
      <c r="J212" s="29"/>
    </row>
    <row r="213" spans="2:10">
      <c r="B213" t="s">
        <v>1259</v>
      </c>
      <c r="C213">
        <f t="array" ref="C213">D213:F213</f>
        <v>3.0994999999999998E-3</v>
      </c>
      <c r="D213" s="29">
        <v>3.0994999999999998E-3</v>
      </c>
      <c r="E213" s="29"/>
      <c r="F213" s="29"/>
      <c r="G213" s="29">
        <v>3.0995000000000003E-4</v>
      </c>
      <c r="H213" s="29">
        <v>3.0994999999999998E-3</v>
      </c>
      <c r="I213" s="29"/>
      <c r="J213" s="29"/>
    </row>
    <row r="214" spans="2:10">
      <c r="B214" t="s">
        <v>1258</v>
      </c>
      <c r="C214">
        <f t="array" ref="C214">D214:F214</f>
        <v>9023.9402227999926</v>
      </c>
      <c r="D214" s="29">
        <v>9023.9402227999926</v>
      </c>
      <c r="E214" s="29">
        <v>3395.748</v>
      </c>
      <c r="F214" s="29">
        <v>16978.740000000002</v>
      </c>
      <c r="G214" s="29">
        <v>2203.95212842</v>
      </c>
      <c r="H214" s="29">
        <v>22039.5212842</v>
      </c>
      <c r="I214" s="29">
        <v>3395.748</v>
      </c>
      <c r="J214" s="29">
        <v>16978.740000000002</v>
      </c>
    </row>
    <row r="215" spans="2:10">
      <c r="B215" t="s">
        <v>1263</v>
      </c>
      <c r="C215">
        <f t="array" ref="C215">D215:F215</f>
        <v>2.8759999896832453</v>
      </c>
      <c r="D215" s="29">
        <v>2.8759999896832453</v>
      </c>
      <c r="E215" s="29"/>
      <c r="F215" s="29"/>
      <c r="G215" s="29">
        <v>0.28654911999999999</v>
      </c>
      <c r="H215" s="29">
        <v>2.8654912000000001</v>
      </c>
      <c r="I215" s="29"/>
      <c r="J215" s="29"/>
    </row>
    <row r="216" spans="2:10">
      <c r="B216" t="s">
        <v>1287</v>
      </c>
      <c r="C216">
        <f t="array" ref="C216">D216:F216</f>
        <v>1.0357359131528918E-2</v>
      </c>
      <c r="D216" s="29">
        <v>1.0357359131528918E-2</v>
      </c>
      <c r="E216" s="29">
        <v>3.7797E-3</v>
      </c>
      <c r="F216" s="29">
        <v>1.8898700000000001E-2</v>
      </c>
      <c r="G216" s="29">
        <v>1.8898700000000001E-3</v>
      </c>
      <c r="H216" s="29">
        <v>1.8898700000000001E-2</v>
      </c>
      <c r="I216" s="29">
        <v>3.7797E-3</v>
      </c>
      <c r="J216" s="29">
        <v>1.8898700000000001E-2</v>
      </c>
    </row>
    <row r="217" spans="2:10">
      <c r="B217" t="s">
        <v>1286</v>
      </c>
      <c r="C217">
        <f t="array" ref="C217">D217:F217</f>
        <v>57979.626880362637</v>
      </c>
      <c r="D217" s="29">
        <v>57979.626880362637</v>
      </c>
      <c r="E217" s="29">
        <v>293.21480000000003</v>
      </c>
      <c r="F217" s="29">
        <v>58642.96</v>
      </c>
      <c r="G217" s="29">
        <v>5862.0139808699996</v>
      </c>
      <c r="H217" s="29">
        <v>58620.139808699998</v>
      </c>
      <c r="I217" s="29">
        <v>293.21480000000003</v>
      </c>
      <c r="J217" s="29">
        <v>58642.96</v>
      </c>
    </row>
    <row r="218" spans="2:10">
      <c r="B218" t="s">
        <v>1289</v>
      </c>
      <c r="C218">
        <f t="array" ref="C218">D218:F218</f>
        <v>3.0900000000003338E-2</v>
      </c>
      <c r="D218" s="29">
        <v>3.0900000000003338E-2</v>
      </c>
      <c r="E218" s="29">
        <v>3.0899999999999998E-4</v>
      </c>
      <c r="F218" s="29">
        <v>3.09E-2</v>
      </c>
      <c r="G218" s="29">
        <v>3.0899399999999998E-3</v>
      </c>
      <c r="H218" s="29">
        <v>3.08994E-2</v>
      </c>
      <c r="I218" s="29">
        <v>3.0899999999999998E-4</v>
      </c>
      <c r="J218" s="29">
        <v>3.09E-2</v>
      </c>
    </row>
    <row r="219" spans="2:10">
      <c r="B219" t="s">
        <v>1198</v>
      </c>
      <c r="C219">
        <f t="array" ref="C219">D219:F219</f>
        <v>0.37288929999999998</v>
      </c>
      <c r="D219" s="29">
        <v>0.37288929999999998</v>
      </c>
      <c r="E219" s="29">
        <v>0</v>
      </c>
      <c r="F219" s="29">
        <v>0.37288929999999998</v>
      </c>
      <c r="G219" s="29">
        <v>0</v>
      </c>
      <c r="H219" s="29">
        <v>0.37288929999999998</v>
      </c>
      <c r="I219" s="29">
        <v>0</v>
      </c>
      <c r="J219" s="29">
        <v>0.37288929999999998</v>
      </c>
    </row>
    <row r="220" spans="2:10">
      <c r="B220" t="s">
        <v>1197</v>
      </c>
      <c r="C220">
        <f t="array" ref="C220">D220:F220</f>
        <v>349.57970953751476</v>
      </c>
      <c r="D220" s="29">
        <v>349.57970953751476</v>
      </c>
      <c r="E220" s="29"/>
      <c r="F220" s="29"/>
      <c r="G220" s="29">
        <v>250.45375511</v>
      </c>
      <c r="H220" s="29">
        <v>2504.5375511000002</v>
      </c>
      <c r="I220" s="29"/>
      <c r="J220" s="29"/>
    </row>
    <row r="221" spans="2:10">
      <c r="B221" t="s">
        <v>1207</v>
      </c>
      <c r="C221">
        <f t="array" ref="C221">D221:F221</f>
        <v>2.5970999999893238</v>
      </c>
      <c r="D221" s="29">
        <v>2.5970999999893238</v>
      </c>
      <c r="E221" s="29">
        <v>5.1942000000000002E-2</v>
      </c>
      <c r="F221" s="29">
        <v>2.5971000000000002</v>
      </c>
      <c r="G221" s="29">
        <v>0.25967174999999998</v>
      </c>
      <c r="H221" s="29">
        <v>2.5967175</v>
      </c>
      <c r="I221" s="29">
        <v>5.1942000000000002E-2</v>
      </c>
      <c r="J221" s="29">
        <v>2.5971000000000002</v>
      </c>
    </row>
    <row r="222" spans="2:10">
      <c r="B222" t="s">
        <v>1355</v>
      </c>
      <c r="C222">
        <f t="array" ref="C222">D222:F222</f>
        <v>0</v>
      </c>
      <c r="D222" s="29">
        <v>0</v>
      </c>
      <c r="E222" s="29">
        <v>0</v>
      </c>
      <c r="F222" s="29">
        <v>0</v>
      </c>
      <c r="G222" s="29">
        <v>0</v>
      </c>
      <c r="H222" s="29">
        <v>0</v>
      </c>
      <c r="I222" s="29">
        <v>0</v>
      </c>
      <c r="J222" s="29">
        <v>0</v>
      </c>
    </row>
    <row r="223" spans="2:10">
      <c r="B223" t="s">
        <v>1281</v>
      </c>
      <c r="C223">
        <f t="array" ref="C223">D223:F223</f>
        <v>-9051.8499043205193</v>
      </c>
      <c r="D223" s="29">
        <v>-9051.8499043205193</v>
      </c>
      <c r="E223" s="29"/>
      <c r="F223" s="29"/>
      <c r="G223" s="29">
        <v>2236.2388009800002</v>
      </c>
      <c r="H223" s="29">
        <v>22362.388009800001</v>
      </c>
      <c r="I223" s="29"/>
      <c r="J223" s="29"/>
    </row>
    <row r="224" spans="2:10">
      <c r="B224" t="s">
        <v>1316</v>
      </c>
      <c r="C224">
        <f t="array" ref="C224">D224:F224</f>
        <v>148427.61958271312</v>
      </c>
      <c r="D224" s="29">
        <v>148427.61958271312</v>
      </c>
      <c r="E224" s="29"/>
      <c r="F224" s="29"/>
      <c r="G224" s="29">
        <v>16361.282689899999</v>
      </c>
      <c r="H224" s="29">
        <v>163612.82689900001</v>
      </c>
      <c r="I224" s="29"/>
      <c r="J224" s="29"/>
    </row>
    <row r="225" spans="2:10">
      <c r="B225" t="s">
        <v>1279</v>
      </c>
      <c r="C225">
        <f t="array" ref="C225">D225:F225</f>
        <v>247.99740000088988</v>
      </c>
      <c r="D225" s="29">
        <v>247.99740000088988</v>
      </c>
      <c r="E225" s="29">
        <v>24.79974</v>
      </c>
      <c r="F225" s="29">
        <v>247.9974</v>
      </c>
      <c r="G225" s="29">
        <v>24.813664710000001</v>
      </c>
      <c r="H225" s="29">
        <v>248.1366471</v>
      </c>
      <c r="I225" s="29">
        <v>24.79974</v>
      </c>
      <c r="J225" s="29">
        <v>247.9974</v>
      </c>
    </row>
    <row r="226" spans="2:10">
      <c r="B226" t="s">
        <v>1273</v>
      </c>
      <c r="C226">
        <f t="array" ref="C226">D226:F226</f>
        <v>157.65990000035964</v>
      </c>
      <c r="D226" s="29">
        <v>157.65990000035964</v>
      </c>
      <c r="E226" s="29">
        <v>15.76599</v>
      </c>
      <c r="F226" s="29">
        <v>157.65989999999999</v>
      </c>
      <c r="G226" s="29">
        <v>15.77161774</v>
      </c>
      <c r="H226" s="29">
        <v>157.71617739999999</v>
      </c>
      <c r="I226" s="29">
        <v>15.76599</v>
      </c>
      <c r="J226" s="29">
        <v>157.65989999999999</v>
      </c>
    </row>
    <row r="227" spans="2:10">
      <c r="B227" t="s">
        <v>1391</v>
      </c>
      <c r="C227">
        <f t="array" ref="C227">D227:F227</f>
        <v>16431.899487635455</v>
      </c>
      <c r="D227" s="29">
        <v>16431.899487635455</v>
      </c>
      <c r="E227" s="29"/>
      <c r="F227" s="29"/>
      <c r="G227" s="29">
        <v>187.81868692</v>
      </c>
      <c r="H227" s="29">
        <v>1878.1868692</v>
      </c>
      <c r="I227" s="29"/>
      <c r="J227" s="29"/>
    </row>
    <row r="228" spans="2:10">
      <c r="B228" t="s">
        <v>1268</v>
      </c>
      <c r="C228">
        <f t="array" ref="C228">D228:F228</f>
        <v>253.77280000093185</v>
      </c>
      <c r="D228" s="29">
        <v>253.77280000093185</v>
      </c>
      <c r="E228" s="29">
        <v>25.377279999999999</v>
      </c>
      <c r="F228" s="29">
        <v>253.77279999999999</v>
      </c>
      <c r="G228" s="29">
        <v>25.391860820000002</v>
      </c>
      <c r="H228" s="29">
        <v>253.91860819999999</v>
      </c>
      <c r="I228" s="29">
        <v>25.377279999999999</v>
      </c>
      <c r="J228" s="29">
        <v>253.77279999999999</v>
      </c>
    </row>
    <row r="229" spans="2:10">
      <c r="B229" t="s">
        <v>1269</v>
      </c>
      <c r="C229">
        <f t="array" ref="C229">D229:F229</f>
        <v>463.41070000310737</v>
      </c>
      <c r="D229" s="29">
        <v>463.41070000310737</v>
      </c>
      <c r="E229" s="29">
        <v>46.341070000000002</v>
      </c>
      <c r="F229" s="29">
        <v>463.41070000000002</v>
      </c>
      <c r="G229" s="29">
        <v>46.38969101</v>
      </c>
      <c r="H229" s="29">
        <v>463.89691010000001</v>
      </c>
      <c r="I229" s="29">
        <v>46.341070000000002</v>
      </c>
      <c r="J229" s="29">
        <v>463.41070000000002</v>
      </c>
    </row>
    <row r="230" spans="2:10">
      <c r="B230" t="s">
        <v>1357</v>
      </c>
      <c r="C230">
        <f t="array" ref="C230">D230:F230</f>
        <v>173007.07544610626</v>
      </c>
      <c r="D230" s="29">
        <v>173007.07544610626</v>
      </c>
      <c r="E230" s="29"/>
      <c r="F230" s="29"/>
      <c r="G230" s="29">
        <v>14236.7829067</v>
      </c>
      <c r="H230" s="29">
        <v>142367.82906700001</v>
      </c>
      <c r="I230" s="29"/>
      <c r="J230" s="29"/>
    </row>
    <row r="231" spans="2:10">
      <c r="B231" t="s">
        <v>1285</v>
      </c>
      <c r="C231">
        <f t="array" ref="C231">D231:F231</f>
        <v>8.7158626099110258E-3</v>
      </c>
      <c r="D231" s="29">
        <v>8.7158626099110258E-3</v>
      </c>
      <c r="E231" s="29"/>
      <c r="F231" s="29"/>
      <c r="G231" s="29">
        <v>1.8898700000000001E-3</v>
      </c>
      <c r="H231" s="29">
        <v>1.8898700000000001E-2</v>
      </c>
      <c r="I231" s="29"/>
      <c r="J231" s="29"/>
    </row>
    <row r="232" spans="2:10">
      <c r="B232" t="s">
        <v>1284</v>
      </c>
      <c r="C232">
        <f t="array" ref="C232">D232:F232</f>
        <v>57979.626880362637</v>
      </c>
      <c r="D232" s="29">
        <v>57979.626880362637</v>
      </c>
      <c r="E232" s="29"/>
      <c r="F232" s="29"/>
      <c r="G232" s="29">
        <v>5862.0139808699996</v>
      </c>
      <c r="H232" s="29">
        <v>58620.139808699998</v>
      </c>
      <c r="I232" s="29"/>
      <c r="J232" s="29"/>
    </row>
    <row r="233" spans="2:10">
      <c r="B233" t="s">
        <v>1288</v>
      </c>
      <c r="C233">
        <f t="array" ref="C233">D233:F233</f>
        <v>1.8868056662048551</v>
      </c>
      <c r="D233" s="29">
        <v>1.8868056662048551</v>
      </c>
      <c r="E233" s="29"/>
      <c r="F233" s="29"/>
      <c r="G233" s="29">
        <v>0.16232733999999999</v>
      </c>
      <c r="H233" s="29">
        <v>1.6232734</v>
      </c>
      <c r="I233" s="29"/>
      <c r="J233" s="29"/>
    </row>
    <row r="234" spans="2:10">
      <c r="B234" t="s">
        <v>1305</v>
      </c>
      <c r="C234">
        <f t="array" ref="C234">D234:F234</f>
        <v>0.36152700729932896</v>
      </c>
      <c r="D234" s="29">
        <v>0.36152700729932896</v>
      </c>
      <c r="E234" s="29">
        <v>1.9820000000000001E-2</v>
      </c>
      <c r="F234" s="29">
        <v>0.39639999999999997</v>
      </c>
      <c r="G234" s="29">
        <v>3.7064399999999997E-2</v>
      </c>
      <c r="H234" s="29">
        <v>0.37064399999999997</v>
      </c>
      <c r="I234" s="29">
        <v>1.9820000000000001E-2</v>
      </c>
      <c r="J234" s="29">
        <v>0.39639999999999997</v>
      </c>
    </row>
    <row r="235" spans="2:10">
      <c r="B235" t="s">
        <v>1304</v>
      </c>
      <c r="C235">
        <f t="array" ref="C235">D235:F235</f>
        <v>700</v>
      </c>
      <c r="D235" s="29">
        <v>700</v>
      </c>
      <c r="E235" s="29">
        <v>0</v>
      </c>
      <c r="F235" s="29">
        <v>700</v>
      </c>
      <c r="G235" s="29">
        <v>70</v>
      </c>
      <c r="H235" s="29">
        <v>700</v>
      </c>
      <c r="I235" s="29">
        <v>0</v>
      </c>
      <c r="J235" s="29">
        <v>700</v>
      </c>
    </row>
    <row r="236" spans="2:10">
      <c r="B236" t="s">
        <v>1310</v>
      </c>
      <c r="C236">
        <f t="array" ref="C236">D236:F236</f>
        <v>0.46177965094751749</v>
      </c>
      <c r="D236" s="29">
        <v>0.46177965094751749</v>
      </c>
      <c r="E236" s="29">
        <v>4.793E-2</v>
      </c>
      <c r="F236" s="29">
        <v>0.4793</v>
      </c>
      <c r="G236" s="29">
        <v>4.5308670000000002E-2</v>
      </c>
      <c r="H236" s="29">
        <v>0.45308670000000001</v>
      </c>
      <c r="I236" s="29">
        <v>4.793E-2</v>
      </c>
      <c r="J236" s="29">
        <v>0.4793</v>
      </c>
    </row>
    <row r="237" spans="2:10">
      <c r="B237" t="s">
        <v>1309</v>
      </c>
      <c r="C237">
        <f t="array" ref="C237">D237:F237</f>
        <v>0.36297600000000002</v>
      </c>
      <c r="D237" s="29">
        <v>0.36297600000000002</v>
      </c>
      <c r="E237" s="29">
        <v>0</v>
      </c>
      <c r="F237" s="29">
        <v>0.36297600000000002</v>
      </c>
      <c r="G237" s="29">
        <v>0</v>
      </c>
      <c r="H237" s="29">
        <v>0.36297600000000002</v>
      </c>
      <c r="I237" s="29">
        <v>0</v>
      </c>
      <c r="J237" s="29">
        <v>0.36297600000000002</v>
      </c>
    </row>
    <row r="238" spans="2:10">
      <c r="B238" t="s">
        <v>1308</v>
      </c>
      <c r="C238">
        <f t="array" ref="C238">D238:F238</f>
        <v>700</v>
      </c>
      <c r="D238" s="29">
        <v>700</v>
      </c>
      <c r="E238" s="29">
        <v>0</v>
      </c>
      <c r="F238" s="29">
        <v>700</v>
      </c>
      <c r="G238" s="29">
        <v>0</v>
      </c>
      <c r="H238" s="29">
        <v>700</v>
      </c>
      <c r="I238" s="29">
        <v>0</v>
      </c>
      <c r="J238" s="29">
        <v>700</v>
      </c>
    </row>
    <row r="239" spans="2:10">
      <c r="B239" t="s">
        <v>1312</v>
      </c>
      <c r="C239">
        <f t="array" ref="C239">D239:F239</f>
        <v>0.4538432</v>
      </c>
      <c r="D239" s="29">
        <v>0.4538432</v>
      </c>
      <c r="E239" s="29">
        <v>0</v>
      </c>
      <c r="F239" s="29">
        <v>0.4538432</v>
      </c>
      <c r="G239" s="29">
        <v>0</v>
      </c>
      <c r="H239" s="29">
        <v>0.4538432</v>
      </c>
      <c r="I239" s="29">
        <v>0</v>
      </c>
      <c r="J239" s="29">
        <v>0.4538432</v>
      </c>
    </row>
    <row r="240" spans="2:10">
      <c r="B240" t="s">
        <v>1307</v>
      </c>
      <c r="C240">
        <f t="array" ref="C240">D240:F240</f>
        <v>0.36152700729932896</v>
      </c>
      <c r="D240" s="29">
        <v>0.36152700729932896</v>
      </c>
      <c r="E240" s="29">
        <v>3.9640000000000002E-2</v>
      </c>
      <c r="F240" s="29">
        <v>0.39639999999999997</v>
      </c>
      <c r="G240" s="29">
        <v>3.7064399999999997E-2</v>
      </c>
      <c r="H240" s="29">
        <v>0.37064399999999997</v>
      </c>
      <c r="I240" s="29">
        <v>3.9640000000000002E-2</v>
      </c>
      <c r="J240" s="29">
        <v>0.39639999999999997</v>
      </c>
    </row>
    <row r="241" spans="2:10">
      <c r="B241" t="s">
        <v>1306</v>
      </c>
      <c r="C241">
        <f t="array" ref="C241">D241:F241</f>
        <v>1689.0166771432591</v>
      </c>
      <c r="D241" s="29">
        <v>1689.0166771432591</v>
      </c>
      <c r="E241" s="29">
        <v>88.077349999999996</v>
      </c>
      <c r="F241" s="29">
        <v>1761.547</v>
      </c>
      <c r="G241" s="29">
        <v>177.13037405</v>
      </c>
      <c r="H241" s="29">
        <v>1771.3037405</v>
      </c>
      <c r="I241" s="29">
        <v>88.077349999999996</v>
      </c>
      <c r="J241" s="29">
        <v>1761.547</v>
      </c>
    </row>
    <row r="242" spans="2:10">
      <c r="B242" t="s">
        <v>1311</v>
      </c>
      <c r="C242">
        <f t="array" ref="C242">D242:F242</f>
        <v>0.46177965094751749</v>
      </c>
      <c r="D242" s="29">
        <v>0.46177965094751749</v>
      </c>
      <c r="E242" s="29">
        <v>0.10126</v>
      </c>
      <c r="F242" s="29">
        <v>0.50629999999999997</v>
      </c>
      <c r="G242" s="29">
        <v>4.5308670000000002E-2</v>
      </c>
      <c r="H242" s="29">
        <v>0.45308670000000001</v>
      </c>
      <c r="I242" s="29">
        <v>0.10126</v>
      </c>
      <c r="J242" s="29">
        <v>0.50629999999999997</v>
      </c>
    </row>
    <row r="243" spans="2:10">
      <c r="B243" t="s">
        <v>1315</v>
      </c>
      <c r="C243">
        <f t="array" ref="C243">D243:F243</f>
        <v>0</v>
      </c>
      <c r="D243" s="29">
        <v>0</v>
      </c>
      <c r="E243" s="29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</row>
    <row r="244" spans="2:10">
      <c r="B244" t="s">
        <v>1360</v>
      </c>
      <c r="C244">
        <f t="array" ref="C244">D244:F244</f>
        <v>26849.40981859613</v>
      </c>
      <c r="D244" s="29">
        <v>26849.40981859613</v>
      </c>
      <c r="E244" s="29">
        <v>2684.9409999999998</v>
      </c>
      <c r="F244" s="29">
        <v>26849.41</v>
      </c>
      <c r="G244" s="29">
        <v>2598.0465189500001</v>
      </c>
      <c r="H244" s="29">
        <v>25980.465189499999</v>
      </c>
      <c r="I244" s="29">
        <v>2684.9409999999998</v>
      </c>
      <c r="J244" s="29">
        <v>26849.41</v>
      </c>
    </row>
    <row r="245" spans="2:10">
      <c r="B245" t="s">
        <v>1278</v>
      </c>
      <c r="C245">
        <f t="array" ref="C245">D245:F245</f>
        <v>0</v>
      </c>
      <c r="D245" s="29">
        <v>0</v>
      </c>
      <c r="E245" s="29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</row>
    <row r="246" spans="2:10">
      <c r="B246" t="s">
        <v>1274</v>
      </c>
      <c r="C246">
        <f t="array" ref="C246">D246:F246</f>
        <v>5133.4779976126429</v>
      </c>
      <c r="D246" s="29">
        <v>5133.4779976126429</v>
      </c>
      <c r="E246" s="29">
        <v>513.34780000000001</v>
      </c>
      <c r="F246" s="29">
        <v>5133.4780000000001</v>
      </c>
      <c r="G246" s="29">
        <v>514.83941000000004</v>
      </c>
      <c r="H246" s="29">
        <v>5148.3941000000004</v>
      </c>
      <c r="I246" s="29">
        <v>513.34780000000001</v>
      </c>
      <c r="J246" s="29">
        <v>5133.4780000000001</v>
      </c>
    </row>
    <row r="247" spans="2:10">
      <c r="B247" t="s">
        <v>1295</v>
      </c>
      <c r="C247">
        <f t="array" ref="C247">D247:F247</f>
        <v>0</v>
      </c>
      <c r="D247" s="29">
        <v>0</v>
      </c>
      <c r="E247" s="29">
        <v>0</v>
      </c>
      <c r="F247" s="29">
        <v>0</v>
      </c>
      <c r="G247" s="29">
        <v>0</v>
      </c>
      <c r="H247" s="29">
        <v>0</v>
      </c>
      <c r="I247" s="29">
        <v>0</v>
      </c>
      <c r="J247" s="29">
        <v>0</v>
      </c>
    </row>
    <row r="248" spans="2:10">
      <c r="B248" t="s">
        <v>1290</v>
      </c>
      <c r="C248">
        <f t="array" ref="C248">D248:F248</f>
        <v>0</v>
      </c>
      <c r="D248" s="29">
        <v>0</v>
      </c>
      <c r="E248" s="29">
        <v>0</v>
      </c>
      <c r="F248" s="29">
        <v>0</v>
      </c>
      <c r="G248" s="29">
        <v>0</v>
      </c>
      <c r="H248" s="29">
        <v>0</v>
      </c>
      <c r="I248" s="29">
        <v>0</v>
      </c>
      <c r="J248" s="29">
        <v>0</v>
      </c>
    </row>
    <row r="249" spans="2:10">
      <c r="B249" t="s">
        <v>1291</v>
      </c>
      <c r="C249">
        <f t="array" ref="C249">D249:F249</f>
        <v>0</v>
      </c>
      <c r="D249" s="29">
        <v>0</v>
      </c>
      <c r="E249" s="29">
        <v>0</v>
      </c>
      <c r="F249" s="29">
        <v>0</v>
      </c>
      <c r="G249" s="29">
        <v>0</v>
      </c>
      <c r="H249" s="29">
        <v>0</v>
      </c>
      <c r="I249" s="29">
        <v>0</v>
      </c>
      <c r="J249" s="29">
        <v>0</v>
      </c>
    </row>
    <row r="250" spans="2:10">
      <c r="B250" t="s">
        <v>1277</v>
      </c>
      <c r="C250">
        <f t="array" ref="C250">D250:F250</f>
        <v>2399.9999994781847</v>
      </c>
      <c r="D250" s="29">
        <v>2399.9999994781847</v>
      </c>
      <c r="E250" s="29">
        <v>240</v>
      </c>
      <c r="F250" s="29">
        <v>2400</v>
      </c>
      <c r="G250" s="29">
        <v>248.15068986</v>
      </c>
      <c r="H250" s="29">
        <v>2481.5068986000001</v>
      </c>
      <c r="I250" s="29">
        <v>240</v>
      </c>
      <c r="J250" s="29">
        <v>2400</v>
      </c>
    </row>
    <row r="251" spans="2:10">
      <c r="B251" t="s">
        <v>1302</v>
      </c>
      <c r="C251">
        <f t="array" ref="C251">D251:F251</f>
        <v>18119.219970257804</v>
      </c>
      <c r="D251" s="29">
        <v>18119.219970257804</v>
      </c>
      <c r="E251" s="29">
        <v>1811.922</v>
      </c>
      <c r="F251" s="29">
        <v>18119.22</v>
      </c>
      <c r="G251" s="29">
        <v>1816.2221668499999</v>
      </c>
      <c r="H251" s="29">
        <v>18162.221668499998</v>
      </c>
      <c r="I251" s="29">
        <v>1811.922</v>
      </c>
      <c r="J251" s="29">
        <v>18119.22</v>
      </c>
    </row>
    <row r="252" spans="2:10">
      <c r="B252" t="s">
        <v>1292</v>
      </c>
      <c r="C252">
        <f t="array" ref="C252">D252:F252</f>
        <v>14623.819980626156</v>
      </c>
      <c r="D252" s="29">
        <v>14623.819980626156</v>
      </c>
      <c r="E252" s="29">
        <v>1462.3820000000001</v>
      </c>
      <c r="F252" s="29">
        <v>14623.82</v>
      </c>
      <c r="G252" s="29">
        <v>1465.18309589</v>
      </c>
      <c r="H252" s="29">
        <v>14651.8309589</v>
      </c>
      <c r="I252" s="29">
        <v>1462.3820000000001</v>
      </c>
      <c r="J252" s="29">
        <v>14623.82</v>
      </c>
    </row>
    <row r="253" spans="2:10">
      <c r="B253" t="s">
        <v>1298</v>
      </c>
      <c r="C253">
        <f t="array" ref="C253">D253:F253</f>
        <v>28797.77992487021</v>
      </c>
      <c r="D253" s="29">
        <v>28797.77992487021</v>
      </c>
      <c r="E253" s="29">
        <v>2879.7779999999998</v>
      </c>
      <c r="F253" s="29">
        <v>28797.78</v>
      </c>
      <c r="G253" s="29">
        <v>2890.6403634500002</v>
      </c>
      <c r="H253" s="29">
        <v>28906.403634499999</v>
      </c>
      <c r="I253" s="29">
        <v>2879.7779999999998</v>
      </c>
      <c r="J253" s="29">
        <v>28797.78</v>
      </c>
    </row>
    <row r="254" spans="2:10">
      <c r="B254" t="s">
        <v>1301</v>
      </c>
      <c r="C254">
        <f t="array" ref="C254">D254:F254</f>
        <v>29860.139919224832</v>
      </c>
      <c r="D254" s="29">
        <v>29860.139919224832</v>
      </c>
      <c r="E254" s="29">
        <v>2986.0140000000001</v>
      </c>
      <c r="F254" s="29">
        <v>29860.14</v>
      </c>
      <c r="G254" s="29">
        <v>2997.6925786500001</v>
      </c>
      <c r="H254" s="29">
        <v>29976.9257865</v>
      </c>
      <c r="I254" s="29">
        <v>2986.0140000000001</v>
      </c>
      <c r="J254" s="29">
        <v>29860.14</v>
      </c>
    </row>
    <row r="255" spans="2:10">
      <c r="B255" t="s">
        <v>1303</v>
      </c>
      <c r="C255">
        <f t="array" ref="C255">D255:F255</f>
        <v>47999.999790748188</v>
      </c>
      <c r="D255" s="29">
        <v>47999.999790748188</v>
      </c>
      <c r="E255" s="29">
        <v>4800</v>
      </c>
      <c r="F255" s="29">
        <v>48000</v>
      </c>
      <c r="G255" s="29">
        <v>6278.7163178199999</v>
      </c>
      <c r="H255" s="29">
        <v>62787.163178199997</v>
      </c>
      <c r="I255" s="29">
        <v>4800</v>
      </c>
      <c r="J255" s="29">
        <v>48000</v>
      </c>
    </row>
    <row r="256" spans="2:10">
      <c r="B256" t="s">
        <v>1270</v>
      </c>
      <c r="C256">
        <f t="array" ref="C256">D256:F256</f>
        <v>599.99999996738654</v>
      </c>
      <c r="D256" s="29">
        <v>599.99999996738654</v>
      </c>
      <c r="E256" s="29">
        <v>60</v>
      </c>
      <c r="F256" s="29">
        <v>600</v>
      </c>
      <c r="G256" s="29">
        <v>60.509418119999999</v>
      </c>
      <c r="H256" s="29">
        <v>605.09418119999998</v>
      </c>
      <c r="I256" s="29">
        <v>60</v>
      </c>
      <c r="J256" s="29">
        <v>600</v>
      </c>
    </row>
    <row r="257" spans="2:10">
      <c r="B257" t="s">
        <v>1275</v>
      </c>
      <c r="C257">
        <f t="array" ref="C257">D257:F257</f>
        <v>0</v>
      </c>
      <c r="D257" s="29">
        <v>0</v>
      </c>
      <c r="E257" s="29">
        <v>0</v>
      </c>
      <c r="F257" s="29">
        <v>0</v>
      </c>
      <c r="G257" s="29">
        <v>0</v>
      </c>
      <c r="H257" s="29">
        <v>0</v>
      </c>
      <c r="I257" s="29">
        <v>0</v>
      </c>
      <c r="J257" s="29">
        <v>0</v>
      </c>
    </row>
    <row r="258" spans="2:10">
      <c r="B258" t="s">
        <v>1293</v>
      </c>
      <c r="C258">
        <f t="array" ref="C258">D258:F258</f>
        <v>893.18199992772759</v>
      </c>
      <c r="D258" s="29">
        <v>893.18199992772759</v>
      </c>
      <c r="E258" s="29">
        <v>89.318200000000004</v>
      </c>
      <c r="F258" s="29">
        <v>893.18200000000002</v>
      </c>
      <c r="G258" s="29">
        <v>89.328649279999993</v>
      </c>
      <c r="H258" s="29">
        <v>893.28649280000002</v>
      </c>
      <c r="I258" s="29">
        <v>89.318200000000004</v>
      </c>
      <c r="J258" s="29">
        <v>893.18200000000002</v>
      </c>
    </row>
    <row r="259" spans="2:10">
      <c r="B259" t="s">
        <v>1280</v>
      </c>
      <c r="C259">
        <f t="array" ref="C259">D259:F259</f>
        <v>0</v>
      </c>
      <c r="D259" s="29">
        <v>0</v>
      </c>
      <c r="E259" s="29">
        <v>0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</row>
    <row r="260" spans="2:10">
      <c r="B260" t="s">
        <v>1276</v>
      </c>
      <c r="C260">
        <f t="array" ref="C260">D260:F260</f>
        <v>0</v>
      </c>
      <c r="D260" s="29">
        <v>0</v>
      </c>
      <c r="E260" s="29">
        <v>0</v>
      </c>
      <c r="F260" s="29">
        <v>0</v>
      </c>
      <c r="G260" s="29">
        <v>0</v>
      </c>
      <c r="H260" s="29">
        <v>0</v>
      </c>
      <c r="I260" s="29">
        <v>0</v>
      </c>
      <c r="J260" s="29">
        <v>0</v>
      </c>
    </row>
    <row r="261" spans="2:10">
      <c r="B261" t="s">
        <v>1202</v>
      </c>
      <c r="C261">
        <f t="array" ref="C261">D261:F261</f>
        <v>0</v>
      </c>
      <c r="D261" s="29">
        <v>0</v>
      </c>
      <c r="E261" s="29">
        <v>0</v>
      </c>
      <c r="F261" s="29">
        <v>0</v>
      </c>
      <c r="G261" s="29">
        <v>3.9082989999999998E-2</v>
      </c>
      <c r="H261" s="29">
        <v>0.39082990000000001</v>
      </c>
      <c r="I261" s="29">
        <v>0</v>
      </c>
      <c r="J261" s="29">
        <v>0</v>
      </c>
    </row>
    <row r="262" spans="2:10">
      <c r="B262" t="s">
        <v>1201</v>
      </c>
      <c r="C262">
        <f t="array" ref="C262">D262:F262</f>
        <v>0</v>
      </c>
      <c r="D262" s="29">
        <v>0</v>
      </c>
      <c r="E262" s="29">
        <v>0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</row>
    <row r="263" spans="2:10">
      <c r="B263" t="s">
        <v>1211</v>
      </c>
      <c r="C263">
        <f t="array" ref="C263">D263:F263</f>
        <v>0</v>
      </c>
      <c r="D263" s="29">
        <v>0</v>
      </c>
      <c r="E263" s="29">
        <v>0</v>
      </c>
      <c r="F263" s="29">
        <v>0</v>
      </c>
      <c r="G263" s="29">
        <v>36.139702900000003</v>
      </c>
      <c r="H263" s="29">
        <v>361.39702899999997</v>
      </c>
      <c r="I263" s="29">
        <v>0</v>
      </c>
      <c r="J263" s="29">
        <v>0</v>
      </c>
    </row>
    <row r="264" spans="2:10">
      <c r="B264" t="s">
        <v>1230</v>
      </c>
      <c r="C264">
        <f t="array" ref="C264">D264:F264</f>
        <v>0.41959999999999997</v>
      </c>
      <c r="D264" s="29">
        <v>0.41959999999999997</v>
      </c>
      <c r="E264" s="29">
        <v>0</v>
      </c>
      <c r="F264" s="29">
        <v>0.41959999999999997</v>
      </c>
      <c r="G264" s="29">
        <v>3.9082989999999998E-2</v>
      </c>
      <c r="H264" s="29">
        <v>0.39082990000000001</v>
      </c>
      <c r="I264" s="29">
        <v>0</v>
      </c>
      <c r="J264" s="29">
        <v>0.41959999999999997</v>
      </c>
    </row>
    <row r="265" spans="2:10">
      <c r="B265" t="s">
        <v>1229</v>
      </c>
      <c r="C265">
        <f t="array" ref="C265">D265:F265</f>
        <v>0.40776172813470779</v>
      </c>
      <c r="D265" s="29">
        <v>0.40776172813470779</v>
      </c>
      <c r="E265" s="29">
        <v>118.54192500000001</v>
      </c>
      <c r="F265" s="29">
        <v>474.16770000000002</v>
      </c>
      <c r="G265" s="29">
        <v>0</v>
      </c>
      <c r="H265" s="29">
        <v>0</v>
      </c>
      <c r="I265" s="29">
        <v>118.54192500000001</v>
      </c>
      <c r="J265" s="29">
        <v>474.16770000000002</v>
      </c>
    </row>
    <row r="266" spans="2:10">
      <c r="B266" t="s">
        <v>1235</v>
      </c>
      <c r="C266">
        <f t="array" ref="C266">D266:F266</f>
        <v>3.8036782780499559E-49</v>
      </c>
      <c r="D266" s="29">
        <v>3.8036782780499559E-49</v>
      </c>
      <c r="E266" s="29">
        <v>4.6039999999999998E-2</v>
      </c>
      <c r="F266" s="29">
        <v>0.46039999999999998</v>
      </c>
      <c r="G266" s="29">
        <v>36.139702900000003</v>
      </c>
      <c r="H266" s="29">
        <v>361.39702899999997</v>
      </c>
      <c r="I266" s="29">
        <v>4.6039999999999998E-2</v>
      </c>
      <c r="J266" s="29">
        <v>0.46039999999999998</v>
      </c>
    </row>
    <row r="267" spans="2:10">
      <c r="B267" t="s">
        <v>1206</v>
      </c>
      <c r="C267">
        <f t="array" ref="C267">D267:F267</f>
        <v>1.0731793225267156E-33</v>
      </c>
      <c r="D267" s="29">
        <v>1.0731793225267156E-33</v>
      </c>
      <c r="E267" s="29"/>
      <c r="F267" s="29"/>
      <c r="G267" s="29">
        <v>3.9082989999999998E-2</v>
      </c>
      <c r="H267" s="29">
        <v>0.39082990000000001</v>
      </c>
      <c r="I267" s="29"/>
      <c r="J267" s="29"/>
    </row>
    <row r="268" spans="2:10">
      <c r="B268" t="s">
        <v>1205</v>
      </c>
      <c r="C268">
        <f t="array" ref="C268">D268:F268</f>
        <v>0</v>
      </c>
      <c r="D268" s="29">
        <v>0</v>
      </c>
      <c r="E268" s="29">
        <v>0</v>
      </c>
      <c r="F268" s="29">
        <v>0</v>
      </c>
      <c r="G268" s="29">
        <v>0</v>
      </c>
      <c r="H268" s="29">
        <v>0</v>
      </c>
      <c r="I268" s="29">
        <v>0</v>
      </c>
      <c r="J268" s="29">
        <v>0</v>
      </c>
    </row>
    <row r="269" spans="2:10">
      <c r="B269" t="s">
        <v>1208</v>
      </c>
      <c r="C269">
        <f t="array" ref="C269">D269:F269</f>
        <v>0.43959999999999999</v>
      </c>
      <c r="D269" s="29">
        <v>0.43959999999999999</v>
      </c>
      <c r="E269" s="29">
        <v>0</v>
      </c>
      <c r="F269" s="29">
        <v>0.43959999999999999</v>
      </c>
      <c r="G269" s="29">
        <v>0</v>
      </c>
      <c r="H269" s="29">
        <v>0.41959999999999997</v>
      </c>
      <c r="I269" s="29">
        <v>0</v>
      </c>
      <c r="J269" s="29">
        <v>0.43959999999999999</v>
      </c>
    </row>
    <row r="270" spans="2:10">
      <c r="B270" t="s">
        <v>1232</v>
      </c>
      <c r="C270">
        <f t="array" ref="C270">D270:F270</f>
        <v>-2.2578895490594498E-34</v>
      </c>
      <c r="D270" s="29">
        <v>-2.2578895490594498E-34</v>
      </c>
      <c r="E270" s="29"/>
      <c r="F270" s="29"/>
      <c r="G270" s="29">
        <v>3.9082989999999998E-2</v>
      </c>
      <c r="H270" s="29">
        <v>0.39082990000000001</v>
      </c>
      <c r="I270" s="29"/>
      <c r="J270" s="29"/>
    </row>
    <row r="271" spans="2:10">
      <c r="B271" t="s">
        <v>1231</v>
      </c>
      <c r="C271">
        <f t="array" ref="C271">D271:F271</f>
        <v>2105.2852009476715</v>
      </c>
      <c r="D271" s="29">
        <v>2105.2852009476715</v>
      </c>
      <c r="E271" s="29">
        <v>435.24225000000001</v>
      </c>
      <c r="F271" s="29">
        <v>1740.9690000000001</v>
      </c>
      <c r="G271" s="29">
        <v>41.559362999999998</v>
      </c>
      <c r="H271" s="29">
        <v>415.59363000000002</v>
      </c>
      <c r="I271" s="29">
        <v>435.24225000000001</v>
      </c>
      <c r="J271" s="29">
        <v>1740.9690000000001</v>
      </c>
    </row>
    <row r="272" spans="2:10">
      <c r="B272" t="s">
        <v>1238</v>
      </c>
      <c r="C272">
        <f t="array" ref="C272">D272:F272</f>
        <v>0.43959999999999999</v>
      </c>
      <c r="D272" s="29">
        <v>0.43959999999999999</v>
      </c>
      <c r="E272" s="29">
        <v>4.2130000000000001E-2</v>
      </c>
      <c r="F272" s="29">
        <v>0.42130000000000001</v>
      </c>
      <c r="G272" s="29">
        <v>4.1959999999999997E-2</v>
      </c>
      <c r="H272" s="29">
        <v>0.41959999999999997</v>
      </c>
      <c r="I272" s="29">
        <v>4.2130000000000001E-2</v>
      </c>
      <c r="J272" s="29">
        <v>0.42130000000000001</v>
      </c>
    </row>
    <row r="273" spans="2:10">
      <c r="B273" t="s">
        <v>1204</v>
      </c>
      <c r="C273">
        <f t="array" ref="C273">D273:F273</f>
        <v>-1.8452204804600918</v>
      </c>
      <c r="D273" s="29">
        <v>-1.8452204804600918</v>
      </c>
      <c r="E273" s="29"/>
      <c r="F273" s="29"/>
      <c r="G273" s="29">
        <v>3.74214E-2</v>
      </c>
      <c r="H273" s="29">
        <v>0.37421399999999999</v>
      </c>
      <c r="I273" s="29"/>
      <c r="J273" s="29"/>
    </row>
    <row r="274" spans="2:10">
      <c r="B274" t="s">
        <v>1203</v>
      </c>
      <c r="C274">
        <f t="array" ref="C274">D274:F274</f>
        <v>0</v>
      </c>
      <c r="D274" s="29">
        <v>0</v>
      </c>
      <c r="E274" s="29">
        <v>0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</row>
    <row r="275" spans="2:10">
      <c r="B275" t="s">
        <v>1210</v>
      </c>
      <c r="C275">
        <f t="array" ref="C275">D275:F275</f>
        <v>0.5202</v>
      </c>
      <c r="D275" s="29">
        <v>0.5202</v>
      </c>
      <c r="E275" s="29">
        <v>0</v>
      </c>
      <c r="F275" s="29">
        <v>0.5202</v>
      </c>
      <c r="G275" s="29">
        <v>0</v>
      </c>
      <c r="H275" s="29">
        <v>0.43959999999999999</v>
      </c>
      <c r="I275" s="29">
        <v>0</v>
      </c>
      <c r="J275" s="29">
        <v>0.5202</v>
      </c>
    </row>
    <row r="276" spans="2:10">
      <c r="B276" t="s">
        <v>1228</v>
      </c>
      <c r="C276">
        <f t="array" ref="C276">D276:F276</f>
        <v>-1.8452204804600916</v>
      </c>
      <c r="D276" s="29">
        <v>-1.8452204804600916</v>
      </c>
      <c r="E276" s="29"/>
      <c r="F276" s="29"/>
      <c r="G276" s="29">
        <v>3.74214E-2</v>
      </c>
      <c r="H276" s="29">
        <v>0.37421399999999999</v>
      </c>
      <c r="I276" s="29"/>
      <c r="J276" s="29"/>
    </row>
    <row r="277" spans="2:10">
      <c r="B277" t="s">
        <v>1227</v>
      </c>
      <c r="C277">
        <f t="array" ref="C277">D277:F277</f>
        <v>0</v>
      </c>
      <c r="D277" s="29">
        <v>0</v>
      </c>
      <c r="E277" s="29">
        <v>0</v>
      </c>
      <c r="F277" s="29">
        <v>0</v>
      </c>
      <c r="G277" s="29">
        <v>154.41572060999999</v>
      </c>
      <c r="H277" s="29">
        <v>1544.1572060999999</v>
      </c>
      <c r="I277" s="29">
        <v>0</v>
      </c>
      <c r="J277" s="29">
        <v>0</v>
      </c>
    </row>
    <row r="278" spans="2:10">
      <c r="B278" t="s">
        <v>1236</v>
      </c>
      <c r="C278">
        <f t="array" ref="C278">D278:F278</f>
        <v>0.5202</v>
      </c>
      <c r="D278" s="29">
        <v>0.5202</v>
      </c>
      <c r="E278" s="29">
        <v>0</v>
      </c>
      <c r="F278" s="29">
        <v>0.5202</v>
      </c>
      <c r="G278" s="29">
        <v>4.3959999999999999E-2</v>
      </c>
      <c r="H278" s="29">
        <v>0.43959999999999999</v>
      </c>
      <c r="I278" s="29">
        <v>0</v>
      </c>
      <c r="J278" s="29">
        <v>0.5202</v>
      </c>
    </row>
    <row r="279" spans="2:10">
      <c r="B279" t="s">
        <v>1200</v>
      </c>
      <c r="C279">
        <f t="array" ref="C279">D279:F279</f>
        <v>-1.8452204804600916</v>
      </c>
      <c r="D279" s="29">
        <v>-1.8452204804600916</v>
      </c>
      <c r="E279" s="29"/>
      <c r="F279" s="29"/>
      <c r="G279" s="29">
        <v>3.74214E-2</v>
      </c>
      <c r="H279" s="29">
        <v>0.37421399999999999</v>
      </c>
      <c r="I279" s="29"/>
      <c r="J279" s="29"/>
    </row>
    <row r="280" spans="2:10">
      <c r="B280" t="s">
        <v>1199</v>
      </c>
      <c r="C280">
        <f t="array" ref="C280">D280:F280</f>
        <v>13280.73509350524</v>
      </c>
      <c r="D280" s="29">
        <v>13280.73509350524</v>
      </c>
      <c r="E280" s="29">
        <v>785.25900000000001</v>
      </c>
      <c r="F280" s="29">
        <v>15705.18</v>
      </c>
      <c r="G280" s="29">
        <v>0</v>
      </c>
      <c r="H280" s="29">
        <v>0</v>
      </c>
      <c r="I280" s="29">
        <v>785.25900000000001</v>
      </c>
      <c r="J280" s="29">
        <v>15705.18</v>
      </c>
    </row>
    <row r="281" spans="2:10">
      <c r="B281" t="s">
        <v>1209</v>
      </c>
      <c r="C281">
        <f t="array" ref="C281">D281:F281</f>
        <v>1.8898700000000001E-2</v>
      </c>
      <c r="D281" s="29">
        <v>1.8898700000000001E-2</v>
      </c>
      <c r="E281" s="29">
        <v>0</v>
      </c>
      <c r="F281" s="29">
        <v>1.8898700000000001E-2</v>
      </c>
      <c r="G281" s="29">
        <v>0</v>
      </c>
      <c r="H281" s="29">
        <v>0.5202</v>
      </c>
      <c r="I281" s="29">
        <v>0</v>
      </c>
      <c r="J281" s="29">
        <v>1.8898700000000001E-2</v>
      </c>
    </row>
    <row r="282" spans="2:10">
      <c r="B282" t="s">
        <v>1234</v>
      </c>
      <c r="C282">
        <f t="array" ref="C282">D282:F282</f>
        <v>-1.8452204804600916</v>
      </c>
      <c r="D282" s="29">
        <v>-1.8452204804600916</v>
      </c>
      <c r="E282" s="29"/>
      <c r="F282" s="29"/>
      <c r="G282" s="29">
        <v>3.74214E-2</v>
      </c>
      <c r="H282" s="29">
        <v>0.37421399999999999</v>
      </c>
      <c r="I282" s="29"/>
      <c r="J282" s="29"/>
    </row>
    <row r="283" spans="2:10">
      <c r="B283" t="s">
        <v>1233</v>
      </c>
      <c r="C283">
        <f t="array" ref="C283">D283:F283</f>
        <v>-273.13292217100536</v>
      </c>
      <c r="D283" s="29">
        <v>-273.13292217100536</v>
      </c>
      <c r="E283" s="29"/>
      <c r="F283" s="29"/>
      <c r="G283" s="29">
        <v>0</v>
      </c>
      <c r="H283" s="29">
        <v>0</v>
      </c>
      <c r="I283" s="29"/>
      <c r="J283" s="29"/>
    </row>
    <row r="284" spans="2:10">
      <c r="B284" t="s">
        <v>1237</v>
      </c>
      <c r="C284">
        <f t="array" ref="C284">D284:F284</f>
        <v>1.8898700000000001E-2</v>
      </c>
      <c r="D284" s="29">
        <v>1.8898700000000001E-2</v>
      </c>
      <c r="E284" s="29"/>
      <c r="F284" s="29"/>
      <c r="G284" s="29">
        <v>0</v>
      </c>
      <c r="H284" s="29">
        <v>0.5202</v>
      </c>
      <c r="I284" s="29"/>
      <c r="J284" s="29"/>
    </row>
    <row r="285" spans="2:10">
      <c r="B285" t="s">
        <v>1283</v>
      </c>
      <c r="C285">
        <f t="array" ref="C285">D285:F285</f>
        <v>-15797.095904140835</v>
      </c>
      <c r="D285" s="29">
        <v>-15797.095904140835</v>
      </c>
      <c r="E285" s="29"/>
      <c r="F285" s="29"/>
      <c r="G285" s="29">
        <v>1563.0852667700001</v>
      </c>
      <c r="H285" s="29">
        <v>15630.852667700001</v>
      </c>
      <c r="I285" s="29"/>
      <c r="J285" s="29"/>
    </row>
    <row r="286" spans="2:10">
      <c r="B286" t="s">
        <v>1267</v>
      </c>
      <c r="C286">
        <f t="array" ref="C286">D286:F286</f>
        <v>7.0139646618698004E-3</v>
      </c>
      <c r="D286" s="29">
        <v>7.0139646618698004E-3</v>
      </c>
      <c r="E286" s="29">
        <v>5.2991999999999997E-2</v>
      </c>
      <c r="F286" s="29">
        <v>2.6496</v>
      </c>
      <c r="G286" s="29">
        <v>0</v>
      </c>
      <c r="H286" s="29">
        <v>1.8898700000000001E-2</v>
      </c>
      <c r="I286" s="29">
        <v>5.2991999999999997E-2</v>
      </c>
      <c r="J286" s="29">
        <v>2.6496</v>
      </c>
    </row>
    <row r="287" spans="2:10">
      <c r="B287" t="s">
        <v>1266</v>
      </c>
      <c r="C287">
        <f t="array" ref="C287">D287:F287</f>
        <v>57979.626880362637</v>
      </c>
      <c r="D287" s="29">
        <v>57979.626880362637</v>
      </c>
      <c r="E287" s="29"/>
      <c r="F287" s="29"/>
      <c r="G287" s="29">
        <v>5862.0139808699996</v>
      </c>
      <c r="H287" s="29">
        <v>58620.139808699998</v>
      </c>
      <c r="I287" s="29"/>
      <c r="J287" s="29"/>
    </row>
    <row r="288" spans="2:10">
      <c r="B288" t="s">
        <v>1272</v>
      </c>
      <c r="C288">
        <f t="array" ref="C288">D288:F288</f>
        <v>2.7146317349723086</v>
      </c>
      <c r="D288" s="29">
        <v>2.7146317349723086</v>
      </c>
      <c r="E288" s="29"/>
      <c r="F288" s="29"/>
      <c r="G288" s="29">
        <v>0.26943586000000003</v>
      </c>
      <c r="H288" s="29">
        <v>2.6943586000000002</v>
      </c>
      <c r="I288" s="29"/>
      <c r="J288" s="29"/>
    </row>
    <row r="289" spans="2:10">
      <c r="B289" t="s">
        <v>1313</v>
      </c>
      <c r="C289">
        <f t="array" ref="C289">D289:F289</f>
        <v>0</v>
      </c>
      <c r="D289" s="29">
        <v>0</v>
      </c>
      <c r="E289" s="29"/>
      <c r="F289" s="29"/>
      <c r="G289" s="29">
        <v>0</v>
      </c>
      <c r="H289" s="29">
        <v>0</v>
      </c>
      <c r="I289" s="29"/>
      <c r="J289" s="29"/>
    </row>
    <row r="290" spans="2:10">
      <c r="B290" t="s">
        <v>1314</v>
      </c>
      <c r="C290">
        <f t="array" ref="C290">D290:F290</f>
        <v>0</v>
      </c>
      <c r="D290" s="29">
        <v>0</v>
      </c>
      <c r="E290" s="29">
        <v>0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</row>
    <row r="291" spans="2:10">
      <c r="B291" t="s">
        <v>1365</v>
      </c>
      <c r="C291">
        <f t="array" ref="C291">D291:F291</f>
        <v>-5902.8326271468159</v>
      </c>
      <c r="D291" s="29">
        <v>-5902.8326271468159</v>
      </c>
      <c r="E291" s="29"/>
      <c r="F291" s="29"/>
      <c r="G291" s="29">
        <v>2.8589000000000002E-4</v>
      </c>
      <c r="H291" s="29">
        <v>2.8589000000000002E-3</v>
      </c>
      <c r="I291" s="29"/>
      <c r="J291" s="29"/>
    </row>
    <row r="292" spans="2:10">
      <c r="B292" t="s">
        <v>1364</v>
      </c>
      <c r="C292">
        <f t="array" ref="C292">D292:F292</f>
        <v>39913.594305772909</v>
      </c>
      <c r="D292" s="29">
        <v>39913.594305772909</v>
      </c>
      <c r="E292" s="29"/>
      <c r="F292" s="29"/>
      <c r="G292" s="29">
        <v>5569.53069314</v>
      </c>
      <c r="H292" s="29">
        <v>55695.306931400002</v>
      </c>
      <c r="I292" s="29"/>
      <c r="J292" s="29"/>
    </row>
    <row r="293" spans="2:10">
      <c r="B293" t="s">
        <v>1366</v>
      </c>
      <c r="C293">
        <f t="array" ref="C293">D293:F293</f>
        <v>0.63810988398640855</v>
      </c>
      <c r="D293" s="29">
        <v>0.63810988398640855</v>
      </c>
      <c r="E293" s="29"/>
      <c r="F293" s="29"/>
      <c r="G293" s="29">
        <v>9.0393940000000006E-2</v>
      </c>
      <c r="H293" s="29">
        <v>0.90393939999999995</v>
      </c>
      <c r="I293" s="29"/>
      <c r="J293" s="29"/>
    </row>
    <row r="294" spans="2:10">
      <c r="B294" t="s">
        <v>1261</v>
      </c>
      <c r="C294">
        <f t="array" ref="C294">D294:F294</f>
        <v>3.0994999999999998E-3</v>
      </c>
      <c r="D294" s="29">
        <v>3.0994999999999998E-3</v>
      </c>
      <c r="E294" s="29">
        <v>0</v>
      </c>
      <c r="F294" s="29">
        <v>3.0994999999999998E-3</v>
      </c>
      <c r="G294" s="29">
        <v>0</v>
      </c>
      <c r="H294" s="29">
        <v>3.0994999999999998E-3</v>
      </c>
      <c r="I294" s="29">
        <v>0</v>
      </c>
      <c r="J294" s="29">
        <v>3.0994999999999998E-3</v>
      </c>
    </row>
    <row r="295" spans="2:10">
      <c r="B295" t="s">
        <v>1260</v>
      </c>
      <c r="C295">
        <f t="array" ref="C295">D295:F295</f>
        <v>57630.047170825121</v>
      </c>
      <c r="D295" s="29">
        <v>57630.047170825121</v>
      </c>
      <c r="E295" s="29"/>
      <c r="F295" s="29"/>
      <c r="G295" s="29">
        <v>5611.5602257600003</v>
      </c>
      <c r="H295" s="29">
        <v>56115.602257600003</v>
      </c>
      <c r="I295" s="29"/>
      <c r="J295" s="29"/>
    </row>
    <row r="296" spans="2:10">
      <c r="B296" t="s">
        <v>1265</v>
      </c>
      <c r="C296">
        <f t="array" ref="C296">D296:F296</f>
        <v>2.8759999896832453</v>
      </c>
      <c r="D296" s="29">
        <v>2.8759999896832453</v>
      </c>
      <c r="E296" s="29">
        <v>5.7520000000000002E-2</v>
      </c>
      <c r="F296" s="29">
        <v>2.8759999999999999</v>
      </c>
      <c r="G296" s="29">
        <v>0.28654911999999999</v>
      </c>
      <c r="H296" s="29">
        <v>2.8654912000000001</v>
      </c>
      <c r="I296" s="29">
        <v>5.7520000000000002E-2</v>
      </c>
      <c r="J296" s="29">
        <v>2.8759999999999999</v>
      </c>
    </row>
    <row r="297" spans="2:10">
      <c r="B297" t="s">
        <v>1318</v>
      </c>
      <c r="C297">
        <f t="array" ref="C297">D297:F297</f>
        <v>10695.849372709266</v>
      </c>
      <c r="D297" s="29">
        <v>10695.849372709266</v>
      </c>
      <c r="E297" s="29"/>
      <c r="F297" s="29"/>
      <c r="G297" s="29">
        <v>2.6626999999999998E-4</v>
      </c>
      <c r="H297" s="29">
        <v>2.6627E-3</v>
      </c>
      <c r="I297" s="29"/>
      <c r="J297" s="29"/>
    </row>
    <row r="298" spans="2:10">
      <c r="B298" t="s">
        <v>1317</v>
      </c>
      <c r="C298">
        <f t="array" ref="C298">D298:F298</f>
        <v>22158.262690370204</v>
      </c>
      <c r="D298" s="29">
        <v>22158.262690370204</v>
      </c>
      <c r="E298" s="29">
        <v>4431.6540000000005</v>
      </c>
      <c r="F298" s="29">
        <v>22158.27</v>
      </c>
      <c r="G298" s="29">
        <v>1230.52987781</v>
      </c>
      <c r="H298" s="29">
        <v>12305.298778099999</v>
      </c>
      <c r="I298" s="29">
        <v>4431.6540000000005</v>
      </c>
      <c r="J298" s="29">
        <v>22158.27</v>
      </c>
    </row>
    <row r="299" spans="2:10">
      <c r="B299" t="s">
        <v>1325</v>
      </c>
      <c r="C299">
        <f t="array" ref="C299">D299:F299</f>
        <v>3.6652060979650378</v>
      </c>
      <c r="D299" s="29">
        <v>3.6652060979650378</v>
      </c>
      <c r="E299" s="29"/>
      <c r="F299" s="29"/>
      <c r="G299" s="29">
        <v>0.68918283000000002</v>
      </c>
      <c r="H299" s="29">
        <v>6.8918283000000002</v>
      </c>
      <c r="I299" s="29"/>
      <c r="J299" s="29"/>
    </row>
    <row r="300" spans="2:10">
      <c r="B300" t="s">
        <v>1322</v>
      </c>
      <c r="C300">
        <f t="array" ref="C300">D300:F300</f>
        <v>2.4786999999999999E-3</v>
      </c>
      <c r="D300" s="29">
        <v>2.4786999999999999E-3</v>
      </c>
      <c r="E300" s="29">
        <v>0</v>
      </c>
      <c r="F300" s="29">
        <v>2.4786999999999999E-3</v>
      </c>
      <c r="G300" s="29">
        <v>0</v>
      </c>
      <c r="H300" s="29">
        <v>2.4786999999999999E-3</v>
      </c>
      <c r="I300" s="29">
        <v>0</v>
      </c>
      <c r="J300" s="29">
        <v>2.4786999999999999E-3</v>
      </c>
    </row>
    <row r="301" spans="2:10">
      <c r="B301" t="s">
        <v>1321</v>
      </c>
      <c r="C301">
        <f t="array" ref="C301">D301:F301</f>
        <v>15162.240998900001</v>
      </c>
      <c r="D301" s="29">
        <v>15162.240998900001</v>
      </c>
      <c r="E301" s="29">
        <v>0</v>
      </c>
      <c r="F301" s="29">
        <v>15162.240998900001</v>
      </c>
      <c r="G301" s="29">
        <v>0</v>
      </c>
      <c r="H301" s="29">
        <v>15162.240998900001</v>
      </c>
      <c r="I301" s="29">
        <v>0</v>
      </c>
      <c r="J301" s="29">
        <v>15162.240998900001</v>
      </c>
    </row>
    <row r="302" spans="2:10">
      <c r="B302" t="s">
        <v>1328</v>
      </c>
      <c r="C302">
        <f t="array" ref="C302">D302:F302</f>
        <v>5.5245560999999999</v>
      </c>
      <c r="D302" s="29">
        <v>5.5245560999999999</v>
      </c>
      <c r="E302" s="29">
        <v>0</v>
      </c>
      <c r="F302" s="29">
        <v>5.5245560999999999</v>
      </c>
      <c r="G302" s="29">
        <v>0</v>
      </c>
      <c r="H302" s="29">
        <v>5.5245560999999999</v>
      </c>
      <c r="I302" s="29">
        <v>0</v>
      </c>
      <c r="J302" s="29">
        <v>5.5245560999999999</v>
      </c>
    </row>
    <row r="303" spans="2:10">
      <c r="B303" t="s">
        <v>1326</v>
      </c>
      <c r="C303">
        <f t="array" ref="C303">D303:F303</f>
        <v>-21555.11222838458</v>
      </c>
      <c r="D303" s="29">
        <v>-21555.11222838458</v>
      </c>
      <c r="E303" s="29"/>
      <c r="F303" s="29"/>
      <c r="G303" s="29">
        <v>880.52223960000003</v>
      </c>
      <c r="H303" s="29">
        <v>8805.2223959999992</v>
      </c>
      <c r="I303" s="29"/>
      <c r="J303" s="29"/>
    </row>
    <row r="304" spans="2:10">
      <c r="B304" t="s">
        <v>1323</v>
      </c>
      <c r="C304">
        <f t="array" ref="C304">D304:F304</f>
        <v>89291.287670000005</v>
      </c>
      <c r="D304" s="29">
        <v>89291.287670000005</v>
      </c>
      <c r="E304" s="29">
        <v>0</v>
      </c>
      <c r="F304" s="29">
        <v>89291.287670000005</v>
      </c>
      <c r="G304" s="29">
        <v>0</v>
      </c>
      <c r="H304" s="29">
        <v>89291.287670000005</v>
      </c>
      <c r="I304" s="29">
        <v>0</v>
      </c>
      <c r="J304" s="29">
        <v>89291.287670000005</v>
      </c>
    </row>
    <row r="305" spans="2:10">
      <c r="B305" t="s">
        <v>1324</v>
      </c>
      <c r="C305">
        <f t="array" ref="C305">D305:F305</f>
        <v>89291.287670000005</v>
      </c>
      <c r="D305" s="29">
        <v>89291.287670000005</v>
      </c>
      <c r="E305" s="29"/>
      <c r="F305" s="29"/>
      <c r="G305" s="29">
        <v>8929.1287670000002</v>
      </c>
      <c r="H305" s="29">
        <v>89291.287670000005</v>
      </c>
      <c r="I305" s="29"/>
      <c r="J305" s="29"/>
    </row>
    <row r="306" spans="2:10">
      <c r="B306" t="s">
        <v>1320</v>
      </c>
      <c r="C306">
        <f t="array" ref="C306">D306:F306</f>
        <v>10695.849372709266</v>
      </c>
      <c r="D306" s="29">
        <v>10695.849372709266</v>
      </c>
      <c r="E306" s="29">
        <v>2178.6019999999999</v>
      </c>
      <c r="F306" s="29">
        <v>10893.01</v>
      </c>
      <c r="G306" s="29">
        <v>2.6626999999999998E-4</v>
      </c>
      <c r="H306" s="29">
        <v>2.6627E-3</v>
      </c>
      <c r="I306" s="29">
        <v>2178.6019999999999</v>
      </c>
      <c r="J306" s="29">
        <v>10893.01</v>
      </c>
    </row>
    <row r="307" spans="2:10">
      <c r="B307" t="s">
        <v>1319</v>
      </c>
      <c r="C307">
        <f t="array" ref="C307">D307:F307</f>
        <v>-22158.285341798713</v>
      </c>
      <c r="D307" s="29">
        <v>-22158.285341798713</v>
      </c>
      <c r="E307" s="29"/>
      <c r="F307" s="29"/>
      <c r="G307" s="29">
        <v>924.36314031999996</v>
      </c>
      <c r="H307" s="29">
        <v>9243.6314031999991</v>
      </c>
      <c r="I307" s="29"/>
      <c r="J307" s="29"/>
    </row>
    <row r="308" spans="2:10">
      <c r="B308" t="s">
        <v>1327</v>
      </c>
      <c r="C308">
        <f t="array" ref="C308">D308:F308</f>
        <v>0.88009997641088644</v>
      </c>
      <c r="D308" s="29">
        <v>0.88009997641088644</v>
      </c>
      <c r="E308" s="29">
        <v>0.17602000000000001</v>
      </c>
      <c r="F308" s="29">
        <v>0.88009999999999999</v>
      </c>
      <c r="G308" s="29">
        <v>9.1462150000000006E-2</v>
      </c>
      <c r="H308" s="29">
        <v>0.91462149999999998</v>
      </c>
      <c r="I308" s="29">
        <v>0.17602000000000001</v>
      </c>
      <c r="J308" s="29">
        <v>0.88009999999999999</v>
      </c>
    </row>
    <row r="309" spans="2:10">
      <c r="B309" t="s">
        <v>1330</v>
      </c>
      <c r="C309">
        <f t="array" ref="C309">D309:F309</f>
        <v>3.0047676034970429E-3</v>
      </c>
      <c r="D309" s="29">
        <v>3.0047676034970429E-3</v>
      </c>
      <c r="E309" s="29"/>
      <c r="F309" s="29"/>
      <c r="G309" s="29">
        <v>2.9175000000000002E-4</v>
      </c>
      <c r="H309" s="29">
        <v>2.9175E-3</v>
      </c>
      <c r="I309" s="29"/>
      <c r="J309" s="29"/>
    </row>
    <row r="310" spans="2:10">
      <c r="B310" t="s">
        <v>1329</v>
      </c>
      <c r="C310">
        <f t="array" ref="C310">D310:F310</f>
        <v>16350.321428858766</v>
      </c>
      <c r="D310" s="29">
        <v>16350.321428858766</v>
      </c>
      <c r="E310" s="29">
        <v>3157.098</v>
      </c>
      <c r="F310" s="29">
        <v>15785.49</v>
      </c>
      <c r="G310" s="29">
        <v>1213.1012097099999</v>
      </c>
      <c r="H310" s="29">
        <v>12131.0120971</v>
      </c>
      <c r="I310" s="29">
        <v>3157.098</v>
      </c>
      <c r="J310" s="29">
        <v>15785.49</v>
      </c>
    </row>
    <row r="311" spans="2:10">
      <c r="B311" t="s">
        <v>1337</v>
      </c>
      <c r="C311">
        <f t="array" ref="C311">D311:F311</f>
        <v>5.0966334043589612</v>
      </c>
      <c r="D311" s="29">
        <v>5.0966334043589612</v>
      </c>
      <c r="E311" s="29"/>
      <c r="F311" s="29"/>
      <c r="G311" s="29">
        <v>0.69960802</v>
      </c>
      <c r="H311" s="29">
        <v>6.9960801999999997</v>
      </c>
      <c r="I311" s="29"/>
      <c r="J311" s="29"/>
    </row>
    <row r="312" spans="2:10">
      <c r="B312" t="s">
        <v>1334</v>
      </c>
      <c r="C312">
        <f t="array" ref="C312">D312:F312</f>
        <v>2.4872000000000002E-3</v>
      </c>
      <c r="D312" s="29">
        <v>2.4872000000000002E-3</v>
      </c>
      <c r="E312" s="29">
        <v>0</v>
      </c>
      <c r="F312" s="29">
        <v>2.4872000000000002E-3</v>
      </c>
      <c r="G312" s="29">
        <v>0</v>
      </c>
      <c r="H312" s="29">
        <v>2.4872000000000002E-3</v>
      </c>
      <c r="I312" s="29">
        <v>0</v>
      </c>
      <c r="J312" s="29">
        <v>2.4872000000000002E-3</v>
      </c>
    </row>
    <row r="313" spans="2:10">
      <c r="B313" t="s">
        <v>1333</v>
      </c>
      <c r="C313">
        <f t="array" ref="C313">D313:F313</f>
        <v>11711.9118354</v>
      </c>
      <c r="D313" s="29">
        <v>11711.9118354</v>
      </c>
      <c r="E313" s="29">
        <v>0</v>
      </c>
      <c r="F313" s="29">
        <v>11711.9118354</v>
      </c>
      <c r="G313" s="29">
        <v>0</v>
      </c>
      <c r="H313" s="29">
        <v>11711.9118354</v>
      </c>
      <c r="I313" s="29">
        <v>0</v>
      </c>
      <c r="J313" s="29">
        <v>11711.9118354</v>
      </c>
    </row>
    <row r="314" spans="2:10">
      <c r="B314" t="s">
        <v>1340</v>
      </c>
      <c r="C314">
        <f t="array" ref="C314">D314:F314</f>
        <v>7.2594719999999997</v>
      </c>
      <c r="D314" s="29">
        <v>7.2594719999999997</v>
      </c>
      <c r="E314" s="29">
        <v>0</v>
      </c>
      <c r="F314" s="29">
        <v>7.2594719999999997</v>
      </c>
      <c r="G314" s="29">
        <v>0</v>
      </c>
      <c r="H314" s="29">
        <v>7.2594719999999997</v>
      </c>
      <c r="I314" s="29">
        <v>0</v>
      </c>
      <c r="J314" s="29">
        <v>7.2594719999999997</v>
      </c>
    </row>
    <row r="315" spans="2:10">
      <c r="B315" t="s">
        <v>1338</v>
      </c>
      <c r="C315">
        <f t="array" ref="C315">D315:F315</f>
        <v>143023.46701714606</v>
      </c>
      <c r="D315" s="29">
        <v>143023.46701714606</v>
      </c>
      <c r="E315" s="29"/>
      <c r="F315" s="29"/>
      <c r="G315" s="29">
        <v>5828.1747225199997</v>
      </c>
      <c r="H315" s="29">
        <v>58281.747225200001</v>
      </c>
      <c r="I315" s="29"/>
      <c r="J315" s="29"/>
    </row>
    <row r="316" spans="2:10">
      <c r="B316" t="s">
        <v>1335</v>
      </c>
      <c r="C316">
        <f t="array" ref="C316">D316:F316</f>
        <v>89291.287670000005</v>
      </c>
      <c r="D316" s="29">
        <v>89291.287670000005</v>
      </c>
      <c r="E316" s="29">
        <v>0</v>
      </c>
      <c r="F316" s="29">
        <v>89291.287670000005</v>
      </c>
      <c r="G316" s="29">
        <v>0</v>
      </c>
      <c r="H316" s="29">
        <v>89291.287670000005</v>
      </c>
      <c r="I316" s="29">
        <v>0</v>
      </c>
      <c r="J316" s="29">
        <v>89291.287670000005</v>
      </c>
    </row>
    <row r="317" spans="2:10">
      <c r="B317" t="s">
        <v>1336</v>
      </c>
      <c r="C317">
        <f t="array" ref="C317">D317:F317</f>
        <v>89291.287670000005</v>
      </c>
      <c r="D317" s="29">
        <v>89291.287670000005</v>
      </c>
      <c r="E317" s="29"/>
      <c r="F317" s="29"/>
      <c r="G317" s="29">
        <v>8929.1287670000002</v>
      </c>
      <c r="H317" s="29">
        <v>89291.287670000005</v>
      </c>
      <c r="I317" s="29"/>
      <c r="J317" s="29"/>
    </row>
    <row r="318" spans="2:10">
      <c r="B318" t="s">
        <v>1332</v>
      </c>
      <c r="C318">
        <f t="array" ref="C318">D318:F318</f>
        <v>3.0047676034970429E-3</v>
      </c>
      <c r="D318" s="29">
        <v>3.0047676034970429E-3</v>
      </c>
      <c r="E318" s="29"/>
      <c r="F318" s="29"/>
      <c r="G318" s="29">
        <v>2.9175000000000002E-4</v>
      </c>
      <c r="H318" s="29">
        <v>2.9175E-3</v>
      </c>
      <c r="I318" s="29"/>
      <c r="J318" s="29"/>
    </row>
    <row r="319" spans="2:10">
      <c r="B319" t="s">
        <v>1331</v>
      </c>
      <c r="C319">
        <f t="array" ref="C319">D319:F319</f>
        <v>59129.961004894867</v>
      </c>
      <c r="D319" s="29">
        <v>59129.961004894867</v>
      </c>
      <c r="E319" s="29">
        <v>10561.69</v>
      </c>
      <c r="F319" s="29">
        <v>52808.45</v>
      </c>
      <c r="G319" s="29">
        <v>2727.0291529299998</v>
      </c>
      <c r="H319" s="29">
        <v>27270.291529300001</v>
      </c>
      <c r="I319" s="29">
        <v>10561.69</v>
      </c>
      <c r="J319" s="29">
        <v>52808.45</v>
      </c>
    </row>
    <row r="320" spans="2:10">
      <c r="B320" t="s">
        <v>1339</v>
      </c>
      <c r="C320">
        <f t="array" ref="C320">D320:F320</f>
        <v>0.71140005449046695</v>
      </c>
      <c r="D320" s="29">
        <v>0.71140005449046695</v>
      </c>
      <c r="E320" s="29">
        <v>0.14227999999999999</v>
      </c>
      <c r="F320" s="29">
        <v>0.71140000000000003</v>
      </c>
      <c r="G320" s="29">
        <v>7.7794269999999999E-2</v>
      </c>
      <c r="H320" s="29">
        <v>0.77794269999999999</v>
      </c>
      <c r="I320" s="29">
        <v>0.14227999999999999</v>
      </c>
      <c r="J320" s="29">
        <v>0.71140000000000003</v>
      </c>
    </row>
    <row r="321" spans="2:10">
      <c r="B321" t="s">
        <v>1342</v>
      </c>
      <c r="C321">
        <f t="array" ref="C321">D321:F321</f>
        <v>228.6599215084116</v>
      </c>
      <c r="D321" s="29">
        <v>228.6599215084116</v>
      </c>
      <c r="E321" s="29"/>
      <c r="F321" s="29"/>
      <c r="G321" s="29">
        <v>2.8702000000000003E-4</v>
      </c>
      <c r="H321" s="29">
        <v>2.8701999999999998E-3</v>
      </c>
      <c r="I321" s="29"/>
      <c r="J321" s="29"/>
    </row>
    <row r="322" spans="2:10">
      <c r="B322" t="s">
        <v>1341</v>
      </c>
      <c r="C322">
        <f t="array" ref="C322">D322:F322</f>
        <v>16850.270391123235</v>
      </c>
      <c r="D322" s="29">
        <v>16850.270391123235</v>
      </c>
      <c r="E322" s="29">
        <v>3370.056</v>
      </c>
      <c r="F322" s="29">
        <v>16850.28</v>
      </c>
      <c r="G322" s="29">
        <v>1362.63860963</v>
      </c>
      <c r="H322" s="29">
        <v>13626.386096300001</v>
      </c>
      <c r="I322" s="29">
        <v>3370.056</v>
      </c>
      <c r="J322" s="29">
        <v>16850.28</v>
      </c>
    </row>
    <row r="323" spans="2:10">
      <c r="B323" t="s">
        <v>1349</v>
      </c>
      <c r="C323">
        <f t="array" ref="C323">D323:F323</f>
        <v>4.9346011080849115</v>
      </c>
      <c r="D323" s="29">
        <v>4.9346011080849115</v>
      </c>
      <c r="E323" s="29"/>
      <c r="F323" s="29"/>
      <c r="G323" s="29">
        <v>0.61883224000000003</v>
      </c>
      <c r="H323" s="29">
        <v>6.1883223999999997</v>
      </c>
      <c r="I323" s="29"/>
      <c r="J323" s="29"/>
    </row>
    <row r="324" spans="2:10">
      <c r="B324" t="s">
        <v>1346</v>
      </c>
      <c r="C324">
        <f t="array" ref="C324">D324:F324</f>
        <v>2.4009999999999999E-3</v>
      </c>
      <c r="D324" s="29">
        <v>2.4009999999999999E-3</v>
      </c>
      <c r="E324" s="29">
        <v>0</v>
      </c>
      <c r="F324" s="29">
        <v>2.4009999999999999E-3</v>
      </c>
      <c r="G324" s="29">
        <v>0</v>
      </c>
      <c r="H324" s="29">
        <v>2.4009999999999999E-3</v>
      </c>
      <c r="I324" s="29">
        <v>0</v>
      </c>
      <c r="J324" s="29">
        <v>2.4009999999999999E-3</v>
      </c>
    </row>
    <row r="325" spans="2:10">
      <c r="B325" t="s">
        <v>1345</v>
      </c>
      <c r="C325">
        <f t="array" ref="C325">D325:F325</f>
        <v>10768.248810999999</v>
      </c>
      <c r="D325" s="29">
        <v>10768.248810999999</v>
      </c>
      <c r="E325" s="29">
        <v>0</v>
      </c>
      <c r="F325" s="29">
        <v>10768.248810999999</v>
      </c>
      <c r="G325" s="29">
        <v>0</v>
      </c>
      <c r="H325" s="29">
        <v>10768.248810999999</v>
      </c>
      <c r="I325" s="29">
        <v>0</v>
      </c>
      <c r="J325" s="29">
        <v>10768.248810999999</v>
      </c>
    </row>
    <row r="326" spans="2:10">
      <c r="B326" t="s">
        <v>1352</v>
      </c>
      <c r="C326">
        <f t="array" ref="C326">D326:F326</f>
        <v>7.9275899000000001</v>
      </c>
      <c r="D326" s="29">
        <v>7.9275899000000001</v>
      </c>
      <c r="E326" s="29">
        <v>0</v>
      </c>
      <c r="F326" s="29">
        <v>7.9275899000000001</v>
      </c>
      <c r="G326" s="29">
        <v>0</v>
      </c>
      <c r="H326" s="29">
        <v>7.9275899000000001</v>
      </c>
      <c r="I326" s="29">
        <v>0</v>
      </c>
      <c r="J326" s="29">
        <v>7.9275899000000001</v>
      </c>
    </row>
    <row r="327" spans="2:10">
      <c r="B327" t="s">
        <v>1350</v>
      </c>
      <c r="C327">
        <f t="array" ref="C327">D327:F327</f>
        <v>25264.016463777898</v>
      </c>
      <c r="D327" s="29">
        <v>25264.016463777898</v>
      </c>
      <c r="E327" s="29"/>
      <c r="F327" s="29"/>
      <c r="G327" s="29">
        <v>4351.9808261300004</v>
      </c>
      <c r="H327" s="29">
        <v>43519.808261300001</v>
      </c>
      <c r="I327" s="29"/>
      <c r="J327" s="29"/>
    </row>
    <row r="328" spans="2:10">
      <c r="B328" t="s">
        <v>1347</v>
      </c>
      <c r="C328">
        <f t="array" ref="C328">D328:F328</f>
        <v>89291.287670000005</v>
      </c>
      <c r="D328" s="29">
        <v>89291.287670000005</v>
      </c>
      <c r="E328" s="29">
        <v>0</v>
      </c>
      <c r="F328" s="29">
        <v>89291.287670000005</v>
      </c>
      <c r="G328" s="29">
        <v>0</v>
      </c>
      <c r="H328" s="29">
        <v>89291.287670000005</v>
      </c>
      <c r="I328" s="29">
        <v>0</v>
      </c>
      <c r="J328" s="29">
        <v>89291.287670000005</v>
      </c>
    </row>
    <row r="329" spans="2:10">
      <c r="B329" t="s">
        <v>1348</v>
      </c>
      <c r="C329">
        <f t="array" ref="C329">D329:F329</f>
        <v>89291.287670000005</v>
      </c>
      <c r="D329" s="29">
        <v>89291.287670000005</v>
      </c>
      <c r="E329" s="29"/>
      <c r="F329" s="29"/>
      <c r="G329" s="29">
        <v>8929.1287670000002</v>
      </c>
      <c r="H329" s="29">
        <v>89291.287670000005</v>
      </c>
      <c r="I329" s="29"/>
      <c r="J329" s="29"/>
    </row>
    <row r="330" spans="2:10">
      <c r="B330" t="s">
        <v>1344</v>
      </c>
      <c r="C330">
        <f t="array" ref="C330">D330:F330</f>
        <v>228.6599215084116</v>
      </c>
      <c r="D330" s="29">
        <v>228.6599215084116</v>
      </c>
      <c r="E330" s="29">
        <v>4229.8819999999996</v>
      </c>
      <c r="F330" s="29">
        <v>21149.41</v>
      </c>
      <c r="G330" s="29">
        <v>2.8702000000000003E-4</v>
      </c>
      <c r="H330" s="29">
        <v>2.8701999999999998E-3</v>
      </c>
      <c r="I330" s="29">
        <v>4229.8819999999996</v>
      </c>
      <c r="J330" s="29">
        <v>21149.41</v>
      </c>
    </row>
    <row r="331" spans="2:10">
      <c r="B331" t="s">
        <v>1343</v>
      </c>
      <c r="C331">
        <f t="array" ref="C331">D331:F331</f>
        <v>2941.9186426767583</v>
      </c>
      <c r="D331" s="29">
        <v>2941.9186426767583</v>
      </c>
      <c r="E331" s="29"/>
      <c r="F331" s="29"/>
      <c r="G331" s="29">
        <v>1918.1383998900001</v>
      </c>
      <c r="H331" s="29">
        <v>19181.383998900001</v>
      </c>
      <c r="I331" s="29"/>
      <c r="J331" s="29"/>
    </row>
    <row r="332" spans="2:10">
      <c r="B332" t="s">
        <v>1351</v>
      </c>
      <c r="C332">
        <f t="array" ref="C332">D332:F332</f>
        <v>0.98770001793564588</v>
      </c>
      <c r="D332" s="29">
        <v>0.98770001793564588</v>
      </c>
      <c r="E332" s="29">
        <v>0.19753999999999999</v>
      </c>
      <c r="F332" s="29">
        <v>0.98770000000000002</v>
      </c>
      <c r="G332" s="29">
        <v>0.10779221</v>
      </c>
      <c r="H332" s="29">
        <v>1.0779221000000001</v>
      </c>
      <c r="I332" s="29">
        <v>0.19753999999999999</v>
      </c>
      <c r="J332" s="29">
        <v>0.98770000000000002</v>
      </c>
    </row>
    <row r="333" spans="2:10">
      <c r="B333" t="s">
        <v>1353</v>
      </c>
      <c r="C333">
        <f t="array" ref="C333">D333:F333</f>
        <v>146732.37125253942</v>
      </c>
      <c r="D333" s="29">
        <v>146732.37125253942</v>
      </c>
      <c r="E333" s="29"/>
      <c r="F333" s="29"/>
      <c r="G333" s="29">
        <v>11060.6777883</v>
      </c>
      <c r="H333" s="29">
        <v>110606.777883</v>
      </c>
      <c r="I333" s="29"/>
      <c r="J333" s="29"/>
    </row>
    <row r="334" spans="2:10">
      <c r="B334" t="s">
        <v>1354</v>
      </c>
      <c r="C334">
        <f t="array" ref="C334">D334:F334</f>
        <v>54321.490006111984</v>
      </c>
      <c r="D334" s="29">
        <v>54321.490006111984</v>
      </c>
      <c r="E334" s="29">
        <v>1086.4297999999999</v>
      </c>
      <c r="F334" s="29">
        <v>54321.49</v>
      </c>
      <c r="G334" s="29">
        <v>5446.3764162999996</v>
      </c>
      <c r="H334" s="29">
        <v>54463.764163</v>
      </c>
      <c r="I334" s="29">
        <v>1086.4297999999999</v>
      </c>
      <c r="J334" s="29">
        <v>54321.49</v>
      </c>
    </row>
    <row r="335" spans="2:10">
      <c r="B335" t="s">
        <v>1356</v>
      </c>
      <c r="C335">
        <f t="array" ref="C335">D335:F335</f>
        <v>56675.082796800001</v>
      </c>
      <c r="D335" s="29">
        <v>56675.082796800001</v>
      </c>
      <c r="E335" s="29">
        <v>0</v>
      </c>
      <c r="F335" s="29">
        <v>56675.082796800001</v>
      </c>
      <c r="G335" s="29">
        <v>0</v>
      </c>
      <c r="H335" s="29">
        <v>56675.082796800001</v>
      </c>
      <c r="I335" s="29">
        <v>0</v>
      </c>
      <c r="J335" s="29">
        <v>56675.082796800001</v>
      </c>
    </row>
    <row r="336" spans="2:10">
      <c r="B336" t="s">
        <v>1359</v>
      </c>
      <c r="C336">
        <f t="array" ref="C336">D336:F336</f>
        <v>26849.40981859613</v>
      </c>
      <c r="D336" s="29">
        <v>26849.40981859613</v>
      </c>
      <c r="E336" s="29"/>
      <c r="F336" s="29"/>
      <c r="G336" s="29">
        <v>2598.0465189500001</v>
      </c>
      <c r="H336" s="29">
        <v>25980.465189499999</v>
      </c>
      <c r="I336" s="29"/>
      <c r="J336" s="29"/>
    </row>
    <row r="337" spans="2:10">
      <c r="B337" t="s">
        <v>1362</v>
      </c>
      <c r="C337">
        <f t="array" ref="C337">D337:F337</f>
        <v>16.444604839846395</v>
      </c>
      <c r="D337" s="29">
        <v>16.444604839846395</v>
      </c>
      <c r="E337" s="29"/>
      <c r="F337" s="29"/>
      <c r="G337" s="29">
        <v>2.898E-4</v>
      </c>
      <c r="H337" s="29">
        <v>2.898E-3</v>
      </c>
      <c r="I337" s="29"/>
      <c r="J337" s="29"/>
    </row>
    <row r="338" spans="2:10">
      <c r="B338" t="s">
        <v>1361</v>
      </c>
      <c r="C338">
        <f t="array" ref="C338">D338:F338</f>
        <v>62071.879647571623</v>
      </c>
      <c r="D338" s="29">
        <v>62071.879647571623</v>
      </c>
      <c r="E338" s="29"/>
      <c r="F338" s="29"/>
      <c r="G338" s="29">
        <v>4645.1675528200003</v>
      </c>
      <c r="H338" s="29">
        <v>46451.675528200001</v>
      </c>
      <c r="I338" s="29"/>
      <c r="J338" s="29"/>
    </row>
    <row r="339" spans="2:10">
      <c r="B339" t="s">
        <v>1363</v>
      </c>
      <c r="C339">
        <f t="array" ref="C339">D339:F339</f>
        <v>0.72450465073435577</v>
      </c>
      <c r="D339" s="29">
        <v>0.72450465073435577</v>
      </c>
      <c r="E339" s="29"/>
      <c r="F339" s="29"/>
      <c r="G339" s="29">
        <v>9.0181380000000005E-2</v>
      </c>
      <c r="H339" s="29">
        <v>0.9018138</v>
      </c>
      <c r="I339" s="29"/>
      <c r="J339" s="29"/>
    </row>
    <row r="340" spans="2:10">
      <c r="B340" t="s">
        <v>1368</v>
      </c>
      <c r="C340">
        <f t="array" ref="C340">D340:F340</f>
        <v>0.3216</v>
      </c>
      <c r="D340" s="29">
        <v>0.3216</v>
      </c>
      <c r="E340" s="29">
        <v>1.6080000000000001E-2</v>
      </c>
      <c r="F340" s="29">
        <v>0.3216</v>
      </c>
      <c r="G340" s="29">
        <v>3.2160000000000001E-2</v>
      </c>
      <c r="H340" s="29">
        <v>0.3216</v>
      </c>
      <c r="I340" s="29">
        <v>1.6080000000000001E-2</v>
      </c>
      <c r="J340" s="29">
        <v>0.3216</v>
      </c>
    </row>
    <row r="341" spans="2:10">
      <c r="B341" t="s">
        <v>1367</v>
      </c>
      <c r="C341">
        <f t="array" ref="C341">D341:F341</f>
        <v>0</v>
      </c>
      <c r="D341" s="29">
        <v>0</v>
      </c>
      <c r="E341" s="29">
        <v>0</v>
      </c>
      <c r="F341" s="29">
        <v>0</v>
      </c>
      <c r="G341" s="29">
        <v>0</v>
      </c>
      <c r="H341" s="29">
        <v>0</v>
      </c>
      <c r="I341" s="29">
        <v>0</v>
      </c>
      <c r="J341" s="29">
        <v>0</v>
      </c>
    </row>
    <row r="342" spans="2:10">
      <c r="B342" t="s">
        <v>1371</v>
      </c>
      <c r="C342">
        <f t="array" ref="C342">D342:F342</f>
        <v>0.53920000000000001</v>
      </c>
      <c r="D342" s="29">
        <v>0.53920000000000001</v>
      </c>
      <c r="E342" s="29">
        <v>5.3920000000000003E-2</v>
      </c>
      <c r="F342" s="29">
        <v>0.53920000000000001</v>
      </c>
      <c r="G342" s="29">
        <v>5.3920000000000003E-2</v>
      </c>
      <c r="H342" s="29">
        <v>0.53920000000000001</v>
      </c>
      <c r="I342" s="29">
        <v>5.3920000000000003E-2</v>
      </c>
      <c r="J342" s="29">
        <v>0.53920000000000001</v>
      </c>
    </row>
    <row r="343" spans="2:10">
      <c r="B343" t="s">
        <v>1246</v>
      </c>
      <c r="C343">
        <f t="array" ref="C343">D343:F343</f>
        <v>0.3216</v>
      </c>
      <c r="D343" s="29">
        <v>0.3216</v>
      </c>
      <c r="E343" s="29">
        <v>3.2160000000000001E-2</v>
      </c>
      <c r="F343" s="29">
        <v>0.3216</v>
      </c>
      <c r="G343" s="29">
        <v>3.2160000000000001E-2</v>
      </c>
      <c r="H343" s="29">
        <v>0.3216</v>
      </c>
      <c r="I343" s="29">
        <v>3.2160000000000001E-2</v>
      </c>
      <c r="J343" s="29">
        <v>0.3216</v>
      </c>
    </row>
    <row r="344" spans="2:10">
      <c r="B344" t="s">
        <v>1245</v>
      </c>
      <c r="C344">
        <f t="array" ref="C344">D344:F344</f>
        <v>0</v>
      </c>
      <c r="D344" s="29">
        <v>0</v>
      </c>
      <c r="E344" s="29">
        <v>0</v>
      </c>
      <c r="F344" s="29">
        <v>0</v>
      </c>
      <c r="G344" s="29">
        <v>0</v>
      </c>
      <c r="H344" s="29">
        <v>0</v>
      </c>
      <c r="I344" s="29">
        <v>0</v>
      </c>
      <c r="J344" s="29">
        <v>0</v>
      </c>
    </row>
    <row r="345" spans="2:10">
      <c r="B345" t="s">
        <v>1250</v>
      </c>
      <c r="C345">
        <f t="array" ref="C345">D345:F345</f>
        <v>0.53920000000000001</v>
      </c>
      <c r="D345" s="29">
        <v>0.53920000000000001</v>
      </c>
      <c r="E345" s="29"/>
      <c r="F345" s="29"/>
      <c r="G345" s="29">
        <v>5.3920000000000003E-2</v>
      </c>
      <c r="H345" s="29">
        <v>0.53920000000000001</v>
      </c>
      <c r="I345" s="29"/>
      <c r="J345" s="29"/>
    </row>
    <row r="346" spans="2:10">
      <c r="B346" t="s">
        <v>1370</v>
      </c>
      <c r="C346">
        <f t="array" ref="C346">D346:F346</f>
        <v>0.3216</v>
      </c>
      <c r="D346" s="29">
        <v>0.3216</v>
      </c>
      <c r="E346" s="29">
        <v>0</v>
      </c>
      <c r="F346" s="29">
        <v>0.3216</v>
      </c>
      <c r="G346" s="29">
        <v>0</v>
      </c>
      <c r="H346" s="29">
        <v>0.3216</v>
      </c>
      <c r="I346" s="29">
        <v>0</v>
      </c>
      <c r="J346" s="29">
        <v>0.3216</v>
      </c>
    </row>
    <row r="347" spans="2:10">
      <c r="B347" t="s">
        <v>1369</v>
      </c>
      <c r="C347">
        <f t="array" ref="C347">D347:F347</f>
        <v>0</v>
      </c>
      <c r="D347" s="29">
        <v>0</v>
      </c>
      <c r="E347" s="29">
        <v>0</v>
      </c>
      <c r="F347" s="29">
        <v>0</v>
      </c>
      <c r="G347" s="29">
        <v>0</v>
      </c>
      <c r="H347" s="29">
        <v>0</v>
      </c>
      <c r="I347" s="29">
        <v>0</v>
      </c>
      <c r="J347" s="29">
        <v>0</v>
      </c>
    </row>
    <row r="348" spans="2:10">
      <c r="B348" t="s">
        <v>1372</v>
      </c>
      <c r="C348">
        <f t="array" ref="C348">D348:F348</f>
        <v>0.53920000000000001</v>
      </c>
      <c r="D348" s="29">
        <v>0.53920000000000001</v>
      </c>
      <c r="E348" s="29">
        <v>0</v>
      </c>
      <c r="F348" s="29">
        <v>0.53920000000000001</v>
      </c>
      <c r="G348" s="29">
        <v>0</v>
      </c>
      <c r="H348" s="29">
        <v>0.53920000000000001</v>
      </c>
      <c r="I348" s="29">
        <v>0</v>
      </c>
      <c r="J348" s="29">
        <v>0.53920000000000001</v>
      </c>
    </row>
    <row r="349" spans="2:10">
      <c r="B349" t="s">
        <v>1374</v>
      </c>
      <c r="C349">
        <f t="array" ref="C349">D349:F349</f>
        <v>0.30489257452865021</v>
      </c>
      <c r="D349" s="29">
        <v>0.30489257452865021</v>
      </c>
      <c r="E349" s="29">
        <v>1.4905E-2</v>
      </c>
      <c r="F349" s="29">
        <v>0.29809999999999998</v>
      </c>
      <c r="G349" s="29">
        <v>3.0489260000000001E-2</v>
      </c>
      <c r="H349" s="29">
        <v>0.30489260000000001</v>
      </c>
      <c r="I349" s="29">
        <v>1.4905E-2</v>
      </c>
      <c r="J349" s="29">
        <v>0.29809999999999998</v>
      </c>
    </row>
    <row r="350" spans="2:10">
      <c r="B350" t="s">
        <v>1373</v>
      </c>
      <c r="C350">
        <f t="array" ref="C350">D350:F350</f>
        <v>0</v>
      </c>
      <c r="D350" s="29">
        <v>0</v>
      </c>
      <c r="E350" s="29">
        <v>0</v>
      </c>
      <c r="F350" s="29">
        <v>0</v>
      </c>
      <c r="G350" s="29">
        <v>0</v>
      </c>
      <c r="H350" s="29">
        <v>0</v>
      </c>
      <c r="I350" s="29">
        <v>0</v>
      </c>
      <c r="J350" s="29">
        <v>0</v>
      </c>
    </row>
    <row r="351" spans="2:10">
      <c r="B351" t="s">
        <v>1377</v>
      </c>
      <c r="C351">
        <f t="array" ref="C351">D351:F351</f>
        <v>0.51060000000000005</v>
      </c>
      <c r="D351" s="29">
        <v>0.51060000000000005</v>
      </c>
      <c r="E351" s="29">
        <v>5.1060000000000001E-2</v>
      </c>
      <c r="F351" s="29">
        <v>0.51060000000000005</v>
      </c>
      <c r="G351" s="29">
        <v>5.1060000000000001E-2</v>
      </c>
      <c r="H351" s="29">
        <v>0.51060000000000005</v>
      </c>
      <c r="I351" s="29">
        <v>5.1060000000000001E-2</v>
      </c>
      <c r="J351" s="29">
        <v>0.51060000000000005</v>
      </c>
    </row>
    <row r="352" spans="2:10">
      <c r="B352" t="s">
        <v>1242</v>
      </c>
      <c r="C352">
        <f t="array" ref="C352">D352:F352</f>
        <v>0.30489257452865021</v>
      </c>
      <c r="D352" s="29">
        <v>0.30489257452865021</v>
      </c>
      <c r="E352" s="29">
        <v>3.4029999999999998E-2</v>
      </c>
      <c r="F352" s="29">
        <v>0.34029999999999999</v>
      </c>
      <c r="G352" s="29">
        <v>3.0489260000000001E-2</v>
      </c>
      <c r="H352" s="29">
        <v>0.30489260000000001</v>
      </c>
      <c r="I352" s="29">
        <v>3.4029999999999998E-2</v>
      </c>
      <c r="J352" s="29">
        <v>0.34029999999999999</v>
      </c>
    </row>
    <row r="353" spans="2:10">
      <c r="B353" t="s">
        <v>1241</v>
      </c>
      <c r="C353">
        <f t="array" ref="C353">D353:F353</f>
        <v>0</v>
      </c>
      <c r="D353" s="29">
        <v>0</v>
      </c>
      <c r="E353" s="29">
        <v>0</v>
      </c>
      <c r="F353" s="29">
        <v>0</v>
      </c>
      <c r="G353" s="29">
        <v>0</v>
      </c>
      <c r="H353" s="29">
        <v>0</v>
      </c>
      <c r="I353" s="29">
        <v>0</v>
      </c>
      <c r="J353" s="29">
        <v>0</v>
      </c>
    </row>
    <row r="354" spans="2:10">
      <c r="B354" t="s">
        <v>1252</v>
      </c>
      <c r="C354">
        <f t="array" ref="C354">D354:F354</f>
        <v>0.51060000000000005</v>
      </c>
      <c r="D354" s="29">
        <v>0.51060000000000005</v>
      </c>
      <c r="E354" s="29"/>
      <c r="F354" s="29"/>
      <c r="G354" s="29">
        <v>5.1060000000000001E-2</v>
      </c>
      <c r="H354" s="29">
        <v>0.51060000000000005</v>
      </c>
      <c r="I354" s="29"/>
      <c r="J354" s="29"/>
    </row>
    <row r="355" spans="2:10">
      <c r="B355" t="s">
        <v>1376</v>
      </c>
      <c r="C355">
        <f t="array" ref="C355">D355:F355</f>
        <v>0.30489260000000001</v>
      </c>
      <c r="D355" s="29">
        <v>0.30489260000000001</v>
      </c>
      <c r="E355" s="29">
        <v>0</v>
      </c>
      <c r="F355" s="29">
        <v>0.30489260000000001</v>
      </c>
      <c r="G355" s="29">
        <v>0</v>
      </c>
      <c r="H355" s="29">
        <v>0.30489260000000001</v>
      </c>
      <c r="I355" s="29">
        <v>0</v>
      </c>
      <c r="J355" s="29">
        <v>0.30489260000000001</v>
      </c>
    </row>
    <row r="356" spans="2:10">
      <c r="B356" t="s">
        <v>1375</v>
      </c>
      <c r="C356">
        <f t="array" ref="C356">D356:F356</f>
        <v>0</v>
      </c>
      <c r="D356" s="29">
        <v>0</v>
      </c>
      <c r="E356" s="29">
        <v>0</v>
      </c>
      <c r="F356" s="29">
        <v>0</v>
      </c>
      <c r="G356" s="29">
        <v>0</v>
      </c>
      <c r="H356" s="29">
        <v>0</v>
      </c>
      <c r="I356" s="29">
        <v>0</v>
      </c>
      <c r="J356" s="29">
        <v>0</v>
      </c>
    </row>
    <row r="357" spans="2:10">
      <c r="B357" t="s">
        <v>1378</v>
      </c>
      <c r="C357">
        <f t="array" ref="C357">D357:F357</f>
        <v>0.51060000000000005</v>
      </c>
      <c r="D357" s="29">
        <v>0.51060000000000005</v>
      </c>
      <c r="E357" s="29">
        <v>0</v>
      </c>
      <c r="F357" s="29">
        <v>0.51060000000000005</v>
      </c>
      <c r="G357" s="29">
        <v>0</v>
      </c>
      <c r="H357" s="29">
        <v>0.51060000000000005</v>
      </c>
      <c r="I357" s="29">
        <v>0</v>
      </c>
      <c r="J357" s="29">
        <v>0.51060000000000005</v>
      </c>
    </row>
    <row r="358" spans="2:10">
      <c r="B358" t="s">
        <v>1380</v>
      </c>
      <c r="C358">
        <f t="array" ref="C358">D358:F358</f>
        <v>0.36070925753956201</v>
      </c>
      <c r="D358" s="29">
        <v>0.36070925753956201</v>
      </c>
      <c r="E358" s="29">
        <v>1.7014999999999999E-2</v>
      </c>
      <c r="F358" s="29">
        <v>0.34029999999999999</v>
      </c>
      <c r="G358" s="29">
        <v>3.736743E-2</v>
      </c>
      <c r="H358" s="29">
        <v>0.37367430000000001</v>
      </c>
      <c r="I358" s="29">
        <v>1.7014999999999999E-2</v>
      </c>
      <c r="J358" s="29">
        <v>0.34029999999999999</v>
      </c>
    </row>
    <row r="359" spans="2:10">
      <c r="B359" t="s">
        <v>1379</v>
      </c>
      <c r="C359">
        <f t="array" ref="C359">D359:F359</f>
        <v>1549.9291660024478</v>
      </c>
      <c r="D359" s="29">
        <v>1549.9291660024478</v>
      </c>
      <c r="E359" s="29">
        <v>31.154900000000001</v>
      </c>
      <c r="F359" s="29">
        <v>1557.7449999999999</v>
      </c>
      <c r="G359" s="29">
        <v>155.86002658000001</v>
      </c>
      <c r="H359" s="29">
        <v>1558.6002658</v>
      </c>
      <c r="I359" s="29">
        <v>31.154900000000001</v>
      </c>
      <c r="J359" s="29">
        <v>1557.7449999999999</v>
      </c>
    </row>
    <row r="360" spans="2:10">
      <c r="B360" t="s">
        <v>1383</v>
      </c>
      <c r="C360">
        <f t="array" ref="C360">D360:F360</f>
        <v>0.46510277578034059</v>
      </c>
      <c r="D360" s="29">
        <v>0.46510277578034059</v>
      </c>
      <c r="E360" s="29">
        <v>4.793E-2</v>
      </c>
      <c r="F360" s="29">
        <v>0.4793</v>
      </c>
      <c r="G360" s="29">
        <v>4.5278770000000003E-2</v>
      </c>
      <c r="H360" s="29">
        <v>0.45278770000000002</v>
      </c>
      <c r="I360" s="29">
        <v>4.793E-2</v>
      </c>
      <c r="J360" s="29">
        <v>0.4793</v>
      </c>
    </row>
    <row r="361" spans="2:10">
      <c r="B361" t="s">
        <v>1244</v>
      </c>
      <c r="C361">
        <f t="array" ref="C361">D361:F361</f>
        <v>0.36070925753956201</v>
      </c>
      <c r="D361" s="29">
        <v>0.36070925753956201</v>
      </c>
      <c r="E361" s="29">
        <v>2.981E-2</v>
      </c>
      <c r="F361" s="29">
        <v>0.29810009999999998</v>
      </c>
      <c r="G361" s="29">
        <v>3.736743E-2</v>
      </c>
      <c r="H361" s="29">
        <v>0.37367430000000001</v>
      </c>
      <c r="I361" s="29">
        <v>2.981E-2</v>
      </c>
      <c r="J361" s="29">
        <v>0.29810009999999998</v>
      </c>
    </row>
    <row r="362" spans="2:10">
      <c r="B362" t="s">
        <v>1243</v>
      </c>
      <c r="C362">
        <f t="array" ref="C362">D362:F362</f>
        <v>1689.0166771432596</v>
      </c>
      <c r="D362" s="29">
        <v>1689.0166771432596</v>
      </c>
      <c r="E362" s="29">
        <v>351.80340000000001</v>
      </c>
      <c r="F362" s="29">
        <v>1759.0170000000001</v>
      </c>
      <c r="G362" s="29">
        <v>177.13037405</v>
      </c>
      <c r="H362" s="29">
        <v>1771.3037405</v>
      </c>
      <c r="I362" s="29">
        <v>351.80340000000001</v>
      </c>
      <c r="J362" s="29">
        <v>1759.0170000000001</v>
      </c>
    </row>
    <row r="363" spans="2:10">
      <c r="B363" t="s">
        <v>1253</v>
      </c>
      <c r="C363">
        <f t="array" ref="C363">D363:F363</f>
        <v>0.46510277578034059</v>
      </c>
      <c r="D363" s="29">
        <v>0.46510277578034059</v>
      </c>
      <c r="E363" s="29"/>
      <c r="F363" s="29"/>
      <c r="G363" s="29">
        <v>4.5278770000000003E-2</v>
      </c>
      <c r="H363" s="29">
        <v>0.45278770000000002</v>
      </c>
      <c r="I363" s="29"/>
      <c r="J363" s="29"/>
    </row>
    <row r="364" spans="2:10">
      <c r="B364" t="s">
        <v>1382</v>
      </c>
      <c r="C364">
        <f t="array" ref="C364">D364:F364</f>
        <v>0.37265589999999998</v>
      </c>
      <c r="D364" s="29">
        <v>0.37265589999999998</v>
      </c>
      <c r="E364" s="29">
        <v>0</v>
      </c>
      <c r="F364" s="29">
        <v>0.37265589999999998</v>
      </c>
      <c r="G364" s="29">
        <v>0</v>
      </c>
      <c r="H364" s="29">
        <v>0.37265589999999998</v>
      </c>
      <c r="I364" s="29">
        <v>0</v>
      </c>
      <c r="J364" s="29">
        <v>0.37265589999999998</v>
      </c>
    </row>
    <row r="365" spans="2:10">
      <c r="B365" t="s">
        <v>1381</v>
      </c>
      <c r="C365">
        <f t="array" ref="C365">D365:F365</f>
        <v>2662.5930512999998</v>
      </c>
      <c r="D365" s="29">
        <v>2662.5930512999998</v>
      </c>
      <c r="E365" s="29">
        <v>0</v>
      </c>
      <c r="F365" s="29">
        <v>2662.5930512999998</v>
      </c>
      <c r="G365" s="29">
        <v>0</v>
      </c>
      <c r="H365" s="29">
        <v>2662.5930512999998</v>
      </c>
      <c r="I365" s="29">
        <v>0</v>
      </c>
      <c r="J365" s="29">
        <v>2662.5930512999998</v>
      </c>
    </row>
    <row r="366" spans="2:10">
      <c r="B366" t="s">
        <v>1384</v>
      </c>
      <c r="C366">
        <f t="array" ref="C366">D366:F366</f>
        <v>0.4571559</v>
      </c>
      <c r="D366" s="29">
        <v>0.4571559</v>
      </c>
      <c r="E366" s="29">
        <v>0</v>
      </c>
      <c r="F366" s="29">
        <v>0.4571559</v>
      </c>
      <c r="G366" s="29">
        <v>0</v>
      </c>
      <c r="H366" s="29">
        <v>0.4571559</v>
      </c>
      <c r="I366" s="29">
        <v>0</v>
      </c>
      <c r="J366" s="29">
        <v>0.4571559</v>
      </c>
    </row>
    <row r="367" spans="2:10">
      <c r="B367" t="s">
        <v>1386</v>
      </c>
      <c r="C367">
        <f t="array" ref="C367">D367:F367</f>
        <v>0.33854772668182698</v>
      </c>
      <c r="D367" s="29">
        <v>0.33854772668182698</v>
      </c>
      <c r="E367" s="29">
        <v>1.6310000000000002E-2</v>
      </c>
      <c r="F367" s="29">
        <v>0.32619999999999999</v>
      </c>
      <c r="G367" s="29">
        <v>3.7247660000000002E-2</v>
      </c>
      <c r="H367" s="29">
        <v>0.37247659999999999</v>
      </c>
      <c r="I367" s="29">
        <v>1.6310000000000002E-2</v>
      </c>
      <c r="J367" s="29">
        <v>0.32619999999999999</v>
      </c>
    </row>
    <row r="368" spans="2:10">
      <c r="B368" t="s">
        <v>1385</v>
      </c>
      <c r="C368">
        <f t="array" ref="C368">D368:F368</f>
        <v>2626.660093959093</v>
      </c>
      <c r="D368" s="29">
        <v>2626.660093959093</v>
      </c>
      <c r="E368" s="29">
        <v>53.191400000000002</v>
      </c>
      <c r="F368" s="29">
        <v>2659.57</v>
      </c>
      <c r="G368" s="29">
        <v>266.28927263999998</v>
      </c>
      <c r="H368" s="29">
        <v>2662.8927263999999</v>
      </c>
      <c r="I368" s="29">
        <v>53.191400000000002</v>
      </c>
      <c r="J368" s="29">
        <v>2659.57</v>
      </c>
    </row>
    <row r="369" spans="2:10">
      <c r="B369" t="s">
        <v>1389</v>
      </c>
      <c r="C369">
        <f t="array" ref="C369">D369:F369</f>
        <v>0.47438246687684626</v>
      </c>
      <c r="D369" s="29">
        <v>0.47438246687684626</v>
      </c>
      <c r="E369" s="29">
        <v>5.314E-2</v>
      </c>
      <c r="F369" s="29">
        <v>0.53139999999999998</v>
      </c>
      <c r="G369" s="29">
        <v>4.4257860000000003E-2</v>
      </c>
      <c r="H369" s="29">
        <v>0.44257859999999999</v>
      </c>
      <c r="I369" s="29">
        <v>5.314E-2</v>
      </c>
      <c r="J369" s="29">
        <v>0.53139999999999998</v>
      </c>
    </row>
    <row r="370" spans="2:10">
      <c r="B370" t="s">
        <v>1248</v>
      </c>
      <c r="C370">
        <f t="array" ref="C370">D370:F370</f>
        <v>0.33854772668182698</v>
      </c>
      <c r="D370" s="29">
        <v>0.33854772668182698</v>
      </c>
      <c r="E370" s="29">
        <v>3.2620000000000003E-2</v>
      </c>
      <c r="F370" s="29">
        <v>0.32619999999999999</v>
      </c>
      <c r="G370" s="29">
        <v>3.7247660000000002E-2</v>
      </c>
      <c r="H370" s="29">
        <v>0.37247659999999999</v>
      </c>
      <c r="I370" s="29">
        <v>3.2620000000000003E-2</v>
      </c>
      <c r="J370" s="29">
        <v>0.32619999999999999</v>
      </c>
    </row>
    <row r="371" spans="2:10">
      <c r="B371" t="s">
        <v>1247</v>
      </c>
      <c r="C371">
        <f t="array" ref="C371">D371:F371</f>
        <v>0</v>
      </c>
      <c r="D371" s="29">
        <v>0</v>
      </c>
      <c r="E371" s="29">
        <v>0</v>
      </c>
      <c r="F371" s="29">
        <v>0</v>
      </c>
      <c r="G371" s="29">
        <v>0</v>
      </c>
      <c r="H371" s="29">
        <v>0</v>
      </c>
      <c r="I371" s="29">
        <v>0</v>
      </c>
      <c r="J371" s="29">
        <v>0</v>
      </c>
    </row>
    <row r="372" spans="2:10">
      <c r="B372" t="s">
        <v>1251</v>
      </c>
      <c r="C372">
        <f t="array" ref="C372">D372:F372</f>
        <v>0.47438246687684626</v>
      </c>
      <c r="D372" s="29">
        <v>0.47438246687684626</v>
      </c>
      <c r="E372" s="29"/>
      <c r="F372" s="29"/>
      <c r="G372" s="29">
        <v>4.4257860000000003E-2</v>
      </c>
      <c r="H372" s="29">
        <v>0.44257859999999999</v>
      </c>
      <c r="I372" s="29"/>
      <c r="J372" s="29"/>
    </row>
    <row r="373" spans="2:10">
      <c r="B373" t="s">
        <v>1388</v>
      </c>
      <c r="C373">
        <f t="array" ref="C373">D373:F373</f>
        <v>0.36751499999999998</v>
      </c>
      <c r="D373" s="29">
        <v>0.36751499999999998</v>
      </c>
      <c r="E373" s="29">
        <v>0</v>
      </c>
      <c r="F373" s="29">
        <v>0.36751499999999998</v>
      </c>
      <c r="G373" s="29">
        <v>0</v>
      </c>
      <c r="H373" s="29">
        <v>0.36751499999999998</v>
      </c>
      <c r="I373" s="29">
        <v>0</v>
      </c>
      <c r="J373" s="29">
        <v>0.36751499999999998</v>
      </c>
    </row>
    <row r="374" spans="2:10">
      <c r="B374" t="s">
        <v>1387</v>
      </c>
      <c r="C374">
        <f t="array" ref="C374">D374:F374</f>
        <v>1370.4528453</v>
      </c>
      <c r="D374" s="29">
        <v>1370.4528453</v>
      </c>
      <c r="E374" s="29">
        <v>0</v>
      </c>
      <c r="F374" s="29">
        <v>1370.4528453</v>
      </c>
      <c r="G374" s="29">
        <v>0</v>
      </c>
      <c r="H374" s="29">
        <v>1370.4528453</v>
      </c>
      <c r="I374" s="29">
        <v>0</v>
      </c>
      <c r="J374" s="29">
        <v>1370.4528453</v>
      </c>
    </row>
    <row r="375" spans="2:10">
      <c r="B375" t="s">
        <v>1390</v>
      </c>
      <c r="C375">
        <f t="array" ref="C375">D375:F375</f>
        <v>0.4493876</v>
      </c>
      <c r="D375" s="29">
        <v>0.4493876</v>
      </c>
      <c r="E375" s="29">
        <v>0</v>
      </c>
      <c r="F375" s="29">
        <v>0.4493876</v>
      </c>
      <c r="G375" s="29">
        <v>0</v>
      </c>
      <c r="H375" s="29">
        <v>0.4493876</v>
      </c>
      <c r="I375" s="29">
        <v>0</v>
      </c>
      <c r="J375" s="29">
        <v>0.4493876</v>
      </c>
    </row>
    <row r="376" spans="2:10">
      <c r="B376" t="s">
        <v>1393</v>
      </c>
      <c r="C376">
        <f t="array" ref="C376">D376:F376</f>
        <v>791.99990001558672</v>
      </c>
      <c r="D376" s="29">
        <v>791.99990001558672</v>
      </c>
      <c r="E376" s="29">
        <v>79.19999</v>
      </c>
      <c r="F376" s="29">
        <v>791.99990000000003</v>
      </c>
      <c r="G376" s="29">
        <v>79.275598909999999</v>
      </c>
      <c r="H376" s="29">
        <v>792.75598909999997</v>
      </c>
      <c r="I376" s="29">
        <v>79.19999</v>
      </c>
      <c r="J376" s="29">
        <v>791.99990000000003</v>
      </c>
    </row>
    <row r="377" spans="2:10">
      <c r="B377" t="s">
        <v>1392</v>
      </c>
      <c r="C377">
        <f t="array" ref="C377">D377:F377</f>
        <v>3110.8340000096191</v>
      </c>
      <c r="D377" s="29">
        <v>3110.8340000096191</v>
      </c>
      <c r="E377" s="29">
        <v>62.216679999999997</v>
      </c>
      <c r="F377" s="29">
        <v>3110.8339999999998</v>
      </c>
      <c r="G377" s="29">
        <v>311.13005909999998</v>
      </c>
      <c r="H377" s="29">
        <v>3111.3005910000002</v>
      </c>
      <c r="I377" s="29">
        <v>62.216679999999997</v>
      </c>
      <c r="J377" s="29">
        <v>3110.8339999999998</v>
      </c>
    </row>
    <row r="378" spans="2:10">
      <c r="B378" t="s">
        <v>1300</v>
      </c>
      <c r="C378">
        <f t="array" ref="C378">D378:F378</f>
        <v>14469.768087627554</v>
      </c>
      <c r="D378" s="29">
        <v>14469.768087627554</v>
      </c>
      <c r="E378" s="29"/>
      <c r="F378" s="29"/>
      <c r="G378" s="29">
        <v>-8.4795708199999993</v>
      </c>
      <c r="H378" s="29">
        <v>-84.795708200000007</v>
      </c>
      <c r="I378" s="29"/>
      <c r="J378" s="29"/>
    </row>
    <row r="379" spans="2:10">
      <c r="B379" t="s">
        <v>1296</v>
      </c>
      <c r="C379">
        <f t="array" ref="C379">D379:F379</f>
        <v>194.48070000054727</v>
      </c>
      <c r="D379" s="29">
        <v>194.48070000054727</v>
      </c>
      <c r="E379" s="29">
        <v>19.448070000000001</v>
      </c>
      <c r="F379" s="29">
        <v>194.48070000000001</v>
      </c>
      <c r="G379" s="29">
        <v>19.4485654</v>
      </c>
      <c r="H379" s="29">
        <v>194.48565400000001</v>
      </c>
      <c r="I379" s="29">
        <v>19.448070000000001</v>
      </c>
      <c r="J379" s="29">
        <v>194.48070000000001</v>
      </c>
    </row>
    <row r="380" spans="2:10">
      <c r="B380" t="s">
        <v>1294</v>
      </c>
      <c r="C380">
        <f t="array" ref="C380">D380:F380</f>
        <v>266.75290000102967</v>
      </c>
      <c r="D380" s="29">
        <v>266.75290000102967</v>
      </c>
      <c r="E380" s="29">
        <v>26.67529</v>
      </c>
      <c r="F380" s="29">
        <v>266.75290000000001</v>
      </c>
      <c r="G380" s="29">
        <v>26.676222020000001</v>
      </c>
      <c r="H380" s="29">
        <v>266.7622202</v>
      </c>
      <c r="I380" s="29">
        <v>26.67529</v>
      </c>
      <c r="J380" s="29">
        <v>266.75290000000001</v>
      </c>
    </row>
    <row r="381" spans="2:10">
      <c r="B381" t="s">
        <v>1299</v>
      </c>
      <c r="C381">
        <f t="array" ref="C381">D381:F381</f>
        <v>189.02850000051703</v>
      </c>
      <c r="D381" s="29">
        <v>189.02850000051703</v>
      </c>
      <c r="E381" s="29">
        <v>18.902850000000001</v>
      </c>
      <c r="F381" s="29">
        <v>189.02850000000001</v>
      </c>
      <c r="G381" s="29">
        <v>18.90331802</v>
      </c>
      <c r="H381" s="29">
        <v>189.0331802</v>
      </c>
      <c r="I381" s="29">
        <v>18.902850000000001</v>
      </c>
      <c r="J381" s="29">
        <v>189.02850000000001</v>
      </c>
    </row>
    <row r="382" spans="2:10">
      <c r="B382" t="s">
        <v>1297</v>
      </c>
      <c r="C382">
        <f t="array" ref="C382">D382:F382</f>
        <v>189.02850000051703</v>
      </c>
      <c r="D382" s="29">
        <v>189.02850000051703</v>
      </c>
      <c r="E382" s="29">
        <v>18.902850000000001</v>
      </c>
      <c r="F382" s="29">
        <v>189.02850000000001</v>
      </c>
      <c r="G382" s="29">
        <v>18.90331802</v>
      </c>
      <c r="H382" s="29">
        <v>189.0331802</v>
      </c>
      <c r="I382" s="29">
        <v>18.902850000000001</v>
      </c>
      <c r="J382" s="29">
        <v>189.02850000000001</v>
      </c>
    </row>
    <row r="383" spans="2:10">
      <c r="B383" t="s">
        <v>1394</v>
      </c>
      <c r="C383">
        <f t="array" ref="C383">D383:F383</f>
        <v>2453.5346378999998</v>
      </c>
      <c r="D383" s="29">
        <v>2453.5346378999998</v>
      </c>
      <c r="E383" s="29">
        <v>0</v>
      </c>
      <c r="F383" s="29">
        <v>2453.5346378999998</v>
      </c>
      <c r="G383" s="29">
        <v>0</v>
      </c>
      <c r="H383" s="29">
        <v>2453.5346378999998</v>
      </c>
      <c r="I383" s="29">
        <v>0</v>
      </c>
      <c r="J383" s="29">
        <v>2453.5346378999998</v>
      </c>
    </row>
    <row r="384" spans="2:10">
      <c r="B384" t="s">
        <v>1358</v>
      </c>
      <c r="C384">
        <f t="array" ref="C384">D384:F384</f>
        <v>-26933.048654081176</v>
      </c>
      <c r="D384" s="29">
        <v>-26933.048654081176</v>
      </c>
      <c r="E384" s="29"/>
      <c r="F384" s="29"/>
      <c r="G384" s="29">
        <v>1903.3679198499999</v>
      </c>
      <c r="H384" s="29">
        <v>19033.679198500002</v>
      </c>
      <c r="I384" s="29"/>
      <c r="J384" s="29"/>
    </row>
    <row r="385" spans="2:10">
      <c r="B385" t="s">
        <v>1240</v>
      </c>
      <c r="C385">
        <f t="array" ref="C385">D385:F385</f>
        <v>0.36049293980342656</v>
      </c>
      <c r="D385" s="29">
        <v>0.36049293980342656</v>
      </c>
      <c r="E385" s="29">
        <v>2.981E-2</v>
      </c>
      <c r="F385" s="29">
        <v>0.29810009999999998</v>
      </c>
      <c r="G385" s="29">
        <v>3.736743E-2</v>
      </c>
      <c r="H385" s="29">
        <v>0.37367430000000001</v>
      </c>
      <c r="I385" s="29">
        <v>2.981E-2</v>
      </c>
      <c r="J385" s="29">
        <v>0.29810009999999998</v>
      </c>
    </row>
    <row r="386" spans="2:10">
      <c r="B386" t="s">
        <v>1239</v>
      </c>
      <c r="C386">
        <f t="array" ref="C386">D386:F386</f>
        <v>1689.0166771432596</v>
      </c>
      <c r="D386" s="29">
        <v>1689.0166771432596</v>
      </c>
      <c r="E386" s="29">
        <v>307.17435999999998</v>
      </c>
      <c r="F386" s="29">
        <v>1806.9079999999999</v>
      </c>
      <c r="G386" s="29">
        <v>177.13037405</v>
      </c>
      <c r="H386" s="29">
        <v>1771.3037405</v>
      </c>
      <c r="I386" s="29">
        <v>307.17435999999998</v>
      </c>
      <c r="J386" s="29">
        <v>1806.9079999999999</v>
      </c>
    </row>
    <row r="387" spans="2:10">
      <c r="B387" t="s">
        <v>1249</v>
      </c>
      <c r="C387">
        <f t="array" ref="C387">D387:F387</f>
        <v>0.46507518809914006</v>
      </c>
      <c r="D387" s="29">
        <v>0.46507518809914006</v>
      </c>
      <c r="E387" s="29">
        <v>8.9980000000000004E-2</v>
      </c>
      <c r="F387" s="29">
        <v>0.44990000000000002</v>
      </c>
      <c r="G387" s="29">
        <v>4.5278770000000003E-2</v>
      </c>
      <c r="H387" s="29">
        <v>0.45278770000000002</v>
      </c>
      <c r="I387" s="29">
        <v>8.9980000000000004E-2</v>
      </c>
      <c r="J387" s="29">
        <v>0.44990000000000002</v>
      </c>
    </row>
  </sheetData>
  <mergeCells count="4">
    <mergeCell ref="B1:F1"/>
    <mergeCell ref="B149:F149"/>
    <mergeCell ref="G149:H149"/>
    <mergeCell ref="I149:J1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6"/>
  <dimension ref="A1:J475"/>
  <sheetViews>
    <sheetView tabSelected="1" topLeftCell="C98" workbookViewId="0">
      <selection activeCell="H158" sqref="H158"/>
    </sheetView>
  </sheetViews>
  <sheetFormatPr defaultColWidth="17.28515625" defaultRowHeight="15"/>
  <cols>
    <col min="1" max="1" width="75.85546875" style="56" customWidth="1"/>
    <col min="2" max="2" width="26.28515625" customWidth="1"/>
    <col min="3" max="3" width="24" customWidth="1"/>
    <col min="4" max="4" width="13" customWidth="1"/>
    <col min="5" max="5" width="41.140625" customWidth="1"/>
    <col min="7" max="7" width="29.5703125" customWidth="1"/>
    <col min="8" max="8" width="45.28515625" customWidth="1"/>
  </cols>
  <sheetData>
    <row r="1" spans="1:9" s="48" customFormat="1" ht="12.75">
      <c r="A1" s="45"/>
      <c r="B1" s="46" t="s">
        <v>65</v>
      </c>
      <c r="C1" s="47" t="s">
        <v>66</v>
      </c>
      <c r="D1" s="47" t="s">
        <v>32</v>
      </c>
      <c r="E1" s="47" t="s">
        <v>66</v>
      </c>
    </row>
    <row r="2" spans="1:9">
      <c r="A2" s="49" t="s">
        <v>1847</v>
      </c>
      <c r="B2" t="s">
        <v>1699</v>
      </c>
      <c r="C2" t="s">
        <v>1848</v>
      </c>
      <c r="D2" s="14" t="s">
        <v>22</v>
      </c>
      <c r="E2" t="s">
        <v>1849</v>
      </c>
      <c r="G2" t="str">
        <f t="shared" ref="G2:G65" si="0">MID(A2,1,FIND(":",A2)-1)</f>
        <v>CONCTHK21_C</v>
      </c>
      <c r="H2" t="str">
        <f>"="&amp;MID(A2,FIND(": (",A2)+2,FIND("=",A2)-FIND(": (",A2)-2)</f>
        <v xml:space="preserve">=(( CONCTHK21_CLOSE_Q * CONCTHK21_CLOSE_CF + CONCTHK21_PP52_Q * CONCTHK21_PP52_CF + CONCTHK21_PP51_Q * CONCTHK21_PP51_CF) </v>
      </c>
      <c r="I2" t="str">
        <f>"="&amp;MID(A2,FIND("=",A2)+1,LEN(A2)-FIND("=",A2)-2)</f>
        <v>= (CONCTHK21_OPEN_Q * CONCTHK21_OPEN_CF + DI101_CONCTHK21_Q * DI101_CONCTHK21_CF )</v>
      </c>
    </row>
    <row r="3" spans="1:9">
      <c r="A3" s="49" t="s">
        <v>1850</v>
      </c>
      <c r="B3" t="s">
        <v>1700</v>
      </c>
      <c r="C3" t="s">
        <v>1851</v>
      </c>
      <c r="D3" s="14" t="s">
        <v>22</v>
      </c>
      <c r="E3" t="s">
        <v>1852</v>
      </c>
      <c r="G3" t="str">
        <f t="shared" si="0"/>
        <v>CONCTHK21_M</v>
      </c>
      <c r="H3" t="str">
        <f t="shared" ref="H3:H66" si="1">"="&amp;MID(A3,FIND(": (",A3)+2,FIND("=",A3)-FIND(": (",A3)-2)</f>
        <v xml:space="preserve">=(( CONCTHK21_CLOSE_Q + CONCTHK21_PP51_Q + CONCTHK21_PP52_Q) </v>
      </c>
      <c r="I3" t="str">
        <f t="shared" ref="I3:I66" si="2">"="&amp;MID(A3,FIND("=",A3)+1,LEN(A3)-FIND("=",A3)-2)</f>
        <v>= (CONCTHK21_OPEN_Q + DI101_CONCTHK21_Q )</v>
      </c>
    </row>
    <row r="4" spans="1:9">
      <c r="A4" s="49" t="s">
        <v>1853</v>
      </c>
      <c r="B4" t="s">
        <v>1701</v>
      </c>
      <c r="C4" t="s">
        <v>1854</v>
      </c>
      <c r="D4" s="14" t="s">
        <v>22</v>
      </c>
      <c r="E4" t="s">
        <v>1855</v>
      </c>
      <c r="G4" t="str">
        <f t="shared" si="0"/>
        <v>CONCTHK21_TOTVOL_W</v>
      </c>
      <c r="H4" t="str">
        <f t="shared" si="1"/>
        <v xml:space="preserve">=(( CONCTHK21_TOTVOL_CLOSE_Q) </v>
      </c>
      <c r="I4" t="str">
        <f t="shared" si="2"/>
        <v>= (CONCTHK21_TOTVOL_OPEN_Q )</v>
      </c>
    </row>
    <row r="5" spans="1:9">
      <c r="A5" s="50" t="s">
        <v>1856</v>
      </c>
      <c r="B5" t="s">
        <v>1702</v>
      </c>
      <c r="C5" t="s">
        <v>1857</v>
      </c>
      <c r="D5" s="14" t="s">
        <v>22</v>
      </c>
      <c r="E5" t="s">
        <v>1858</v>
      </c>
      <c r="G5" t="str">
        <f t="shared" si="0"/>
        <v>CONCTHK21_W</v>
      </c>
      <c r="H5" t="str">
        <f t="shared" si="1"/>
        <v xml:space="preserve">=(( CONCTHK21_CLOSE_Q * CONCTHK21_CLOSE_WF + CONCTHK21_PP52_Q * CONCTHK21_PP52_WF + CONCTHK1_OVERFLOW_Q + CONCTHK21_PP51_Q * CONCTHK21_PP51_WF) </v>
      </c>
      <c r="I5" t="str">
        <f t="shared" si="2"/>
        <v>= (CONCTHK21_OPEN_Q * CONCTHK21_OPEN_WF + DI101_CONCTHK21_Q * DI101_CONCTHK21_WF )</v>
      </c>
    </row>
    <row r="6" spans="1:9">
      <c r="A6" s="50" t="s">
        <v>1859</v>
      </c>
      <c r="B6" t="s">
        <v>1703</v>
      </c>
      <c r="C6" t="s">
        <v>1860</v>
      </c>
      <c r="D6" s="14" t="s">
        <v>22</v>
      </c>
      <c r="E6" t="s">
        <v>1861</v>
      </c>
      <c r="G6" t="str">
        <f t="shared" si="0"/>
        <v>CONCTHK22_C</v>
      </c>
      <c r="H6" t="str">
        <f t="shared" si="1"/>
        <v xml:space="preserve">=(( CONCTHK22_CLOSE_Q * CONCTHK22_CLOSE_CF + CONCTHK22_PP53_Q * CONCTHK22_PP53_CF + CONCTHK22_PP54_Q * CONCTHK22_PP54_CF) </v>
      </c>
      <c r="I6" t="str">
        <f t="shared" si="2"/>
        <v>= (CONCTHK22_OPEN_Q * CONCTHK22_OPEN_CF + DI101_CONCTHK22_Q * DI101_CONCTHK22_CF )</v>
      </c>
    </row>
    <row r="7" spans="1:9">
      <c r="A7" s="50" t="s">
        <v>1862</v>
      </c>
      <c r="B7" t="s">
        <v>1704</v>
      </c>
      <c r="C7" t="s">
        <v>1863</v>
      </c>
      <c r="D7" s="14" t="s">
        <v>22</v>
      </c>
      <c r="E7" t="s">
        <v>1864</v>
      </c>
      <c r="G7" t="str">
        <f t="shared" si="0"/>
        <v>CONCTHK22_M</v>
      </c>
      <c r="H7" t="str">
        <f t="shared" si="1"/>
        <v xml:space="preserve">=(( CONCTHK22_CLOSE_Q + CONCTHK22_PP53_Q + CONCTHK22_PP54_Q) </v>
      </c>
      <c r="I7" t="str">
        <f t="shared" si="2"/>
        <v>= (CONCTHK22_OPEN_Q + DI101_CONCTHK22_Q )</v>
      </c>
    </row>
    <row r="8" spans="1:9">
      <c r="A8" s="49" t="s">
        <v>1865</v>
      </c>
      <c r="B8" t="s">
        <v>1705</v>
      </c>
      <c r="C8" t="s">
        <v>1866</v>
      </c>
      <c r="D8" s="14" t="s">
        <v>22</v>
      </c>
      <c r="E8" t="s">
        <v>1867</v>
      </c>
      <c r="G8" t="str">
        <f t="shared" si="0"/>
        <v>CONCTHK22_TOTVOL_W</v>
      </c>
      <c r="H8" t="str">
        <f t="shared" si="1"/>
        <v xml:space="preserve">=(( CONCTHK22_TOTVOL_CLOSE_Q) </v>
      </c>
      <c r="I8" t="str">
        <f t="shared" si="2"/>
        <v>= (CONCTHK22_TOTVOL_OPEN_Q )</v>
      </c>
    </row>
    <row r="9" spans="1:9">
      <c r="A9" s="50" t="s">
        <v>1868</v>
      </c>
      <c r="B9" t="s">
        <v>1706</v>
      </c>
      <c r="C9" t="s">
        <v>1869</v>
      </c>
      <c r="D9" s="14" t="s">
        <v>22</v>
      </c>
      <c r="E9" t="s">
        <v>1870</v>
      </c>
      <c r="G9" t="str">
        <f t="shared" si="0"/>
        <v>CONCTHK22_W</v>
      </c>
      <c r="H9" t="str">
        <f t="shared" si="1"/>
        <v xml:space="preserve">=(( CONCTHK22_CLOSE_Q * CONCTHK22_CLOSE_WF + CONCTHK22_PP53_Q * CONCTHK22_PP53_WF + CONCTHK22_PP54_Q * CONCTHK22_PP54_WF + CONCTHK2_OVERFLOW_Q) </v>
      </c>
      <c r="I9" t="str">
        <f t="shared" si="2"/>
        <v>= (CONCTHK22_OPEN_Q * CONCTHK22_OPEN_WF + DI101_CONCTHK22_Q * DI101_CONCTHK22_WF )</v>
      </c>
    </row>
    <row r="10" spans="1:9">
      <c r="A10" s="50" t="s">
        <v>1871</v>
      </c>
      <c r="B10" t="s">
        <v>1707</v>
      </c>
      <c r="C10" t="s">
        <v>1872</v>
      </c>
      <c r="D10" s="14" t="s">
        <v>22</v>
      </c>
      <c r="E10" t="s">
        <v>1873</v>
      </c>
      <c r="G10" t="str">
        <f t="shared" si="0"/>
        <v>CONCTHK_H2OREC_W</v>
      </c>
      <c r="H10" t="str">
        <f t="shared" si="1"/>
        <v xml:space="preserve">=(( CONCTHK_OVERFLOW_Q) </v>
      </c>
      <c r="I10" t="str">
        <f t="shared" si="2"/>
        <v>= (CONCTHK1_OVERFLOW_Q + CONCTHK2_OVERFLOW_Q )</v>
      </c>
    </row>
    <row r="11" spans="1:9">
      <c r="A11" s="50" t="s">
        <v>1874</v>
      </c>
      <c r="B11" t="s">
        <v>1708</v>
      </c>
      <c r="C11" t="s">
        <v>1875</v>
      </c>
      <c r="D11" s="14" t="s">
        <v>22</v>
      </c>
      <c r="E11" t="s">
        <v>1876</v>
      </c>
      <c r="G11" t="str">
        <f t="shared" si="0"/>
        <v>DI101E_C</v>
      </c>
      <c r="H11" t="str">
        <f t="shared" si="1"/>
        <v xml:space="preserve">=(( DI101_CONCTHK21_Q * DI101_CONCTHK21_CF + DI101_CONCTHK22_Q * DI101_CONCTHK22_CF) </v>
      </c>
      <c r="I11" t="str">
        <f t="shared" si="2"/>
        <v>= (DI101_TOTAL_Q * DI101_TOTAL_CF )</v>
      </c>
    </row>
    <row r="12" spans="1:9">
      <c r="A12" s="49" t="s">
        <v>1877</v>
      </c>
      <c r="B12" t="s">
        <v>1709</v>
      </c>
      <c r="C12" t="s">
        <v>1878</v>
      </c>
      <c r="D12" s="14" t="s">
        <v>22</v>
      </c>
      <c r="E12" t="s">
        <v>1879</v>
      </c>
      <c r="G12" t="str">
        <f t="shared" si="0"/>
        <v>DI101E_M</v>
      </c>
      <c r="H12" t="str">
        <f t="shared" si="1"/>
        <v xml:space="preserve">=(( DI101_CONCTHK22_Q + DI101_CONCTHK21_Q) </v>
      </c>
      <c r="I12" t="str">
        <f t="shared" si="2"/>
        <v>= (DI101_TOTAL_Q )</v>
      </c>
    </row>
    <row r="13" spans="1:9">
      <c r="A13" s="49" t="s">
        <v>1880</v>
      </c>
      <c r="B13" t="s">
        <v>1710</v>
      </c>
      <c r="C13" t="s">
        <v>1881</v>
      </c>
      <c r="D13" s="14" t="s">
        <v>22</v>
      </c>
      <c r="E13" t="s">
        <v>1882</v>
      </c>
      <c r="G13" t="str">
        <f t="shared" si="0"/>
        <v>DI101E_W</v>
      </c>
      <c r="H13" t="str">
        <f t="shared" si="1"/>
        <v xml:space="preserve">=(( DI101_CONCTHK21_Q * DI101_CONCTHK21_WF + DI101_CONCTHK22_Q * DI101_CONCTHK22_WF) </v>
      </c>
      <c r="I13" t="str">
        <f t="shared" si="2"/>
        <v>= (DI101_TOTAL_Q * DI101_TOTAL_WF )</v>
      </c>
    </row>
    <row r="14" spans="1:9">
      <c r="A14" s="49" t="s">
        <v>1883</v>
      </c>
      <c r="B14" t="s">
        <v>1711</v>
      </c>
      <c r="C14" t="s">
        <v>1884</v>
      </c>
      <c r="D14" s="14" t="s">
        <v>22</v>
      </c>
      <c r="E14" t="s">
        <v>1885</v>
      </c>
      <c r="G14" t="str">
        <f t="shared" si="0"/>
        <v>DI101_C</v>
      </c>
      <c r="H14" t="str">
        <f t="shared" si="1"/>
        <v xml:space="preserve">=(( DI101_TOTAL_Q * DI101_TOTAL_CF) </v>
      </c>
      <c r="I14" t="str">
        <f t="shared" si="2"/>
        <v>= (FINALCONC_Q * FINALCONC_CF + PP54_DI101_Q * PP54_DI101_CF + PP51_DI101_Q * PP51_DI101_CF + PP53_DI101_Q * PP53_DI101_CF + PP52_DI101_Q * PP52_DI101_CF )</v>
      </c>
    </row>
    <row r="15" spans="1:9">
      <c r="A15" s="49" t="s">
        <v>1886</v>
      </c>
      <c r="B15" t="s">
        <v>1712</v>
      </c>
      <c r="C15" t="s">
        <v>1887</v>
      </c>
      <c r="D15" s="14" t="s">
        <v>22</v>
      </c>
      <c r="E15" t="s">
        <v>1888</v>
      </c>
      <c r="G15" t="str">
        <f t="shared" si="0"/>
        <v>DI101_M</v>
      </c>
      <c r="H15" t="str">
        <f t="shared" si="1"/>
        <v xml:space="preserve">=(( DI101_TOTAL_Q) </v>
      </c>
      <c r="I15" t="str">
        <f t="shared" si="2"/>
        <v>= (FINALCONC_Q + PP51_DI101_Q + PP52_DI101_Q + PP53_DI101_Q + PP54_DI101_Q )</v>
      </c>
    </row>
    <row r="16" spans="1:9">
      <c r="A16" s="49" t="s">
        <v>1889</v>
      </c>
      <c r="B16" t="s">
        <v>1713</v>
      </c>
      <c r="C16" t="s">
        <v>1890</v>
      </c>
      <c r="D16" s="14" t="s">
        <v>22</v>
      </c>
      <c r="E16" t="s">
        <v>1891</v>
      </c>
      <c r="G16" t="str">
        <f t="shared" si="0"/>
        <v>DI101_W</v>
      </c>
      <c r="H16" t="str">
        <f t="shared" si="1"/>
        <v xml:space="preserve">=(( DI101_TOTAL_Q * DI101_TOTAL_WF) </v>
      </c>
      <c r="I16" t="str">
        <f t="shared" si="2"/>
        <v>= (FINALCONC_Q * FINALCONC_WF + PP52_DI101_Q * PP52_DI101_WF + PP54_DI101_Q * PP54_DI101_WF + PP53_DI101_Q * PP53_DI101_WF + PP51_DI101_Q * PP51_DI101_WF )</v>
      </c>
    </row>
    <row r="17" spans="1:9">
      <c r="A17" s="49" t="s">
        <v>1892</v>
      </c>
      <c r="B17" t="s">
        <v>1714</v>
      </c>
      <c r="C17" t="s">
        <v>1893</v>
      </c>
      <c r="D17" s="14" t="s">
        <v>22</v>
      </c>
      <c r="E17" t="s">
        <v>1894</v>
      </c>
      <c r="G17" t="str">
        <f t="shared" si="0"/>
        <v>DI104T_C</v>
      </c>
      <c r="H17" t="str">
        <f t="shared" si="1"/>
        <v xml:space="preserve">=(( CONCTHK_TK23_Q * CONCTHK_TK23_CF + CONCTHK_TK24_Q * CONCTHK_TK24_CF + CONCTHK_TK25_Q * CONCTHK_TK25_CF + CONCTHK_TK26_Q * CONCTHK_TK26_CF) </v>
      </c>
      <c r="I17" t="str">
        <f t="shared" si="2"/>
        <v>= (CONCTHK_TKC_Q * CONCTHK_TKC_CF )</v>
      </c>
    </row>
    <row r="18" spans="1:9">
      <c r="A18" s="49" t="s">
        <v>1895</v>
      </c>
      <c r="B18" t="s">
        <v>1715</v>
      </c>
      <c r="C18" t="s">
        <v>1896</v>
      </c>
      <c r="D18" s="14" t="s">
        <v>22</v>
      </c>
      <c r="E18" t="s">
        <v>1897</v>
      </c>
      <c r="G18" t="str">
        <f t="shared" si="0"/>
        <v>DI104T_M</v>
      </c>
      <c r="H18" t="str">
        <f t="shared" si="1"/>
        <v xml:space="preserve">=(( CONCTHK_TK24_Q + CONCTHK_TK25_Q + CONCTHK_TK26_Q + CONCTHK_TK23_Q) </v>
      </c>
      <c r="I18" t="str">
        <f t="shared" si="2"/>
        <v>= (CONCTHK_TKC_Q )</v>
      </c>
    </row>
    <row r="19" spans="1:9">
      <c r="A19" s="49" t="s">
        <v>1898</v>
      </c>
      <c r="B19" t="s">
        <v>1716</v>
      </c>
      <c r="C19" t="s">
        <v>1899</v>
      </c>
      <c r="D19" s="14" t="s">
        <v>22</v>
      </c>
      <c r="E19" t="s">
        <v>1900</v>
      </c>
      <c r="G19" t="str">
        <f t="shared" si="0"/>
        <v>DI104T_W</v>
      </c>
      <c r="H19" t="str">
        <f t="shared" si="1"/>
        <v xml:space="preserve">=(( CONCTHK_TK23_Q * CONCTHK_TK23_WF + CONCTHK_TK24_Q * CONCTHK_TK24_WF + CONCTHK_TK26_Q * CONCTHK_TK26_WF + CONCTHK_TK25_Q * CONCTHK_TK25_WF) </v>
      </c>
      <c r="I19" t="str">
        <f t="shared" si="2"/>
        <v>= (CONCTHK_TKC_Q * CONCTHK_TKC_WF )</v>
      </c>
    </row>
    <row r="20" spans="1:9">
      <c r="A20" s="49" t="s">
        <v>1901</v>
      </c>
      <c r="B20" t="s">
        <v>1717</v>
      </c>
      <c r="C20" t="s">
        <v>1902</v>
      </c>
      <c r="D20" s="14" t="s">
        <v>22</v>
      </c>
      <c r="E20" t="s">
        <v>1903</v>
      </c>
      <c r="G20" t="str">
        <f t="shared" si="0"/>
        <v>DI104_C</v>
      </c>
      <c r="H20" t="str">
        <f t="shared" si="1"/>
        <v xml:space="preserve">=(( CONCTHK_TKC_Q * CONCTHK_TKC_CF) </v>
      </c>
      <c r="I20" t="str">
        <f t="shared" si="2"/>
        <v>= (PP53_DI104_Q * PP53_DI104_CF + PP51_DI104_Q * PP51_DI104_CF + PP52_DI104_Q * PP52_DI104_CF + PP54_DI104_Q * PP54_DI104_CF )</v>
      </c>
    </row>
    <row r="21" spans="1:9">
      <c r="A21" s="49" t="s">
        <v>1904</v>
      </c>
      <c r="B21" t="s">
        <v>1718</v>
      </c>
      <c r="C21" t="s">
        <v>1905</v>
      </c>
      <c r="D21" s="14" t="s">
        <v>22</v>
      </c>
      <c r="E21" t="s">
        <v>1906</v>
      </c>
      <c r="G21" t="str">
        <f t="shared" si="0"/>
        <v>DI104_M</v>
      </c>
      <c r="H21" t="str">
        <f t="shared" si="1"/>
        <v xml:space="preserve">=(( CONCTHK_TKC_Q) </v>
      </c>
      <c r="I21" t="str">
        <f t="shared" si="2"/>
        <v>= (PP52_DI104_Q + PP53_DI104_Q + PP51_DI104_Q + PP54_DI104_Q )</v>
      </c>
    </row>
    <row r="22" spans="1:9">
      <c r="A22" s="49" t="s">
        <v>1907</v>
      </c>
      <c r="B22" t="s">
        <v>1719</v>
      </c>
      <c r="C22" t="s">
        <v>1908</v>
      </c>
      <c r="D22" s="14" t="s">
        <v>22</v>
      </c>
      <c r="E22" t="s">
        <v>1909</v>
      </c>
      <c r="G22" t="str">
        <f t="shared" si="0"/>
        <v>DI104_W</v>
      </c>
      <c r="H22" t="str">
        <f t="shared" si="1"/>
        <v xml:space="preserve">=(( CONCTHK_TKC_Q * CONCTHK_TKC_WF) </v>
      </c>
      <c r="I22" t="str">
        <f t="shared" si="2"/>
        <v>= (PP51_DI104_Q * PP51_DI104_WF + PP53_DI104_Q * PP53_DI104_WF + PP54_DI104_Q * PP54_DI104_WF + PP52_DI104_Q * PP52_DI104_WF )</v>
      </c>
    </row>
    <row r="23" spans="1:9">
      <c r="A23" s="49" t="s">
        <v>1910</v>
      </c>
      <c r="B23" t="s">
        <v>1720</v>
      </c>
      <c r="C23" t="s">
        <v>1911</v>
      </c>
      <c r="D23" s="14" t="s">
        <v>22</v>
      </c>
      <c r="E23" t="s">
        <v>1912</v>
      </c>
      <c r="G23" t="str">
        <f t="shared" si="0"/>
        <v>DI105_C</v>
      </c>
      <c r="H23" t="str">
        <f t="shared" si="1"/>
        <v xml:space="preserve">=(( TKC_PIPE_Q * TKC_PIPE_CF) </v>
      </c>
      <c r="I23" t="str">
        <f t="shared" si="2"/>
        <v>= (TK24_DI105_Q * TK24_DI105_CF + TK25_DI105_Q * TK25_DI105_CF + TK23_DI105_Q * TK23_DI105_CF + TK26_DI105_Q * TK26_DI105_CF )</v>
      </c>
    </row>
    <row r="24" spans="1:9">
      <c r="A24" s="49" t="s">
        <v>1913</v>
      </c>
      <c r="B24" t="s">
        <v>1721</v>
      </c>
      <c r="C24" t="s">
        <v>1914</v>
      </c>
      <c r="D24" s="14" t="s">
        <v>22</v>
      </c>
      <c r="E24" t="s">
        <v>1915</v>
      </c>
      <c r="G24" t="str">
        <f t="shared" si="0"/>
        <v>DI105_M</v>
      </c>
      <c r="H24" t="str">
        <f t="shared" si="1"/>
        <v xml:space="preserve">=(( TKC_PIPE_Q) </v>
      </c>
      <c r="I24" t="str">
        <f t="shared" si="2"/>
        <v>= (TK24_DI105_Q + TK25_DI105_Q + TK26_DI105_Q + TK23_DI105_Q )</v>
      </c>
    </row>
    <row r="25" spans="1:9">
      <c r="A25" s="49" t="s">
        <v>1916</v>
      </c>
      <c r="B25" t="s">
        <v>1722</v>
      </c>
      <c r="C25" t="s">
        <v>1917</v>
      </c>
      <c r="D25" s="14" t="s">
        <v>22</v>
      </c>
      <c r="E25" t="s">
        <v>1918</v>
      </c>
      <c r="G25" t="str">
        <f t="shared" si="0"/>
        <v>DI105_W</v>
      </c>
      <c r="H25" t="str">
        <f t="shared" si="1"/>
        <v xml:space="preserve">=(( TKC_PIPE_Q * TKC_PIPE_WF) </v>
      </c>
      <c r="I25" t="str">
        <f t="shared" si="2"/>
        <v>= (TK23_DI105_Q * TK23_DI105_WF + TK26_DI105_Q * TK26_DI105_WF + TK24_DI105_Q * TK24_DI105_WF + TK25_DI105_Q * TK25_DI105_WF )</v>
      </c>
    </row>
    <row r="26" spans="1:9">
      <c r="A26" s="49" t="s">
        <v>1919</v>
      </c>
      <c r="B26" t="s">
        <v>1723</v>
      </c>
      <c r="C26" t="s">
        <v>1920</v>
      </c>
      <c r="D26" s="14" t="s">
        <v>22</v>
      </c>
      <c r="E26" t="s">
        <v>1921</v>
      </c>
      <c r="G26" t="str">
        <f t="shared" si="0"/>
        <v>DI150_C</v>
      </c>
      <c r="H26" t="str">
        <f t="shared" si="1"/>
        <v xml:space="preserve">=(( DI150_TAILTHK6_Q * DI150_TAILTHK6_CF + DI150_TAILTHK7_Q * DI150_TAILTHK7_CF + DI150_TAILTHK8_Q * DI150_TAILTHK8_CF) </v>
      </c>
      <c r="I26" t="str">
        <f t="shared" si="2"/>
        <v>= (TAILS_Q * TAILS_CF )</v>
      </c>
    </row>
    <row r="27" spans="1:9">
      <c r="A27" s="49" t="s">
        <v>1922</v>
      </c>
      <c r="B27" t="s">
        <v>1724</v>
      </c>
      <c r="C27" t="s">
        <v>1923</v>
      </c>
      <c r="D27" s="14" t="s">
        <v>22</v>
      </c>
      <c r="E27" t="s">
        <v>1924</v>
      </c>
      <c r="G27" t="str">
        <f t="shared" si="0"/>
        <v>DI150_M</v>
      </c>
      <c r="H27" t="str">
        <f t="shared" si="1"/>
        <v xml:space="preserve">=(( DI150_TAILTHK6_Q + DI150_TAILTHK7_Q + DI150_TAILTHK8_Q) </v>
      </c>
      <c r="I27" t="str">
        <f t="shared" si="2"/>
        <v>= (TAILS_Q )</v>
      </c>
    </row>
    <row r="28" spans="1:9">
      <c r="A28" s="49" t="s">
        <v>1925</v>
      </c>
      <c r="B28" t="s">
        <v>1725</v>
      </c>
      <c r="C28" t="s">
        <v>1926</v>
      </c>
      <c r="D28" s="14" t="s">
        <v>22</v>
      </c>
      <c r="E28" t="s">
        <v>1927</v>
      </c>
      <c r="G28" t="str">
        <f t="shared" si="0"/>
        <v>DI150_W</v>
      </c>
      <c r="H28" t="str">
        <f t="shared" si="1"/>
        <v xml:space="preserve">=(( DI150_TAILTHK6_Q * DI150_TAILTHK6_WF + DI150_TAILTHK8_Q * DI150_TAILTHK8_WF + DI150_TAILTHK7_Q * DI150_TAILTHK7_WF) </v>
      </c>
      <c r="I28" t="str">
        <f t="shared" si="2"/>
        <v>= (TAILS_Q * TAILS_WF )</v>
      </c>
    </row>
    <row r="29" spans="1:9">
      <c r="A29" s="49" t="s">
        <v>1928</v>
      </c>
      <c r="B29" t="s">
        <v>1726</v>
      </c>
      <c r="C29" t="s">
        <v>1929</v>
      </c>
      <c r="D29" s="14" t="s">
        <v>22</v>
      </c>
      <c r="E29" t="s">
        <v>1930</v>
      </c>
      <c r="G29" t="str">
        <f t="shared" si="0"/>
        <v>FLOT_C</v>
      </c>
      <c r="H29" t="str">
        <f t="shared" si="1"/>
        <v xml:space="preserve">=(( FINALCONC_Q * FINALCONC_CF + TAILS_Q * TAILS_CF) </v>
      </c>
      <c r="I29" t="str">
        <f t="shared" si="2"/>
        <v>= (ROUFEED_Q * ROUFEED_CF )</v>
      </c>
    </row>
    <row r="30" spans="1:9">
      <c r="A30" s="49" t="s">
        <v>1931</v>
      </c>
      <c r="B30" t="s">
        <v>1727</v>
      </c>
      <c r="C30" t="s">
        <v>1932</v>
      </c>
      <c r="D30" s="14" t="s">
        <v>22</v>
      </c>
      <c r="E30" t="s">
        <v>1933</v>
      </c>
      <c r="G30" t="str">
        <f t="shared" si="0"/>
        <v>FLOT_M</v>
      </c>
      <c r="H30" t="str">
        <f t="shared" si="1"/>
        <v xml:space="preserve">=(( FINALCONC_Q + TAILS_Q) </v>
      </c>
      <c r="I30" t="str">
        <f t="shared" si="2"/>
        <v>= (ROUFEED_Q )</v>
      </c>
    </row>
    <row r="31" spans="1:9">
      <c r="A31" s="50" t="s">
        <v>1934</v>
      </c>
      <c r="B31" t="s">
        <v>1728</v>
      </c>
      <c r="C31" t="s">
        <v>1935</v>
      </c>
      <c r="D31" s="14" t="s">
        <v>22</v>
      </c>
      <c r="E31" t="s">
        <v>1936</v>
      </c>
      <c r="G31" t="str">
        <f t="shared" si="0"/>
        <v>FLOT_W</v>
      </c>
      <c r="H31" t="str">
        <f t="shared" si="1"/>
        <v xml:space="preserve">=(( FINALCONC_Q * FINALCONC_WF + TAILS_Q * TAILS_WF) </v>
      </c>
      <c r="I31" t="str">
        <f t="shared" si="2"/>
        <v>= (H2OSEAL_REM_1_Q + H2OSEAL_REM_2_Q + POOL_REM_1_Q + ROUFEED_Q * ROUFEED_WF + H2OSEAL_DI30_Q + POOL_2CLN_Q + POOL_REM_2_Q + POOL_TK91_Q + POOL_DI30_Q + POOL_2CLNCONC_Q + H2OSEAL_1CLN_Q + POOL_TK42_Q )</v>
      </c>
    </row>
    <row r="32" spans="1:9">
      <c r="A32" s="50" t="s">
        <v>1937</v>
      </c>
      <c r="B32" t="s">
        <v>1729</v>
      </c>
      <c r="C32" t="s">
        <v>1938</v>
      </c>
      <c r="D32" s="14" t="s">
        <v>22</v>
      </c>
      <c r="E32" t="s">
        <v>1939</v>
      </c>
      <c r="G32" t="str">
        <f t="shared" si="0"/>
        <v>H2OFRESH_W</v>
      </c>
      <c r="H32" t="str">
        <f t="shared" si="1"/>
        <v xml:space="preserve">=(( H2OFRESH_TK83_Q) </v>
      </c>
      <c r="I32" t="str">
        <f t="shared" si="2"/>
        <v>= (BOREWATER_Q + RIVERWATER_Q )</v>
      </c>
    </row>
    <row r="33" spans="1:9">
      <c r="A33" s="50" t="s">
        <v>1940</v>
      </c>
      <c r="B33" t="s">
        <v>1730</v>
      </c>
      <c r="C33" t="s">
        <v>1941</v>
      </c>
      <c r="D33" s="14" t="s">
        <v>22</v>
      </c>
      <c r="E33" t="s">
        <v>1942</v>
      </c>
      <c r="G33" t="str">
        <f t="shared" si="0"/>
        <v>MILL_C</v>
      </c>
      <c r="H33" t="str">
        <f t="shared" si="1"/>
        <v xml:space="preserve">=(( MILL_MIXER_Q * MILL_MIXER_CF) </v>
      </c>
      <c r="I33" t="str">
        <f t="shared" si="2"/>
        <v>= (FEED_Q * FEED_CF )</v>
      </c>
    </row>
    <row r="34" spans="1:9">
      <c r="A34" s="49" t="s">
        <v>1943</v>
      </c>
      <c r="B34" t="s">
        <v>1731</v>
      </c>
      <c r="C34" t="s">
        <v>1944</v>
      </c>
      <c r="D34" s="14" t="s">
        <v>22</v>
      </c>
      <c r="E34" t="s">
        <v>1945</v>
      </c>
      <c r="G34" t="str">
        <f t="shared" si="0"/>
        <v>MILL_M</v>
      </c>
      <c r="H34" t="str">
        <f t="shared" si="1"/>
        <v xml:space="preserve">=(( MILL_MIXER_Q) </v>
      </c>
      <c r="I34" t="str">
        <f t="shared" si="2"/>
        <v>= (FEED_Q )</v>
      </c>
    </row>
    <row r="35" spans="1:9">
      <c r="A35" s="50" t="s">
        <v>1946</v>
      </c>
      <c r="B35" t="s">
        <v>1732</v>
      </c>
      <c r="C35" t="s">
        <v>1947</v>
      </c>
      <c r="D35" s="14" t="s">
        <v>22</v>
      </c>
      <c r="E35" t="s">
        <v>1948</v>
      </c>
      <c r="G35" t="str">
        <f t="shared" si="0"/>
        <v>MILL_W</v>
      </c>
      <c r="H35" t="str">
        <f t="shared" si="1"/>
        <v xml:space="preserve">=(( MILL_MIXER_Q * MILL_MIXER_WF) </v>
      </c>
      <c r="I35" t="str">
        <f t="shared" si="2"/>
        <v>= (FEED_Q * FEED_WF + POOL_BC2SUMP_Q + POOL_BC3SUMP_Q + POOL_MB1_Q + POOL_SAG_Q + TK83_MB1_Q + POOL_BC1SUMP_Q + TK83_D25_Q + TK83_MB3_Q + POOL_MB2_Q + TK83_MB2_Q + TK83_D20_Q + POOL_MB3_Q + POOL_M1_Q )</v>
      </c>
    </row>
    <row r="36" spans="1:9">
      <c r="A36" s="50" t="s">
        <v>1949</v>
      </c>
      <c r="B36" t="s">
        <v>1733</v>
      </c>
      <c r="C36" t="s">
        <v>1950</v>
      </c>
      <c r="D36" s="14" t="s">
        <v>22</v>
      </c>
      <c r="E36" t="s">
        <v>1951</v>
      </c>
      <c r="G36" t="str">
        <f t="shared" si="0"/>
        <v>MIXER_C</v>
      </c>
      <c r="H36" t="str">
        <f t="shared" si="1"/>
        <v xml:space="preserve">=(( ROUFEED_Q * ROUFEED_CF) </v>
      </c>
      <c r="I36" t="str">
        <f t="shared" si="2"/>
        <v>= (MILL_MIXER_Q * MILL_MIXER_CF )</v>
      </c>
    </row>
    <row r="37" spans="1:9">
      <c r="A37" s="50" t="s">
        <v>1952</v>
      </c>
      <c r="B37" t="s">
        <v>1734</v>
      </c>
      <c r="C37" t="s">
        <v>1953</v>
      </c>
      <c r="D37" s="14" t="s">
        <v>22</v>
      </c>
      <c r="E37" t="s">
        <v>1954</v>
      </c>
      <c r="G37" t="str">
        <f t="shared" si="0"/>
        <v>MIXER_M</v>
      </c>
      <c r="H37" t="str">
        <f t="shared" si="1"/>
        <v xml:space="preserve">=(( ROUFEED_Q) </v>
      </c>
      <c r="I37" t="str">
        <f t="shared" si="2"/>
        <v>= (MILL_MIXER_Q )</v>
      </c>
    </row>
    <row r="38" spans="1:9">
      <c r="A38" s="49" t="s">
        <v>1955</v>
      </c>
      <c r="B38" t="s">
        <v>1735</v>
      </c>
      <c r="C38" t="s">
        <v>1956</v>
      </c>
      <c r="D38" s="14" t="s">
        <v>22</v>
      </c>
      <c r="E38" t="s">
        <v>1957</v>
      </c>
      <c r="G38" t="str">
        <f t="shared" si="0"/>
        <v>MIXER_W</v>
      </c>
      <c r="H38" t="str">
        <f t="shared" si="1"/>
        <v xml:space="preserve">=(( ROUFEED_Q * ROUFEED_WF) </v>
      </c>
      <c r="I38" t="str">
        <f t="shared" si="2"/>
        <v>= (POOL_MIXER_Q + MILL_MIXER_Q * MILL_MIXER_WF )</v>
      </c>
    </row>
    <row r="39" spans="1:9">
      <c r="A39" s="49" t="s">
        <v>1958</v>
      </c>
      <c r="B39" t="s">
        <v>1736</v>
      </c>
      <c r="C39" t="s">
        <v>1959</v>
      </c>
      <c r="D39" s="14" t="s">
        <v>22</v>
      </c>
      <c r="E39" t="s">
        <v>1960</v>
      </c>
      <c r="G39" t="str">
        <f t="shared" si="0"/>
        <v>PIPELINE_C</v>
      </c>
      <c r="H39" t="str">
        <f t="shared" si="1"/>
        <v xml:space="preserve">=(( PIPELINE_CLOSE_Q * PIPELINE_CLOSE_CF + PIPE_TKCLC_Q * PIPE_TKCLC_CF) </v>
      </c>
      <c r="I39" t="str">
        <f t="shared" si="2"/>
        <v>= (PIPELINE_OPEN_Q * PIPELINE_OPEN_CF + TKC_PIPE_Q * TKC_PIPE_CF )</v>
      </c>
    </row>
    <row r="40" spans="1:9">
      <c r="A40" s="49" t="s">
        <v>1961</v>
      </c>
      <c r="B40" t="s">
        <v>1737</v>
      </c>
      <c r="C40" t="s">
        <v>1962</v>
      </c>
      <c r="D40" s="14" t="s">
        <v>22</v>
      </c>
      <c r="E40" t="s">
        <v>1963</v>
      </c>
      <c r="G40" t="str">
        <f t="shared" si="0"/>
        <v>PIPELINE_M</v>
      </c>
      <c r="H40" t="str">
        <f t="shared" si="1"/>
        <v xml:space="preserve">=(( PIPELINE_CLOSE_Q + PIPE_TKCLC_Q) </v>
      </c>
      <c r="I40" t="str">
        <f t="shared" si="2"/>
        <v>= (PIPELINE_OPEN_Q + TKC_PIPE_Q )</v>
      </c>
    </row>
    <row r="41" spans="1:9">
      <c r="A41" s="49" t="s">
        <v>1964</v>
      </c>
      <c r="B41" t="s">
        <v>1738</v>
      </c>
      <c r="C41" t="s">
        <v>1965</v>
      </c>
      <c r="D41" s="14" t="s">
        <v>22</v>
      </c>
      <c r="E41" t="s">
        <v>1966</v>
      </c>
      <c r="G41" t="str">
        <f t="shared" si="0"/>
        <v>PIPELINE_W</v>
      </c>
      <c r="H41" t="str">
        <f t="shared" si="1"/>
        <v xml:space="preserve">=(( PIPELINE_CLOSE_Q * PIPELINE_CLOSE_WF + PIPE_TKCLC_Q * PIPE_TKCLC_WF) </v>
      </c>
      <c r="I41" t="str">
        <f t="shared" si="2"/>
        <v>= (PIPELINE_OPEN_Q * PIPELINE_OPEN_WF + TKC_PIPE_Q * TKC_PIPE_WF )</v>
      </c>
    </row>
    <row r="42" spans="1:9">
      <c r="A42" s="50" t="s">
        <v>1967</v>
      </c>
      <c r="B42" t="s">
        <v>1739</v>
      </c>
      <c r="C42" t="s">
        <v>1968</v>
      </c>
      <c r="D42" s="14" t="s">
        <v>22</v>
      </c>
      <c r="E42" t="s">
        <v>1969</v>
      </c>
      <c r="G42" t="str">
        <f t="shared" si="0"/>
        <v>PLANT_RO_W</v>
      </c>
      <c r="H42" t="str">
        <f t="shared" si="1"/>
        <v xml:space="preserve">=(( RO_POND_Q + RO_TANK_Q) </v>
      </c>
      <c r="I42" t="str">
        <f t="shared" si="2"/>
        <v>= (PLANTA_RO_FEED_Q )</v>
      </c>
    </row>
    <row r="43" spans="1:9">
      <c r="A43" s="50" t="s">
        <v>1970</v>
      </c>
      <c r="B43" t="s">
        <v>1740</v>
      </c>
      <c r="C43" t="s">
        <v>1971</v>
      </c>
      <c r="D43" s="14" t="s">
        <v>22</v>
      </c>
      <c r="E43" t="s">
        <v>1972</v>
      </c>
      <c r="G43" t="str">
        <f t="shared" si="0"/>
        <v>POOL_H2OPROC_W</v>
      </c>
      <c r="H43" t="str">
        <f t="shared" si="1"/>
        <v xml:space="preserve">=(( POOL_2CLN_Q + POOL_BC2SUMP_Q + POOL_BC3SUMP_Q + POOL_REM_1_Q + POOL_SAG_Q + POOL_2CLNCONC_Q + POOL_DI30_Q + POOL_MB2_Q + POOL_MIXER_Q + POOL_TK42_Q + POOL_MB3_Q + POOL_MB1_Q + POOL_BC1SUMP_Q + POOL_TK91_Q + POOL_REM_2_Q + POOL_M1_Q) </v>
      </c>
      <c r="I43" t="str">
        <f t="shared" si="2"/>
        <v>= (H2OPROCESSTOTAL_Q )</v>
      </c>
    </row>
    <row r="44" spans="1:9">
      <c r="A44" s="50" t="s">
        <v>1973</v>
      </c>
      <c r="B44" t="s">
        <v>1741</v>
      </c>
      <c r="C44" t="s">
        <v>1974</v>
      </c>
      <c r="D44" s="14" t="s">
        <v>22</v>
      </c>
      <c r="E44" t="s">
        <v>1975</v>
      </c>
      <c r="G44" t="str">
        <f t="shared" si="0"/>
        <v>PP51_C</v>
      </c>
      <c r="H44" t="str">
        <f t="shared" si="1"/>
        <v xml:space="preserve">=(( PP51_DI101_Q * PP51_DI101_CF + PP51_DI104_Q * PP51_DI104_CF) </v>
      </c>
      <c r="I44" t="str">
        <f t="shared" si="2"/>
        <v>= (CONCTHK21_PP51_Q * CONCTHK21_PP51_CF )</v>
      </c>
    </row>
    <row r="45" spans="1:9">
      <c r="A45" s="49" t="s">
        <v>1976</v>
      </c>
      <c r="B45" t="s">
        <v>1742</v>
      </c>
      <c r="C45" t="s">
        <v>1977</v>
      </c>
      <c r="D45" s="14" t="s">
        <v>22</v>
      </c>
      <c r="E45" t="s">
        <v>1978</v>
      </c>
      <c r="G45" t="str">
        <f t="shared" si="0"/>
        <v>PP51_M</v>
      </c>
      <c r="H45" t="str">
        <f t="shared" si="1"/>
        <v xml:space="preserve">=(( PP51_DI101_Q + PP51_DI104_Q) </v>
      </c>
      <c r="I45" t="str">
        <f t="shared" si="2"/>
        <v>= (CONCTHK21_PP51_Q )</v>
      </c>
    </row>
    <row r="46" spans="1:9">
      <c r="A46" s="49" t="s">
        <v>1979</v>
      </c>
      <c r="B46" t="s">
        <v>1743</v>
      </c>
      <c r="C46" t="s">
        <v>1980</v>
      </c>
      <c r="D46" s="14" t="s">
        <v>22</v>
      </c>
      <c r="E46" t="s">
        <v>1981</v>
      </c>
      <c r="G46" t="str">
        <f t="shared" si="0"/>
        <v>PP51_W</v>
      </c>
      <c r="H46" t="str">
        <f t="shared" si="1"/>
        <v xml:space="preserve">=(( PP51_DI104_Q * PP51_DI104_WF + PP51_DI101_Q * PP51_DI101_WF) </v>
      </c>
      <c r="I46" t="str">
        <f t="shared" si="2"/>
        <v>= (CONCTHK21_PP51_Q * CONCTHK21_PP51_WF )</v>
      </c>
    </row>
    <row r="47" spans="1:9">
      <c r="A47" s="49" t="s">
        <v>1982</v>
      </c>
      <c r="B47" t="s">
        <v>1744</v>
      </c>
      <c r="C47" t="s">
        <v>1983</v>
      </c>
      <c r="D47" s="14" t="s">
        <v>22</v>
      </c>
      <c r="E47" t="s">
        <v>1984</v>
      </c>
      <c r="G47" t="str">
        <f t="shared" si="0"/>
        <v>PP52_C</v>
      </c>
      <c r="H47" t="str">
        <f t="shared" si="1"/>
        <v xml:space="preserve">=(( PP52_DI101_Q * PP52_DI101_CF + PP52_DI104_Q * PP52_DI104_CF) </v>
      </c>
      <c r="I47" t="str">
        <f t="shared" si="2"/>
        <v>= (CONCTHK21_PP52_Q * CONCTHK21_PP52_CF )</v>
      </c>
    </row>
    <row r="48" spans="1:9">
      <c r="A48" s="49" t="s">
        <v>1985</v>
      </c>
      <c r="B48" t="s">
        <v>1745</v>
      </c>
      <c r="C48" t="s">
        <v>1986</v>
      </c>
      <c r="D48" s="14" t="s">
        <v>22</v>
      </c>
      <c r="E48" t="s">
        <v>1987</v>
      </c>
      <c r="G48" t="str">
        <f t="shared" si="0"/>
        <v>PP52_M</v>
      </c>
      <c r="H48" t="str">
        <f t="shared" si="1"/>
        <v xml:space="preserve">=(( PP52_DI101_Q + PP52_DI104_Q) </v>
      </c>
      <c r="I48" t="str">
        <f t="shared" si="2"/>
        <v>= (CONCTHK21_PP52_Q )</v>
      </c>
    </row>
    <row r="49" spans="1:9">
      <c r="A49" s="49" t="s">
        <v>1988</v>
      </c>
      <c r="B49" t="s">
        <v>1746</v>
      </c>
      <c r="C49" t="s">
        <v>1989</v>
      </c>
      <c r="D49" s="14" t="s">
        <v>22</v>
      </c>
      <c r="E49" t="s">
        <v>1990</v>
      </c>
      <c r="G49" t="str">
        <f t="shared" si="0"/>
        <v>PP52_W</v>
      </c>
      <c r="H49" t="str">
        <f t="shared" si="1"/>
        <v xml:space="preserve">=(( PP52_DI101_Q * PP52_DI101_WF + PP52_DI104_Q * PP52_DI104_WF) </v>
      </c>
      <c r="I49" t="str">
        <f t="shared" si="2"/>
        <v>= (CONCTHK21_PP52_Q * CONCTHK21_PP52_WF )</v>
      </c>
    </row>
    <row r="50" spans="1:9">
      <c r="A50" s="49" t="s">
        <v>1991</v>
      </c>
      <c r="B50" t="s">
        <v>1747</v>
      </c>
      <c r="C50" t="s">
        <v>1992</v>
      </c>
      <c r="D50" s="14" t="s">
        <v>22</v>
      </c>
      <c r="E50" t="s">
        <v>1993</v>
      </c>
      <c r="G50" t="str">
        <f t="shared" si="0"/>
        <v>PP53_C</v>
      </c>
      <c r="H50" t="str">
        <f t="shared" si="1"/>
        <v xml:space="preserve">=(( PP53_DI101_Q * PP53_DI101_CF + PP53_DI104_Q * PP53_DI104_CF) </v>
      </c>
      <c r="I50" t="str">
        <f t="shared" si="2"/>
        <v>= (CONCTHK22_PP53_Q * CONCTHK22_PP53_CF )</v>
      </c>
    </row>
    <row r="51" spans="1:9">
      <c r="A51" s="49" t="s">
        <v>1994</v>
      </c>
      <c r="B51" t="s">
        <v>1748</v>
      </c>
      <c r="C51" t="s">
        <v>1995</v>
      </c>
      <c r="D51" s="14" t="s">
        <v>22</v>
      </c>
      <c r="E51" t="s">
        <v>1996</v>
      </c>
      <c r="G51" t="str">
        <f t="shared" si="0"/>
        <v>PP53_M</v>
      </c>
      <c r="H51" t="str">
        <f t="shared" si="1"/>
        <v xml:space="preserve">=(( PP53_DI101_Q + PP53_DI104_Q) </v>
      </c>
      <c r="I51" t="str">
        <f t="shared" si="2"/>
        <v>= (CONCTHK22_PP53_Q )</v>
      </c>
    </row>
    <row r="52" spans="1:9">
      <c r="A52" s="49" t="s">
        <v>1997</v>
      </c>
      <c r="B52" t="s">
        <v>1749</v>
      </c>
      <c r="C52" t="s">
        <v>1998</v>
      </c>
      <c r="D52" s="14" t="s">
        <v>22</v>
      </c>
      <c r="E52" t="s">
        <v>1999</v>
      </c>
      <c r="G52" t="str">
        <f t="shared" si="0"/>
        <v>PP53_W</v>
      </c>
      <c r="H52" t="str">
        <f t="shared" si="1"/>
        <v xml:space="preserve">=(( PP53_DI104_Q * PP53_DI104_WF + PP53_DI101_Q * PP53_DI101_WF) </v>
      </c>
      <c r="I52" t="str">
        <f t="shared" si="2"/>
        <v>= (CONCTHK22_PP53_Q * CONCTHK22_PP53_WF )</v>
      </c>
    </row>
    <row r="53" spans="1:9">
      <c r="A53" s="49" t="s">
        <v>2000</v>
      </c>
      <c r="B53" t="s">
        <v>1750</v>
      </c>
      <c r="C53" t="s">
        <v>2001</v>
      </c>
      <c r="D53" s="14" t="s">
        <v>22</v>
      </c>
      <c r="E53" t="s">
        <v>2002</v>
      </c>
      <c r="G53" t="str">
        <f t="shared" si="0"/>
        <v>PP54_C</v>
      </c>
      <c r="H53" t="str">
        <f t="shared" si="1"/>
        <v xml:space="preserve">=(( PP54_DI101_Q * PP54_DI101_CF + PP54_DI104_Q * PP54_DI104_CF) </v>
      </c>
      <c r="I53" t="str">
        <f t="shared" si="2"/>
        <v>= (CONCTHK22_PP54_Q * CONCTHK22_PP54_CF )</v>
      </c>
    </row>
    <row r="54" spans="1:9">
      <c r="A54" s="49" t="s">
        <v>2003</v>
      </c>
      <c r="B54" t="s">
        <v>1751</v>
      </c>
      <c r="C54" t="s">
        <v>2004</v>
      </c>
      <c r="D54" s="14" t="s">
        <v>22</v>
      </c>
      <c r="E54" t="s">
        <v>2005</v>
      </c>
      <c r="G54" t="str">
        <f t="shared" si="0"/>
        <v>PP54_M</v>
      </c>
      <c r="H54" t="str">
        <f t="shared" si="1"/>
        <v xml:space="preserve">=(( PP54_DI101_Q + PP54_DI104_Q) </v>
      </c>
      <c r="I54" t="str">
        <f t="shared" si="2"/>
        <v>= (CONCTHK22_PP54_Q )</v>
      </c>
    </row>
    <row r="55" spans="1:9">
      <c r="A55" s="49" t="s">
        <v>2006</v>
      </c>
      <c r="B55" t="s">
        <v>1752</v>
      </c>
      <c r="C55" t="s">
        <v>2007</v>
      </c>
      <c r="D55" s="14" t="s">
        <v>22</v>
      </c>
      <c r="E55" t="s">
        <v>2008</v>
      </c>
      <c r="G55" t="str">
        <f t="shared" si="0"/>
        <v>PP54_W</v>
      </c>
      <c r="H55" t="str">
        <f t="shared" si="1"/>
        <v xml:space="preserve">=(( PP54_DI101_Q * PP54_DI101_WF + PP54_DI104_Q * PP54_DI104_WF) </v>
      </c>
      <c r="I55" t="str">
        <f t="shared" si="2"/>
        <v>= (CONCTHK22_PP54_Q * CONCTHK22_PP54_WF )</v>
      </c>
    </row>
    <row r="56" spans="1:9">
      <c r="A56" s="49" t="s">
        <v>2009</v>
      </c>
      <c r="B56" t="s">
        <v>1753</v>
      </c>
      <c r="C56" t="s">
        <v>2010</v>
      </c>
      <c r="D56" s="14" t="s">
        <v>22</v>
      </c>
      <c r="E56" t="s">
        <v>2011</v>
      </c>
      <c r="G56" t="str">
        <f t="shared" si="0"/>
        <v>TAILTHK6_C</v>
      </c>
      <c r="H56" t="str">
        <f t="shared" si="1"/>
        <v xml:space="preserve">=(( TAILTHK6_CLOSE_Q * TAILTHK6_CLOSE_CF + TAILTHK6_UNDERFLOW_Q * TAILTHK6_UNDERFLOW_CF) </v>
      </c>
      <c r="I56" t="str">
        <f t="shared" si="2"/>
        <v>= (TAILTHK6_OPEN_Q * TAILTHK6_OPEN_CF + DI150_TAILTHK6_Q * DI150_TAILTHK6_CF )</v>
      </c>
    </row>
    <row r="57" spans="1:9">
      <c r="A57" s="49" t="s">
        <v>2012</v>
      </c>
      <c r="B57" t="s">
        <v>1754</v>
      </c>
      <c r="C57" t="s">
        <v>2013</v>
      </c>
      <c r="D57" s="14" t="s">
        <v>22</v>
      </c>
      <c r="E57" t="s">
        <v>2014</v>
      </c>
      <c r="G57" t="str">
        <f t="shared" si="0"/>
        <v>TAILTHK6_M</v>
      </c>
      <c r="H57" t="str">
        <f t="shared" si="1"/>
        <v xml:space="preserve">=(( TAILTHK6_CLOSE_Q + TAILTHK6_UNDERFLOW_Q) </v>
      </c>
      <c r="I57" t="str">
        <f t="shared" si="2"/>
        <v>= (TAILTHK6_OPEN_Q + DI150_TAILTHK6_Q )</v>
      </c>
    </row>
    <row r="58" spans="1:9">
      <c r="A58" s="49" t="s">
        <v>2015</v>
      </c>
      <c r="B58" t="s">
        <v>1755</v>
      </c>
      <c r="C58" t="s">
        <v>2016</v>
      </c>
      <c r="D58" s="14" t="s">
        <v>22</v>
      </c>
      <c r="E58" t="s">
        <v>2017</v>
      </c>
      <c r="G58" t="str">
        <f t="shared" si="0"/>
        <v>TAILTHK6_TOTVOL_W</v>
      </c>
      <c r="H58" t="str">
        <f t="shared" si="1"/>
        <v xml:space="preserve">=(( TAILTHK6_TOTVOL_CLOSE_Q) </v>
      </c>
      <c r="I58" t="str">
        <f t="shared" si="2"/>
        <v>= (TAILTHK6_TOTVOL_OPEN_Q )</v>
      </c>
    </row>
    <row r="59" spans="1:9">
      <c r="A59" s="49" t="s">
        <v>2018</v>
      </c>
      <c r="B59" t="s">
        <v>1756</v>
      </c>
      <c r="C59" t="s">
        <v>2019</v>
      </c>
      <c r="D59" s="14" t="s">
        <v>22</v>
      </c>
      <c r="E59" t="s">
        <v>2020</v>
      </c>
      <c r="G59" t="str">
        <f t="shared" si="0"/>
        <v>TAILTHK6_W</v>
      </c>
      <c r="H59" t="str">
        <f t="shared" si="1"/>
        <v xml:space="preserve">=(( TAILTHK6_CLOSE_Q * TAILTHK6_CLOSE_WF + TAILTHK6_OVERFLOW_Q + TAILTHK6_UNDERFLOW_Q * TAILTHK6_UNDERFLOW_WF) </v>
      </c>
      <c r="I59" t="str">
        <f t="shared" si="2"/>
        <v>= (TAILTHK6_OPEN_Q * TAILTHK6_OPEN_WF + DI150_TAILTHK6_Q * DI150_TAILTHK6_WF )</v>
      </c>
    </row>
    <row r="60" spans="1:9">
      <c r="A60" s="49" t="s">
        <v>2021</v>
      </c>
      <c r="B60" t="s">
        <v>1757</v>
      </c>
      <c r="C60" t="s">
        <v>2022</v>
      </c>
      <c r="D60" s="14" t="s">
        <v>22</v>
      </c>
      <c r="E60" t="s">
        <v>2023</v>
      </c>
      <c r="G60" t="str">
        <f t="shared" si="0"/>
        <v>TAILTHK7_C</v>
      </c>
      <c r="H60" t="str">
        <f t="shared" si="1"/>
        <v xml:space="preserve">=(( TAILTHK7_CLOSE_Q * TAILTHK7_CLOSE_CF + TAILTHK7_UNDERFLOW_Q * TAILTHK7_UNDERFLOW_CF) </v>
      </c>
      <c r="I60" t="str">
        <f t="shared" si="2"/>
        <v>= (TAILTHK7_OPEN_Q * TAILTHK7_OPEN_CF + DI150_TAILTHK7_Q * DI150_TAILTHK7_CF )</v>
      </c>
    </row>
    <row r="61" spans="1:9">
      <c r="A61" s="49" t="s">
        <v>2024</v>
      </c>
      <c r="B61" t="s">
        <v>1758</v>
      </c>
      <c r="C61" t="s">
        <v>2025</v>
      </c>
      <c r="D61" s="14" t="s">
        <v>22</v>
      </c>
      <c r="E61" t="s">
        <v>2026</v>
      </c>
      <c r="G61" t="str">
        <f t="shared" si="0"/>
        <v>TAILTHK7_M</v>
      </c>
      <c r="H61" t="str">
        <f t="shared" si="1"/>
        <v xml:space="preserve">=(( TAILTHK7_CLOSE_Q + TAILTHK7_UNDERFLOW_Q) </v>
      </c>
      <c r="I61" t="str">
        <f t="shared" si="2"/>
        <v>= (TAILTHK7_OPEN_Q + DI150_TAILTHK7_Q )</v>
      </c>
    </row>
    <row r="62" spans="1:9">
      <c r="A62" s="49" t="s">
        <v>2027</v>
      </c>
      <c r="B62" t="s">
        <v>1759</v>
      </c>
      <c r="C62" t="s">
        <v>2028</v>
      </c>
      <c r="D62" s="14" t="s">
        <v>22</v>
      </c>
      <c r="E62" t="s">
        <v>2029</v>
      </c>
      <c r="G62" t="str">
        <f t="shared" si="0"/>
        <v>TAILTHK7_TOTVOL_W</v>
      </c>
      <c r="H62" t="str">
        <f t="shared" si="1"/>
        <v xml:space="preserve">=(( TAILTHK7_TOTVOL_CLOSE_Q) </v>
      </c>
      <c r="I62" t="str">
        <f t="shared" si="2"/>
        <v>= (TAILTHK7_TOTVOL_OPEN_Q )</v>
      </c>
    </row>
    <row r="63" spans="1:9">
      <c r="A63" s="49" t="s">
        <v>2030</v>
      </c>
      <c r="B63" t="s">
        <v>1760</v>
      </c>
      <c r="C63" t="s">
        <v>2031</v>
      </c>
      <c r="D63" s="14" t="s">
        <v>22</v>
      </c>
      <c r="E63" t="s">
        <v>2032</v>
      </c>
      <c r="G63" t="str">
        <f t="shared" si="0"/>
        <v>TAILTHK7_W</v>
      </c>
      <c r="H63" t="str">
        <f t="shared" si="1"/>
        <v xml:space="preserve">=(( TAILTHK7_CLOSE_Q * TAILTHK7_CLOSE_WF + TAILTHK7_OVERFLOW_Q + TAILTHK7_UNDERFLOW_Q * TAILTHK7_UNDERFLOW_WF) </v>
      </c>
      <c r="I63" t="str">
        <f t="shared" si="2"/>
        <v>= (TAILTHK7_OPEN_Q * TAILTHK7_OPEN_WF + DI150_TAILTHK7_Q * DI150_TAILTHK7_WF )</v>
      </c>
    </row>
    <row r="64" spans="1:9">
      <c r="A64" s="49" t="s">
        <v>2033</v>
      </c>
      <c r="B64" t="s">
        <v>1761</v>
      </c>
      <c r="C64" t="s">
        <v>2034</v>
      </c>
      <c r="D64" s="14" t="s">
        <v>22</v>
      </c>
      <c r="E64" t="s">
        <v>2035</v>
      </c>
      <c r="G64" t="str">
        <f t="shared" si="0"/>
        <v>TAILTHK8_C</v>
      </c>
      <c r="H64" t="str">
        <f t="shared" si="1"/>
        <v xml:space="preserve">=(( TAILTHK8_CLOSE_Q * TAILTHK8_CLOSE_CF + TAILTHK8_UNDERFLOW_Q * TAILTHK8_UNDERFLOW_CF) </v>
      </c>
      <c r="I64" t="str">
        <f t="shared" si="2"/>
        <v>= (TAILTHK8_OPEN_Q * TAILTHK8_OPEN_CF + DI150_TAILTHK8_Q * DI150_TAILTHK8_CF )</v>
      </c>
    </row>
    <row r="65" spans="1:9">
      <c r="A65" s="49" t="s">
        <v>2036</v>
      </c>
      <c r="B65" t="s">
        <v>1762</v>
      </c>
      <c r="C65" t="s">
        <v>2037</v>
      </c>
      <c r="D65" s="14" t="s">
        <v>22</v>
      </c>
      <c r="E65" t="s">
        <v>2038</v>
      </c>
      <c r="G65" t="str">
        <f t="shared" si="0"/>
        <v>TAILTHK8_M</v>
      </c>
      <c r="H65" t="str">
        <f t="shared" si="1"/>
        <v xml:space="preserve">=(( TAILTHK8_CLOSE_Q + TAILTHK8_UNDERFLOW_Q) </v>
      </c>
      <c r="I65" t="str">
        <f t="shared" si="2"/>
        <v>= (TAILTHK8_OPEN_Q + DI150_TAILTHK8_Q )</v>
      </c>
    </row>
    <row r="66" spans="1:9">
      <c r="A66" s="49" t="s">
        <v>2039</v>
      </c>
      <c r="B66" t="s">
        <v>1763</v>
      </c>
      <c r="C66" t="s">
        <v>2040</v>
      </c>
      <c r="D66" s="14" t="s">
        <v>22</v>
      </c>
      <c r="E66" t="s">
        <v>2041</v>
      </c>
      <c r="G66" t="str">
        <f t="shared" ref="G66:G91" si="3">MID(A66,1,FIND(":",A66)-1)</f>
        <v>TAILTHK8_TOTVOL_W</v>
      </c>
      <c r="H66" t="str">
        <f t="shared" si="1"/>
        <v xml:space="preserve">=(( TAILTHK8_TOTVOL_CLOSE_Q) </v>
      </c>
      <c r="I66" t="str">
        <f t="shared" si="2"/>
        <v>= (TAILTHK8_TOTVOL_OPEN_Q )</v>
      </c>
    </row>
    <row r="67" spans="1:9">
      <c r="A67" s="49" t="s">
        <v>2042</v>
      </c>
      <c r="B67" t="s">
        <v>1764</v>
      </c>
      <c r="C67" t="s">
        <v>2043</v>
      </c>
      <c r="D67" s="14" t="s">
        <v>22</v>
      </c>
      <c r="E67" t="s">
        <v>2044</v>
      </c>
      <c r="G67" t="str">
        <f t="shared" si="3"/>
        <v>TAILTHK8_W</v>
      </c>
      <c r="H67" t="str">
        <f t="shared" ref="H67:H130" si="4">"="&amp;MID(A67,FIND(": (",A67)+2,FIND("=",A67)-FIND(": (",A67)-2)</f>
        <v xml:space="preserve">=(( TAILTHK8_CLOSE_Q * TAILTHK8_CLOSE_WF + TAILTHK8_OVERFLOW_Q + TAILTHK8_UNDERFLOW_Q * TAILTHK8_UNDERFLOW_WF) </v>
      </c>
      <c r="I67" t="str">
        <f t="shared" ref="I67:I130" si="5">"="&amp;MID(A67,FIND("=",A67)+1,LEN(A67)-FIND("=",A67)-2)</f>
        <v>= (TAILTHK8_OPEN_Q * TAILTHK8_OPEN_WF + DI150_TAILTHK8_Q * DI150_TAILTHK8_WF )</v>
      </c>
    </row>
    <row r="68" spans="1:9">
      <c r="A68" s="49" t="s">
        <v>2045</v>
      </c>
      <c r="B68" t="s">
        <v>1765</v>
      </c>
      <c r="C68" t="s">
        <v>2046</v>
      </c>
      <c r="D68" s="14" t="s">
        <v>22</v>
      </c>
      <c r="E68" t="s">
        <v>2047</v>
      </c>
      <c r="G68" t="str">
        <f t="shared" si="3"/>
        <v>TAILTHK_H2OREC_W</v>
      </c>
      <c r="H68" t="str">
        <f t="shared" si="4"/>
        <v xml:space="preserve">=(( TAILTHK_OVERFLOW_Q) </v>
      </c>
      <c r="I68" t="str">
        <f t="shared" si="5"/>
        <v>= (TAILTHK7_OVERFLOW_Q + TAILTHK6_OVERFLOW_Q + TAILTHK8_OVERFLOW_Q )</v>
      </c>
    </row>
    <row r="69" spans="1:9">
      <c r="A69" s="49" t="s">
        <v>2048</v>
      </c>
      <c r="B69" t="s">
        <v>1766</v>
      </c>
      <c r="C69" t="s">
        <v>2049</v>
      </c>
      <c r="D69" s="14" t="s">
        <v>22</v>
      </c>
      <c r="E69" t="s">
        <v>2050</v>
      </c>
      <c r="G69" t="str">
        <f t="shared" si="3"/>
        <v>TANK_W</v>
      </c>
      <c r="H69" t="str">
        <f t="shared" si="4"/>
        <v xml:space="preserve">=(( TANK_CLOSE_Q + H2ODISCHARGE_Q + H2OPROCESSTOTAL_Q) </v>
      </c>
      <c r="I69" t="str">
        <f t="shared" si="5"/>
        <v>= (TANK_OPEN_Q + H2O_RECOVERED_Q + RO_TANK_Q + TK83_TANK_Q )</v>
      </c>
    </row>
    <row r="70" spans="1:9">
      <c r="A70" s="49" t="s">
        <v>2051</v>
      </c>
      <c r="B70" t="s">
        <v>1767</v>
      </c>
      <c r="C70" t="s">
        <v>2052</v>
      </c>
      <c r="D70" s="14" t="s">
        <v>22</v>
      </c>
      <c r="E70" t="s">
        <v>2053</v>
      </c>
      <c r="G70" t="str">
        <f t="shared" si="3"/>
        <v>TK10_W</v>
      </c>
      <c r="H70" t="str">
        <f t="shared" si="4"/>
        <v xml:space="preserve">=(( TK10_TK11_Q) </v>
      </c>
      <c r="I70" t="str">
        <f t="shared" si="5"/>
        <v>= (POND_RECVR_Q )</v>
      </c>
    </row>
    <row r="71" spans="1:9">
      <c r="A71" s="49" t="s">
        <v>2054</v>
      </c>
      <c r="B71" t="s">
        <v>1768</v>
      </c>
      <c r="C71" t="s">
        <v>2055</v>
      </c>
      <c r="D71" s="14" t="s">
        <v>22</v>
      </c>
      <c r="E71" t="s">
        <v>2056</v>
      </c>
      <c r="G71" t="str">
        <f t="shared" si="3"/>
        <v>TK11_W</v>
      </c>
      <c r="H71" t="str">
        <f t="shared" si="4"/>
        <v xml:space="preserve">=(( H2O_RECOVERED_Q) </v>
      </c>
      <c r="I71" t="str">
        <f t="shared" si="5"/>
        <v>= (TK10_TK11_Q + CONCTHK_OVERFLOW_Q + TAILTHK_OVERFLOW_Q )</v>
      </c>
    </row>
    <row r="72" spans="1:9">
      <c r="A72" s="49" t="s">
        <v>2057</v>
      </c>
      <c r="B72" t="s">
        <v>1769</v>
      </c>
      <c r="C72" t="s">
        <v>2058</v>
      </c>
      <c r="D72" s="14" t="s">
        <v>22</v>
      </c>
      <c r="E72" t="s">
        <v>2059</v>
      </c>
      <c r="G72" t="str">
        <f t="shared" si="3"/>
        <v>TK140_C</v>
      </c>
      <c r="H72" t="str">
        <f t="shared" si="4"/>
        <v xml:space="preserve">=(( TK140_TK165_Q * TK140_TK165_CF) </v>
      </c>
      <c r="I72" t="str">
        <f t="shared" si="5"/>
        <v>= (TAILTHK8_UNDERFLOW_Q * TAILTHK8_UNDERFLOW_CF + TAILTHK7_UNDERFLOW_Q * TAILTHK7_UNDERFLOW_CF )</v>
      </c>
    </row>
    <row r="73" spans="1:9">
      <c r="A73" s="49" t="s">
        <v>2060</v>
      </c>
      <c r="B73" t="s">
        <v>1770</v>
      </c>
      <c r="C73" t="s">
        <v>2061</v>
      </c>
      <c r="D73" s="14" t="s">
        <v>22</v>
      </c>
      <c r="E73" t="s">
        <v>2062</v>
      </c>
      <c r="G73" t="str">
        <f t="shared" si="3"/>
        <v>TK140_M</v>
      </c>
      <c r="H73" t="str">
        <f t="shared" si="4"/>
        <v xml:space="preserve">=(( TK140_TK165_Q) </v>
      </c>
      <c r="I73" t="str">
        <f t="shared" si="5"/>
        <v>= (TAILTHK7_UNDERFLOW_Q + TAILTHK8_UNDERFLOW_Q )</v>
      </c>
    </row>
    <row r="74" spans="1:9">
      <c r="A74" s="49" t="s">
        <v>2063</v>
      </c>
      <c r="B74" t="s">
        <v>1771</v>
      </c>
      <c r="C74" t="s">
        <v>2064</v>
      </c>
      <c r="D74" s="14" t="s">
        <v>22</v>
      </c>
      <c r="E74" t="s">
        <v>2065</v>
      </c>
      <c r="G74" t="str">
        <f t="shared" si="3"/>
        <v>TK140_W</v>
      </c>
      <c r="H74" t="str">
        <f t="shared" si="4"/>
        <v xml:space="preserve">=(( TK140_TK165_Q * TK140_TK165_WF) </v>
      </c>
      <c r="I74" t="str">
        <f t="shared" si="5"/>
        <v>= (TAILTHK7_UNDERFLOW_Q * TAILTHK7_UNDERFLOW_WF + TAILTHK8_UNDERFLOW_Q * TAILTHK8_UNDERFLOW_WF )</v>
      </c>
    </row>
    <row r="75" spans="1:9">
      <c r="A75" s="49" t="s">
        <v>2066</v>
      </c>
      <c r="B75" t="s">
        <v>1772</v>
      </c>
      <c r="C75" t="s">
        <v>2067</v>
      </c>
      <c r="D75" s="14" t="s">
        <v>22</v>
      </c>
      <c r="E75" t="s">
        <v>2068</v>
      </c>
      <c r="G75" t="str">
        <f t="shared" si="3"/>
        <v>TK165_C</v>
      </c>
      <c r="H75" t="str">
        <f t="shared" si="4"/>
        <v xml:space="preserve">=(( TAILPOND_Q * TAILPOND_CF) </v>
      </c>
      <c r="I75" t="str">
        <f t="shared" si="5"/>
        <v>= (TAILTHK6_UNDERFLOW_Q * TAILTHK6_UNDERFLOW_CF + TK140_TK165_Q * TK140_TK165_CF )</v>
      </c>
    </row>
    <row r="76" spans="1:9">
      <c r="A76" s="49" t="s">
        <v>2069</v>
      </c>
      <c r="B76" t="s">
        <v>1773</v>
      </c>
      <c r="C76" t="s">
        <v>2070</v>
      </c>
      <c r="D76" s="14" t="s">
        <v>22</v>
      </c>
      <c r="E76" t="s">
        <v>2071</v>
      </c>
      <c r="G76" t="str">
        <f t="shared" si="3"/>
        <v>TK165_M</v>
      </c>
      <c r="H76" t="str">
        <f t="shared" si="4"/>
        <v xml:space="preserve">=(( TAILPOND_Q) </v>
      </c>
      <c r="I76" t="str">
        <f t="shared" si="5"/>
        <v>= (TAILTHK6_UNDERFLOW_Q + TK140_TK165_Q )</v>
      </c>
    </row>
    <row r="77" spans="1:9">
      <c r="A77" s="49" t="s">
        <v>2072</v>
      </c>
      <c r="B77" t="s">
        <v>1774</v>
      </c>
      <c r="C77" t="s">
        <v>2073</v>
      </c>
      <c r="D77" s="14" t="s">
        <v>22</v>
      </c>
      <c r="E77" t="s">
        <v>2074</v>
      </c>
      <c r="G77" t="str">
        <f t="shared" si="3"/>
        <v>TK165_W</v>
      </c>
      <c r="H77" t="str">
        <f t="shared" si="4"/>
        <v xml:space="preserve">=(( TAILPOND_Q * TAILPOND_WF) </v>
      </c>
      <c r="I77" t="str">
        <f t="shared" si="5"/>
        <v>= (TAILTHK6_UNDERFLOW_Q * TAILTHK6_UNDERFLOW_WF + TK140_TK165_Q * TK140_TK165_WF )</v>
      </c>
    </row>
    <row r="78" spans="1:9">
      <c r="A78" s="49" t="s">
        <v>2075</v>
      </c>
      <c r="B78" t="s">
        <v>1775</v>
      </c>
      <c r="C78" t="s">
        <v>2076</v>
      </c>
      <c r="D78" s="14" t="s">
        <v>22</v>
      </c>
      <c r="E78" t="s">
        <v>2077</v>
      </c>
      <c r="G78" t="str">
        <f t="shared" si="3"/>
        <v>TK23_C</v>
      </c>
      <c r="H78" t="str">
        <f t="shared" si="4"/>
        <v xml:space="preserve">=(( TK23_CLOSE_Q * TK23_CLOSE_CF + TK23_DI105_Q * TK23_DI105_CF) </v>
      </c>
      <c r="I78" t="str">
        <f t="shared" si="5"/>
        <v>= (TK23_OPEN_Q * TK23_OPEN_CF + CONCTHK_TK23_Q * CONCTHK_TK23_CF )</v>
      </c>
    </row>
    <row r="79" spans="1:9">
      <c r="A79" s="49" t="s">
        <v>2078</v>
      </c>
      <c r="B79" t="s">
        <v>1776</v>
      </c>
      <c r="C79" t="s">
        <v>2079</v>
      </c>
      <c r="D79" s="14" t="s">
        <v>22</v>
      </c>
      <c r="E79" t="s">
        <v>2080</v>
      </c>
      <c r="G79" t="str">
        <f t="shared" si="3"/>
        <v>TK23_M</v>
      </c>
      <c r="H79" t="str">
        <f t="shared" si="4"/>
        <v xml:space="preserve">=(( TK23_CLOSE_Q + TK23_DI105_Q) </v>
      </c>
      <c r="I79" t="str">
        <f t="shared" si="5"/>
        <v>= (TK23_OPEN_Q + CONCTHK_TK23_Q )</v>
      </c>
    </row>
    <row r="80" spans="1:9">
      <c r="A80" s="49" t="s">
        <v>2081</v>
      </c>
      <c r="B80" t="s">
        <v>1777</v>
      </c>
      <c r="C80" t="s">
        <v>2082</v>
      </c>
      <c r="D80" s="14" t="s">
        <v>22</v>
      </c>
      <c r="E80" t="s">
        <v>2083</v>
      </c>
      <c r="G80" t="str">
        <f t="shared" si="3"/>
        <v>TK23_W</v>
      </c>
      <c r="H80" t="str">
        <f t="shared" si="4"/>
        <v xml:space="preserve">=(( TK23_CLOSE_Q * TK23_CLOSE_WF + TK23_DI105_Q * TK23_DI105_WF) </v>
      </c>
      <c r="I80" t="str">
        <f t="shared" si="5"/>
        <v>= (TK23_OPEN_Q * TK23_OPEN_WF + CONCTHK_TK23_Q * CONCTHK_TK23_WF )</v>
      </c>
    </row>
    <row r="81" spans="1:9">
      <c r="A81" s="49" t="s">
        <v>2084</v>
      </c>
      <c r="B81" t="s">
        <v>1778</v>
      </c>
      <c r="C81" t="s">
        <v>2085</v>
      </c>
      <c r="D81" s="14" t="s">
        <v>22</v>
      </c>
      <c r="E81" t="s">
        <v>2086</v>
      </c>
      <c r="G81" t="str">
        <f t="shared" si="3"/>
        <v>TK24_C</v>
      </c>
      <c r="H81" t="str">
        <f t="shared" si="4"/>
        <v xml:space="preserve">=(( TK24_CLOSE_Q * TK24_CLOSE_CF + TK24_DI105_Q * TK24_DI105_CF) </v>
      </c>
      <c r="I81" t="str">
        <f t="shared" si="5"/>
        <v>= (TK24_OPEN_Q * TK24_OPEN_CF + CONCTHK_TK24_Q * CONCTHK_TK24_CF )</v>
      </c>
    </row>
    <row r="82" spans="1:9">
      <c r="A82" s="49" t="s">
        <v>2087</v>
      </c>
      <c r="B82" t="s">
        <v>1779</v>
      </c>
      <c r="C82" t="s">
        <v>2088</v>
      </c>
      <c r="D82" s="14" t="s">
        <v>22</v>
      </c>
      <c r="E82" t="s">
        <v>2089</v>
      </c>
      <c r="G82" t="str">
        <f t="shared" si="3"/>
        <v>TK24_M</v>
      </c>
      <c r="H82" t="str">
        <f t="shared" si="4"/>
        <v xml:space="preserve">=(( TK24_CLOSE_Q + TK24_DI105_Q) </v>
      </c>
      <c r="I82" t="str">
        <f t="shared" si="5"/>
        <v>= (TK24_OPEN_Q + CONCTHK_TK24_Q )</v>
      </c>
    </row>
    <row r="83" spans="1:9">
      <c r="A83" s="49" t="s">
        <v>2090</v>
      </c>
      <c r="B83" t="s">
        <v>1780</v>
      </c>
      <c r="C83" t="s">
        <v>2091</v>
      </c>
      <c r="D83" s="14" t="s">
        <v>22</v>
      </c>
      <c r="E83" t="s">
        <v>2092</v>
      </c>
      <c r="G83" t="str">
        <f t="shared" si="3"/>
        <v>TK24_W</v>
      </c>
      <c r="H83" t="str">
        <f t="shared" si="4"/>
        <v xml:space="preserve">=(( TK24_CLOSE_Q * TK24_CLOSE_WF + TK24_DI105_Q * TK24_DI105_WF) </v>
      </c>
      <c r="I83" t="str">
        <f t="shared" si="5"/>
        <v>= (TK24_OPEN_Q * TK24_OPEN_WF + CONCTHK_TK24_Q * CONCTHK_TK24_WF )</v>
      </c>
    </row>
    <row r="84" spans="1:9">
      <c r="A84" s="49" t="s">
        <v>2093</v>
      </c>
      <c r="B84" t="s">
        <v>1781</v>
      </c>
      <c r="C84" t="s">
        <v>2094</v>
      </c>
      <c r="D84" s="14" t="s">
        <v>22</v>
      </c>
      <c r="E84" t="s">
        <v>2095</v>
      </c>
      <c r="G84" t="str">
        <f t="shared" si="3"/>
        <v>TK25_C</v>
      </c>
      <c r="H84" t="str">
        <f t="shared" si="4"/>
        <v xml:space="preserve">=(( TK25_CLOSE_Q * TK25_CLOSE_CF + TK25_DI105_Q * TK25_DI105_CF) </v>
      </c>
      <c r="I84" t="str">
        <f t="shared" si="5"/>
        <v>= (TK25_OPEN_Q * TK25_OPEN_CF + CONCTHK_TK25_Q * CONCTHK_TK25_CF )</v>
      </c>
    </row>
    <row r="85" spans="1:9">
      <c r="A85" s="49" t="s">
        <v>2096</v>
      </c>
      <c r="B85" t="s">
        <v>1782</v>
      </c>
      <c r="C85" t="s">
        <v>2097</v>
      </c>
      <c r="D85" s="14" t="s">
        <v>22</v>
      </c>
      <c r="E85" t="s">
        <v>2098</v>
      </c>
      <c r="G85" t="str">
        <f t="shared" si="3"/>
        <v>TK25_M</v>
      </c>
      <c r="H85" t="str">
        <f t="shared" si="4"/>
        <v xml:space="preserve">=(( TK25_CLOSE_Q + TK25_DI105_Q) </v>
      </c>
      <c r="I85" t="str">
        <f t="shared" si="5"/>
        <v>= (TK25_OPEN_Q + CONCTHK_TK25_Q )</v>
      </c>
    </row>
    <row r="86" spans="1:9">
      <c r="A86" s="49" t="s">
        <v>2099</v>
      </c>
      <c r="B86" t="s">
        <v>1783</v>
      </c>
      <c r="C86" t="s">
        <v>2100</v>
      </c>
      <c r="D86" s="14" t="s">
        <v>22</v>
      </c>
      <c r="E86" t="s">
        <v>2101</v>
      </c>
      <c r="G86" t="str">
        <f t="shared" si="3"/>
        <v>TK25_W</v>
      </c>
      <c r="H86" t="str">
        <f t="shared" si="4"/>
        <v xml:space="preserve">=(( TK25_CLOSE_Q * TK25_CLOSE_WF + TK25_DI105_Q * TK25_DI105_WF) </v>
      </c>
      <c r="I86" t="str">
        <f t="shared" si="5"/>
        <v>= (TK25_OPEN_Q * TK25_OPEN_WF + CONCTHK_TK25_Q * CONCTHK_TK25_WF )</v>
      </c>
    </row>
    <row r="87" spans="1:9">
      <c r="A87" s="49" t="s">
        <v>2102</v>
      </c>
      <c r="B87" t="s">
        <v>1784</v>
      </c>
      <c r="C87" t="s">
        <v>2103</v>
      </c>
      <c r="D87" s="14" t="s">
        <v>22</v>
      </c>
      <c r="E87" t="s">
        <v>2104</v>
      </c>
      <c r="G87" t="str">
        <f t="shared" si="3"/>
        <v>TK26_C</v>
      </c>
      <c r="H87" t="str">
        <f t="shared" si="4"/>
        <v xml:space="preserve">=(( TK26_CLOSE_Q * TK26_CLOSE_CF + TK26_DI105_Q * TK26_DI105_CF) </v>
      </c>
      <c r="I87" t="str">
        <f t="shared" si="5"/>
        <v>= (TK26_OPEN_Q * TK26_OPEN_CF + CONCTHK_TK26_Q * CONCTHK_TK26_CF )</v>
      </c>
    </row>
    <row r="88" spans="1:9">
      <c r="A88" s="49" t="s">
        <v>2105</v>
      </c>
      <c r="B88" t="s">
        <v>1785</v>
      </c>
      <c r="C88" t="s">
        <v>2106</v>
      </c>
      <c r="D88" s="14" t="s">
        <v>22</v>
      </c>
      <c r="E88" t="s">
        <v>2107</v>
      </c>
      <c r="G88" t="str">
        <f t="shared" si="3"/>
        <v>TK26_M</v>
      </c>
      <c r="H88" t="str">
        <f t="shared" si="4"/>
        <v xml:space="preserve">=(( TK26_CLOSE_Q + TK26_DI105_Q) </v>
      </c>
      <c r="I88" t="str">
        <f t="shared" si="5"/>
        <v>= (TK26_OPEN_Q + CONCTHK_TK26_Q )</v>
      </c>
    </row>
    <row r="89" spans="1:9">
      <c r="A89" s="49" t="s">
        <v>2108</v>
      </c>
      <c r="B89" t="s">
        <v>1786</v>
      </c>
      <c r="C89" t="s">
        <v>2109</v>
      </c>
      <c r="D89" s="14" t="s">
        <v>22</v>
      </c>
      <c r="E89" t="s">
        <v>2110</v>
      </c>
      <c r="G89" t="str">
        <f t="shared" si="3"/>
        <v>TK26_W</v>
      </c>
      <c r="H89" t="str">
        <f t="shared" si="4"/>
        <v xml:space="preserve">=(( TK26_CLOSE_Q * TK26_CLOSE_WF + TK26_DI105_Q * TK26_DI105_WF) </v>
      </c>
      <c r="I89" t="str">
        <f t="shared" si="5"/>
        <v>= (TK26_OPEN_Q * TK26_OPEN_WF + CONCTHK_TK26_Q * CONCTHK_TK26_WF )</v>
      </c>
    </row>
    <row r="90" spans="1:9">
      <c r="A90" s="50" t="s">
        <v>2111</v>
      </c>
      <c r="B90" t="s">
        <v>1787</v>
      </c>
      <c r="C90" t="s">
        <v>2112</v>
      </c>
      <c r="D90" s="14" t="s">
        <v>22</v>
      </c>
      <c r="E90" t="s">
        <v>2113</v>
      </c>
      <c r="G90" t="str">
        <f t="shared" si="3"/>
        <v>TK83_H2OSEAL_W</v>
      </c>
      <c r="H90" t="str">
        <f t="shared" si="4"/>
        <v xml:space="preserve">=(( H2OSEAL_DI30_Q + TK83_D25_Q + TK83_MB2_Q + H2OSEAL_REM_1_Q + TK83_D20_Q + TK83_MB3_Q + TK83_MB1_Q + H2OSEAL_REM_2_Q + H2OSEAL_1CLN_Q) </v>
      </c>
      <c r="I90" t="str">
        <f t="shared" si="5"/>
        <v>= (H2OSEAL_Q )</v>
      </c>
    </row>
    <row r="91" spans="1:9">
      <c r="A91" s="50" t="s">
        <v>2114</v>
      </c>
      <c r="B91" t="s">
        <v>1788</v>
      </c>
      <c r="C91" t="s">
        <v>2115</v>
      </c>
      <c r="D91" s="14" t="s">
        <v>22</v>
      </c>
      <c r="E91" t="s">
        <v>2116</v>
      </c>
      <c r="G91" t="str">
        <f t="shared" si="3"/>
        <v>TK83_W</v>
      </c>
      <c r="H91" t="str">
        <f t="shared" si="4"/>
        <v xml:space="preserve">=(( TK83_CLOSE_Q + TK83_CHIL_Q + H2OSEAL_Q + PLANTA_RO_FEED_Q + TK83_TANK_Q) </v>
      </c>
      <c r="I91" t="str">
        <f t="shared" si="5"/>
        <v>= (TK83_OPEN_Q + H2OFRESH_TK83_Q )</v>
      </c>
    </row>
    <row r="92" spans="1:9">
      <c r="A92" s="50"/>
      <c r="D92" s="14"/>
    </row>
    <row r="93" spans="1:9">
      <c r="A93" s="49" t="s">
        <v>2117</v>
      </c>
      <c r="B93" t="s">
        <v>1789</v>
      </c>
      <c r="C93" t="s">
        <v>2118</v>
      </c>
      <c r="D93" s="14" t="s">
        <v>22</v>
      </c>
      <c r="E93" t="s">
        <v>2119</v>
      </c>
      <c r="G93" t="str">
        <f t="shared" ref="G93:G148" si="6">MID(A93,1,FIND(":",A93)-1)</f>
        <v>CONCTHK21_Constant_Volume_866</v>
      </c>
      <c r="H93" t="str">
        <f t="shared" si="4"/>
        <v xml:space="preserve">=(( ( CONCTHK21_TOTVOL_CLOSE_Q  )) </v>
      </c>
      <c r="I93" t="str">
        <f t="shared" si="5"/>
        <v>= (( .239 * CONCTHK21_CLOSE_Q  + CONCTHK21_CLOSE_Q * CONCTHK21_CLOSE_WF ) )</v>
      </c>
    </row>
    <row r="94" spans="1:9">
      <c r="A94" s="49" t="s">
        <v>2120</v>
      </c>
      <c r="B94" t="s">
        <v>1790</v>
      </c>
      <c r="C94" t="s">
        <v>2121</v>
      </c>
      <c r="D94" s="14" t="s">
        <v>22</v>
      </c>
      <c r="E94" t="s">
        <v>2122</v>
      </c>
      <c r="G94" t="str">
        <f t="shared" si="6"/>
        <v>CONCTHK21_splitter_to_PP51_868</v>
      </c>
      <c r="H94" t="str">
        <f t="shared" si="4"/>
        <v xml:space="preserve">=(( ( 500 * CONCTHK21_OPEN_CF + 500 * CONCTHK21_CLOSE_CF )) </v>
      </c>
      <c r="I94" t="str">
        <f t="shared" si="5"/>
        <v>= (( 1000 * CONCTHK21_PP51_CF ) )</v>
      </c>
    </row>
    <row r="95" spans="1:9">
      <c r="A95" s="49" t="s">
        <v>2123</v>
      </c>
      <c r="B95" t="s">
        <v>1791</v>
      </c>
      <c r="C95" t="s">
        <v>2124</v>
      </c>
      <c r="D95" s="14" t="s">
        <v>22</v>
      </c>
      <c r="E95" t="s">
        <v>2125</v>
      </c>
      <c r="G95" t="str">
        <f t="shared" si="6"/>
        <v>CONCTHK21_splitter_to_PP52_869</v>
      </c>
      <c r="H95" t="str">
        <f t="shared" si="4"/>
        <v xml:space="preserve">=(( ( 500 * CONCTHK21_CLOSE_CF + 500 * CONCTHK21_OPEN_CF )) </v>
      </c>
      <c r="I95" t="str">
        <f t="shared" si="5"/>
        <v>= (( 1000 * CONCTHK21_PP52_CF ) )</v>
      </c>
    </row>
    <row r="96" spans="1:9">
      <c r="A96" s="49" t="s">
        <v>2126</v>
      </c>
      <c r="B96" t="s">
        <v>1792</v>
      </c>
      <c r="C96" t="s">
        <v>2127</v>
      </c>
      <c r="D96" s="14" t="s">
        <v>22</v>
      </c>
      <c r="E96" t="s">
        <v>2128</v>
      </c>
      <c r="G96" t="str">
        <f t="shared" si="6"/>
        <v>CONCTHK22_Constant_Volume_867</v>
      </c>
      <c r="H96" t="str">
        <f t="shared" si="4"/>
        <v xml:space="preserve">=(( ( CONCTHK22_TOTVOL_CLOSE_Q  )) </v>
      </c>
      <c r="I96" t="str">
        <f t="shared" si="5"/>
        <v>= (( CONCTHK22_CLOSE_Q * CONCTHK22_CLOSE_WF + .239 * CONCTHK22_CLOSE_Q  ) )</v>
      </c>
    </row>
    <row r="97" spans="1:9">
      <c r="A97" s="49" t="s">
        <v>2129</v>
      </c>
      <c r="B97" t="s">
        <v>1793</v>
      </c>
      <c r="C97" t="s">
        <v>2130</v>
      </c>
      <c r="D97" s="14" t="s">
        <v>22</v>
      </c>
      <c r="E97" t="s">
        <v>2131</v>
      </c>
      <c r="G97" t="str">
        <f t="shared" si="6"/>
        <v>CONCTHK22_splitter_to_PP53_870</v>
      </c>
      <c r="H97" t="str">
        <f t="shared" si="4"/>
        <v xml:space="preserve">=(( ( 500 * CONCTHK22_OPEN_CF + 500 * CONCTHK22_CLOSE_CF )) </v>
      </c>
      <c r="I97" t="str">
        <f t="shared" si="5"/>
        <v>= (( 1000 * CONCTHK22_PP53_CF ) )</v>
      </c>
    </row>
    <row r="98" spans="1:9">
      <c r="A98" s="49" t="s">
        <v>2132</v>
      </c>
      <c r="B98" t="s">
        <v>1794</v>
      </c>
      <c r="C98" t="s">
        <v>2133</v>
      </c>
      <c r="D98" s="14" t="s">
        <v>22</v>
      </c>
      <c r="E98" t="s">
        <v>2134</v>
      </c>
      <c r="G98" t="str">
        <f t="shared" si="6"/>
        <v>CONCTHK22_splitter_to_PP54_871</v>
      </c>
      <c r="H98" t="str">
        <f t="shared" si="4"/>
        <v xml:space="preserve">=(( ( 500 * CONCTHK22_CLOSE_CF + 500 * CONCTHK22_OPEN_CF )) </v>
      </c>
      <c r="I98" t="str">
        <f t="shared" si="5"/>
        <v>= (( 1000 * CONCTHK22_PP54_CF ) )</v>
      </c>
    </row>
    <row r="99" spans="1:9">
      <c r="A99" s="49" t="s">
        <v>2135</v>
      </c>
      <c r="B99" t="s">
        <v>1795</v>
      </c>
      <c r="C99" t="s">
        <v>2136</v>
      </c>
      <c r="D99" s="14" t="s">
        <v>22</v>
      </c>
      <c r="E99" t="s">
        <v>2137</v>
      </c>
      <c r="G99" t="str">
        <f t="shared" si="6"/>
        <v>DI101_CU_Splitter_to_CONCTHK21_859</v>
      </c>
      <c r="H99" t="str">
        <f t="shared" si="4"/>
        <v xml:space="preserve">=(( ( 10000 * DI101_CONCTHK21_CF )) </v>
      </c>
      <c r="I99" t="str">
        <f t="shared" si="5"/>
        <v>= (( 10000 * DI101_TOTAL_CF ) )</v>
      </c>
    </row>
    <row r="100" spans="1:9">
      <c r="A100" s="49" t="s">
        <v>2138</v>
      </c>
      <c r="B100" t="s">
        <v>1796</v>
      </c>
      <c r="C100" t="s">
        <v>2139</v>
      </c>
      <c r="D100" s="14" t="s">
        <v>22</v>
      </c>
      <c r="E100" t="s">
        <v>2137</v>
      </c>
      <c r="G100" t="str">
        <f t="shared" si="6"/>
        <v>DI101_CU_Splitter_to_CONCTHK22_860</v>
      </c>
      <c r="H100" t="str">
        <f t="shared" si="4"/>
        <v xml:space="preserve">=(( ( 10000 * DI101_CONCTHK22_CF )) </v>
      </c>
      <c r="I100" t="str">
        <f t="shared" si="5"/>
        <v>= (( 10000 * DI101_TOTAL_CF ) )</v>
      </c>
    </row>
    <row r="101" spans="1:9">
      <c r="A101" s="49" t="s">
        <v>2140</v>
      </c>
      <c r="B101" t="s">
        <v>1797</v>
      </c>
      <c r="C101" t="s">
        <v>2141</v>
      </c>
      <c r="D101" s="14" t="s">
        <v>22</v>
      </c>
      <c r="E101" t="s">
        <v>2142</v>
      </c>
      <c r="G101" t="str">
        <f t="shared" si="6"/>
        <v>DI101_H2O_Splitter_to_CONCTHK21_861</v>
      </c>
      <c r="H101" t="str">
        <f t="shared" si="4"/>
        <v xml:space="preserve">=(( ( 10000 * DI101_CONCTHK21_WF )) </v>
      </c>
      <c r="I101" t="str">
        <f t="shared" si="5"/>
        <v>= (( 10000 * DI101_TOTAL_WF ) )</v>
      </c>
    </row>
    <row r="102" spans="1:9">
      <c r="A102" s="49" t="s">
        <v>2143</v>
      </c>
      <c r="B102" t="s">
        <v>1798</v>
      </c>
      <c r="C102" t="s">
        <v>2144</v>
      </c>
      <c r="D102" s="14" t="s">
        <v>22</v>
      </c>
      <c r="E102" t="s">
        <v>2142</v>
      </c>
      <c r="G102" t="str">
        <f t="shared" si="6"/>
        <v>DI101_H2O_Splitter_to_CONCTHK22_862</v>
      </c>
      <c r="H102" t="str">
        <f t="shared" si="4"/>
        <v xml:space="preserve">=(( ( 10000 * DI101_CONCTHK22_WF )) </v>
      </c>
      <c r="I102" t="str">
        <f t="shared" si="5"/>
        <v>= (( 10000 * DI101_TOTAL_WF ) )</v>
      </c>
    </row>
    <row r="103" spans="1:9">
      <c r="A103" s="49" t="s">
        <v>2145</v>
      </c>
      <c r="B103" t="s">
        <v>1799</v>
      </c>
      <c r="C103" t="s">
        <v>2146</v>
      </c>
      <c r="D103" s="14" t="s">
        <v>22</v>
      </c>
      <c r="E103" t="s">
        <v>2147</v>
      </c>
      <c r="G103" t="str">
        <f t="shared" si="6"/>
        <v>DI104T_Splitter_to_TK23_888</v>
      </c>
      <c r="H103" t="str">
        <f t="shared" si="4"/>
        <v xml:space="preserve">=(( ( 1000 * CONCTHK_TKC_CF )) </v>
      </c>
      <c r="I103" t="str">
        <f t="shared" si="5"/>
        <v>= (( 1000 * CONCTHK_TK23_CF ) )</v>
      </c>
    </row>
    <row r="104" spans="1:9">
      <c r="A104" s="49" t="s">
        <v>2148</v>
      </c>
      <c r="B104" t="s">
        <v>1800</v>
      </c>
      <c r="C104" t="s">
        <v>2149</v>
      </c>
      <c r="D104" s="14" t="s">
        <v>22</v>
      </c>
      <c r="E104" t="s">
        <v>2150</v>
      </c>
      <c r="G104" t="str">
        <f t="shared" si="6"/>
        <v>DI104T_Splitter_to_TK23_892</v>
      </c>
      <c r="H104" t="str">
        <f t="shared" si="4"/>
        <v xml:space="preserve">=(( ( 1000 * CONCTHK_TKC_WF )) </v>
      </c>
      <c r="I104" t="str">
        <f t="shared" si="5"/>
        <v>= (( 1000 * CONCTHK_TK23_WF ) )</v>
      </c>
    </row>
    <row r="105" spans="1:9">
      <c r="A105" s="49" t="s">
        <v>2151</v>
      </c>
      <c r="B105" t="s">
        <v>1801</v>
      </c>
      <c r="C105" t="s">
        <v>2146</v>
      </c>
      <c r="D105" s="14" t="s">
        <v>22</v>
      </c>
      <c r="E105" t="s">
        <v>2152</v>
      </c>
      <c r="G105" t="str">
        <f t="shared" si="6"/>
        <v>DI104T_Splitter_to_TK24_889</v>
      </c>
      <c r="H105" t="str">
        <f t="shared" si="4"/>
        <v xml:space="preserve">=(( ( 1000 * CONCTHK_TKC_CF )) </v>
      </c>
      <c r="I105" t="str">
        <f t="shared" si="5"/>
        <v>= (( 1000 * CONCTHK_TK24_CF ) )</v>
      </c>
    </row>
    <row r="106" spans="1:9">
      <c r="A106" s="49" t="s">
        <v>2153</v>
      </c>
      <c r="B106" t="s">
        <v>1802</v>
      </c>
      <c r="C106" t="s">
        <v>2149</v>
      </c>
      <c r="D106" s="14" t="s">
        <v>22</v>
      </c>
      <c r="E106" t="s">
        <v>2154</v>
      </c>
      <c r="G106" t="str">
        <f t="shared" si="6"/>
        <v>DI104T_Splitter_to_TK24_893</v>
      </c>
      <c r="H106" t="str">
        <f t="shared" si="4"/>
        <v xml:space="preserve">=(( ( 1000 * CONCTHK_TKC_WF )) </v>
      </c>
      <c r="I106" t="str">
        <f t="shared" si="5"/>
        <v>= (( 1000 * CONCTHK_TK24_WF ) )</v>
      </c>
    </row>
    <row r="107" spans="1:9">
      <c r="A107" s="49" t="s">
        <v>2155</v>
      </c>
      <c r="B107" t="s">
        <v>1803</v>
      </c>
      <c r="C107" t="s">
        <v>2146</v>
      </c>
      <c r="D107" s="14" t="s">
        <v>22</v>
      </c>
      <c r="E107" t="s">
        <v>2156</v>
      </c>
      <c r="G107" t="str">
        <f t="shared" si="6"/>
        <v>DI104T_Splitter_to_TK25_890</v>
      </c>
      <c r="H107" t="str">
        <f t="shared" si="4"/>
        <v xml:space="preserve">=(( ( 1000 * CONCTHK_TKC_CF )) </v>
      </c>
      <c r="I107" t="str">
        <f t="shared" si="5"/>
        <v>= (( 1000 * CONCTHK_TK25_CF ) )</v>
      </c>
    </row>
    <row r="108" spans="1:9">
      <c r="A108" s="49" t="s">
        <v>2157</v>
      </c>
      <c r="B108" t="s">
        <v>1804</v>
      </c>
      <c r="C108" t="s">
        <v>2149</v>
      </c>
      <c r="D108" s="14" t="s">
        <v>22</v>
      </c>
      <c r="E108" t="s">
        <v>2158</v>
      </c>
      <c r="G108" t="str">
        <f t="shared" si="6"/>
        <v>DI104T_Splitter_to_TK25_894</v>
      </c>
      <c r="H108" t="str">
        <f t="shared" si="4"/>
        <v xml:space="preserve">=(( ( 1000 * CONCTHK_TKC_WF )) </v>
      </c>
      <c r="I108" t="str">
        <f t="shared" si="5"/>
        <v>= (( 1000 * CONCTHK_TK25_WF ) )</v>
      </c>
    </row>
    <row r="109" spans="1:9">
      <c r="A109" s="49" t="s">
        <v>2159</v>
      </c>
      <c r="B109" t="s">
        <v>1805</v>
      </c>
      <c r="C109" t="s">
        <v>2146</v>
      </c>
      <c r="D109" s="14" t="s">
        <v>22</v>
      </c>
      <c r="E109" t="s">
        <v>2160</v>
      </c>
      <c r="G109" t="str">
        <f t="shared" si="6"/>
        <v>DI104T_Splitter_to_TK26_891</v>
      </c>
      <c r="H109" t="str">
        <f t="shared" si="4"/>
        <v xml:space="preserve">=(( ( 1000 * CONCTHK_TKC_CF )) </v>
      </c>
      <c r="I109" t="str">
        <f t="shared" si="5"/>
        <v>= (( 1000 * CONCTHK_TK26_CF ) )</v>
      </c>
    </row>
    <row r="110" spans="1:9">
      <c r="A110" s="49" t="s">
        <v>2161</v>
      </c>
      <c r="B110" t="s">
        <v>1806</v>
      </c>
      <c r="C110" t="s">
        <v>2149</v>
      </c>
      <c r="D110" s="14" t="s">
        <v>22</v>
      </c>
      <c r="E110" t="s">
        <v>2162</v>
      </c>
      <c r="G110" t="str">
        <f t="shared" si="6"/>
        <v>DI104T_Splitter_to_TK26_895</v>
      </c>
      <c r="H110" t="str">
        <f t="shared" si="4"/>
        <v xml:space="preserve">=(( ( 1000 * CONCTHK_TKC_WF )) </v>
      </c>
      <c r="I110" t="str">
        <f t="shared" si="5"/>
        <v>= (( 1000 * CONCTHK_TK26_WF ) )</v>
      </c>
    </row>
    <row r="111" spans="1:9">
      <c r="A111" s="49" t="s">
        <v>2163</v>
      </c>
      <c r="B111" t="s">
        <v>1807</v>
      </c>
      <c r="C111" t="s">
        <v>2164</v>
      </c>
      <c r="D111" s="14" t="s">
        <v>22</v>
      </c>
      <c r="E111" t="s">
        <v>2165</v>
      </c>
      <c r="G111" t="str">
        <f t="shared" si="6"/>
        <v>DI150_CU_Splitter_to_TAILTHK6_853</v>
      </c>
      <c r="H111" t="str">
        <f t="shared" si="4"/>
        <v xml:space="preserve">=(( ( 10000 * DI150_TAILTHK6_CF )) </v>
      </c>
      <c r="I111" t="str">
        <f t="shared" si="5"/>
        <v>= (( 10000 * TAILS_CF ) )</v>
      </c>
    </row>
    <row r="112" spans="1:9">
      <c r="A112" s="49" t="s">
        <v>2166</v>
      </c>
      <c r="B112" t="s">
        <v>1808</v>
      </c>
      <c r="C112" t="s">
        <v>2167</v>
      </c>
      <c r="D112" s="14" t="s">
        <v>22</v>
      </c>
      <c r="E112" t="s">
        <v>2165</v>
      </c>
      <c r="G112" t="str">
        <f t="shared" si="6"/>
        <v>DI150_CU_Splitter_to_TAILTHK7_854</v>
      </c>
      <c r="H112" t="str">
        <f t="shared" si="4"/>
        <v xml:space="preserve">=(( ( 10000 * DI150_TAILTHK7_CF )) </v>
      </c>
      <c r="I112" t="str">
        <f t="shared" si="5"/>
        <v>= (( 10000 * TAILS_CF ) )</v>
      </c>
    </row>
    <row r="113" spans="1:9">
      <c r="A113" s="49" t="s">
        <v>2168</v>
      </c>
      <c r="B113" t="s">
        <v>1809</v>
      </c>
      <c r="C113" t="s">
        <v>2169</v>
      </c>
      <c r="D113" s="14" t="s">
        <v>22</v>
      </c>
      <c r="E113" t="s">
        <v>2165</v>
      </c>
      <c r="G113" t="str">
        <f t="shared" si="6"/>
        <v>DI150_CU_Splitter_to_TAILTHK8_855</v>
      </c>
      <c r="H113" t="str">
        <f t="shared" si="4"/>
        <v xml:space="preserve">=(( ( 10000 * DI150_TAILTHK8_CF )) </v>
      </c>
      <c r="I113" t="str">
        <f t="shared" si="5"/>
        <v>= (( 10000 * TAILS_CF ) )</v>
      </c>
    </row>
    <row r="114" spans="1:9">
      <c r="A114" s="49" t="s">
        <v>2170</v>
      </c>
      <c r="B114" t="s">
        <v>1810</v>
      </c>
      <c r="C114" t="s">
        <v>2171</v>
      </c>
      <c r="D114" s="14" t="s">
        <v>22</v>
      </c>
      <c r="E114" t="s">
        <v>2172</v>
      </c>
      <c r="G114" t="str">
        <f t="shared" si="6"/>
        <v>DI150_H2O_Splitter_to_TAILTHK6_856</v>
      </c>
      <c r="H114" t="str">
        <f t="shared" si="4"/>
        <v xml:space="preserve">=(( ( 10000 * DI150_TAILTHK6_WF )) </v>
      </c>
      <c r="I114" t="str">
        <f t="shared" si="5"/>
        <v>= (( 10000 * TAILS_WF ) )</v>
      </c>
    </row>
    <row r="115" spans="1:9">
      <c r="A115" s="49" t="s">
        <v>2173</v>
      </c>
      <c r="B115" t="s">
        <v>1811</v>
      </c>
      <c r="C115" t="s">
        <v>2174</v>
      </c>
      <c r="D115" s="14" t="s">
        <v>22</v>
      </c>
      <c r="E115" t="s">
        <v>2172</v>
      </c>
      <c r="G115" t="str">
        <f t="shared" si="6"/>
        <v>DI150_H2O_Splitter_to_TAILTHK7_857</v>
      </c>
      <c r="H115" t="str">
        <f t="shared" si="4"/>
        <v xml:space="preserve">=(( ( 10000 * DI150_TAILTHK7_WF )) </v>
      </c>
      <c r="I115" t="str">
        <f t="shared" si="5"/>
        <v>= (( 10000 * TAILS_WF ) )</v>
      </c>
    </row>
    <row r="116" spans="1:9">
      <c r="A116" s="49" t="s">
        <v>2175</v>
      </c>
      <c r="B116" t="s">
        <v>1812</v>
      </c>
      <c r="C116" t="s">
        <v>2176</v>
      </c>
      <c r="D116" s="14" t="s">
        <v>22</v>
      </c>
      <c r="E116" t="s">
        <v>2172</v>
      </c>
      <c r="G116" t="str">
        <f t="shared" si="6"/>
        <v>DI150_H2O_Splitter_to_TAILTHK8_858</v>
      </c>
      <c r="H116" t="str">
        <f t="shared" si="4"/>
        <v xml:space="preserve">=(( ( 10000 * DI150_TAILTHK8_WF )) </v>
      </c>
      <c r="I116" t="str">
        <f t="shared" si="5"/>
        <v>= (( 10000 * TAILS_WF ) )</v>
      </c>
    </row>
    <row r="117" spans="1:9">
      <c r="A117" s="49" t="s">
        <v>2177</v>
      </c>
      <c r="B117" t="s">
        <v>1813</v>
      </c>
      <c r="C117" t="s">
        <v>2178</v>
      </c>
      <c r="D117" s="14" t="s">
        <v>22</v>
      </c>
      <c r="E117" t="s">
        <v>2179</v>
      </c>
      <c r="G117" t="str">
        <f t="shared" si="6"/>
        <v>PIPELINE_C_PM</v>
      </c>
      <c r="H117" t="str">
        <f t="shared" si="4"/>
        <v xml:space="preserve">=(( ( PIPE_TKCLC_CF )) </v>
      </c>
      <c r="I117" t="str">
        <f t="shared" si="5"/>
        <v>= (( PIPELINE_CLOSE_CF ) )</v>
      </c>
    </row>
    <row r="118" spans="1:9">
      <c r="A118" s="49" t="s">
        <v>2180</v>
      </c>
      <c r="B118" t="s">
        <v>1814</v>
      </c>
      <c r="C118" t="s">
        <v>2181</v>
      </c>
      <c r="D118" s="14" t="s">
        <v>22</v>
      </c>
      <c r="E118" t="s">
        <v>2182</v>
      </c>
      <c r="G118" t="str">
        <f t="shared" si="6"/>
        <v>PIPELINE_W_PM</v>
      </c>
      <c r="H118" t="str">
        <f t="shared" si="4"/>
        <v xml:space="preserve">=(( ( PIPE_TKCLC_WF )) </v>
      </c>
      <c r="I118" t="str">
        <f t="shared" si="5"/>
        <v>= (( PIPELINE_CLOSE_WF ) )</v>
      </c>
    </row>
    <row r="119" spans="1:9">
      <c r="A119" s="49" t="s">
        <v>2183</v>
      </c>
      <c r="B119" t="s">
        <v>1815</v>
      </c>
      <c r="C119" t="s">
        <v>2184</v>
      </c>
      <c r="D119" s="14" t="s">
        <v>22</v>
      </c>
      <c r="E119" t="s">
        <v>2185</v>
      </c>
      <c r="G119" t="str">
        <f t="shared" si="6"/>
        <v>PP51_Grade_in__Grade_out__avoid_unobservable_result__help_convergence__872</v>
      </c>
      <c r="H119" t="str">
        <f t="shared" si="4"/>
        <v xml:space="preserve">=(( ( 1000 * CONCTHK21_PP51_CF )) </v>
      </c>
      <c r="I119" t="str">
        <f t="shared" si="5"/>
        <v>= (( 1000 * PP51_DI104_CF ) )</v>
      </c>
    </row>
    <row r="120" spans="1:9">
      <c r="A120" s="49" t="s">
        <v>2186</v>
      </c>
      <c r="B120" t="s">
        <v>1816</v>
      </c>
      <c r="C120" t="s">
        <v>2184</v>
      </c>
      <c r="D120" s="14" t="s">
        <v>22</v>
      </c>
      <c r="E120" t="s">
        <v>2187</v>
      </c>
      <c r="G120" t="str">
        <f t="shared" si="6"/>
        <v>PP51_Grade_in__Grade_out__recirculation_pump_no_grade_change__880</v>
      </c>
      <c r="H120" t="str">
        <f t="shared" si="4"/>
        <v xml:space="preserve">=(( ( 1000 * CONCTHK21_PP51_CF )) </v>
      </c>
      <c r="I120" t="str">
        <f t="shared" si="5"/>
        <v>= (( 1000 * PP51_DI101_CF ) )</v>
      </c>
    </row>
    <row r="121" spans="1:9">
      <c r="A121" s="49" t="s">
        <v>2188</v>
      </c>
      <c r="B121" t="s">
        <v>1817</v>
      </c>
      <c r="C121" t="s">
        <v>2189</v>
      </c>
      <c r="D121" s="14" t="s">
        <v>22</v>
      </c>
      <c r="E121" t="s">
        <v>2190</v>
      </c>
      <c r="G121" t="str">
        <f t="shared" si="6"/>
        <v>PP51___Sol_in____Sol_out__avoid_unobservable_result__help_convergence__876</v>
      </c>
      <c r="H121" t="str">
        <f t="shared" si="4"/>
        <v xml:space="preserve">=(( ( 1000 * CONCTHK21_PP51_WF )) </v>
      </c>
      <c r="I121" t="str">
        <f t="shared" si="5"/>
        <v>= (( 1000 * PP51_DI104_WF ) )</v>
      </c>
    </row>
    <row r="122" spans="1:9">
      <c r="A122" s="49" t="s">
        <v>2191</v>
      </c>
      <c r="B122" t="s">
        <v>1818</v>
      </c>
      <c r="C122" t="s">
        <v>2189</v>
      </c>
      <c r="D122" s="14" t="s">
        <v>22</v>
      </c>
      <c r="E122" t="s">
        <v>2192</v>
      </c>
      <c r="G122" t="str">
        <f t="shared" si="6"/>
        <v>PP51___Sol_in____Sol_out__recirculation_pump_no_grade_change__884</v>
      </c>
      <c r="H122" t="str">
        <f t="shared" si="4"/>
        <v xml:space="preserve">=(( ( 1000 * CONCTHK21_PP51_WF )) </v>
      </c>
      <c r="I122" t="str">
        <f t="shared" si="5"/>
        <v>= (( 1000 * PP51_DI101_WF ) )</v>
      </c>
    </row>
    <row r="123" spans="1:9">
      <c r="A123" s="49" t="s">
        <v>2193</v>
      </c>
      <c r="B123" t="s">
        <v>1819</v>
      </c>
      <c r="C123" t="s">
        <v>2194</v>
      </c>
      <c r="D123" s="14" t="s">
        <v>22</v>
      </c>
      <c r="E123" t="s">
        <v>2195</v>
      </c>
      <c r="G123" t="str">
        <f t="shared" si="6"/>
        <v>PP52_Grade_in__Grade_out__avoid_unobservable_result__help_convergence__873</v>
      </c>
      <c r="H123" t="str">
        <f t="shared" si="4"/>
        <v xml:space="preserve">=(( ( 1000 * CONCTHK21_PP52_CF )) </v>
      </c>
      <c r="I123" t="str">
        <f t="shared" si="5"/>
        <v>= (( 1000 * PP52_DI104_CF ) )</v>
      </c>
    </row>
    <row r="124" spans="1:9">
      <c r="A124" s="49" t="s">
        <v>2196</v>
      </c>
      <c r="B124" t="s">
        <v>1820</v>
      </c>
      <c r="C124" t="s">
        <v>2194</v>
      </c>
      <c r="D124" s="14" t="s">
        <v>22</v>
      </c>
      <c r="E124" t="s">
        <v>2197</v>
      </c>
      <c r="G124" t="str">
        <f t="shared" si="6"/>
        <v>PP52_Grade_in__Grade_out__recirculation_pump_no_grade_change__881</v>
      </c>
      <c r="H124" t="str">
        <f t="shared" si="4"/>
        <v xml:space="preserve">=(( ( 1000 * CONCTHK21_PP52_CF )) </v>
      </c>
      <c r="I124" t="str">
        <f t="shared" si="5"/>
        <v>= (( 1000 * PP52_DI101_CF ) )</v>
      </c>
    </row>
    <row r="125" spans="1:9">
      <c r="A125" s="49" t="s">
        <v>2198</v>
      </c>
      <c r="B125" t="s">
        <v>1821</v>
      </c>
      <c r="C125" t="s">
        <v>2199</v>
      </c>
      <c r="D125" s="14" t="s">
        <v>22</v>
      </c>
      <c r="E125" t="s">
        <v>2200</v>
      </c>
      <c r="G125" t="str">
        <f t="shared" si="6"/>
        <v>PP52___Sol_in____Sol_out__avoid_unobservable_result__help_convergence__877</v>
      </c>
      <c r="H125" t="str">
        <f t="shared" si="4"/>
        <v xml:space="preserve">=(( ( 1000 * CONCTHK21_PP52_WF )) </v>
      </c>
      <c r="I125" t="str">
        <f t="shared" si="5"/>
        <v>= (( 1000 * PP52_DI104_WF ) )</v>
      </c>
    </row>
    <row r="126" spans="1:9">
      <c r="A126" s="49" t="s">
        <v>2201</v>
      </c>
      <c r="B126" t="s">
        <v>1822</v>
      </c>
      <c r="C126" t="s">
        <v>2199</v>
      </c>
      <c r="D126" s="14" t="s">
        <v>22</v>
      </c>
      <c r="E126" t="s">
        <v>2202</v>
      </c>
      <c r="G126" t="str">
        <f t="shared" si="6"/>
        <v>PP52___Sol_in____Sol_out__recirculation_pump_no_grade_change__885</v>
      </c>
      <c r="H126" t="str">
        <f t="shared" si="4"/>
        <v xml:space="preserve">=(( ( 1000 * CONCTHK21_PP52_WF )) </v>
      </c>
      <c r="I126" t="str">
        <f t="shared" si="5"/>
        <v>= (( 1000 * PP52_DI101_WF ) )</v>
      </c>
    </row>
    <row r="127" spans="1:9">
      <c r="A127" s="49" t="s">
        <v>2203</v>
      </c>
      <c r="B127" t="s">
        <v>1823</v>
      </c>
      <c r="C127" t="s">
        <v>2204</v>
      </c>
      <c r="D127" s="14" t="s">
        <v>22</v>
      </c>
      <c r="E127" t="s">
        <v>2205</v>
      </c>
      <c r="G127" t="str">
        <f t="shared" si="6"/>
        <v>PP53_Grade_in__Grade_out__avoid_unobservable_result__help_convergence__874</v>
      </c>
      <c r="H127" t="str">
        <f t="shared" si="4"/>
        <v xml:space="preserve">=(( ( 1000 * CONCTHK22_PP53_CF )) </v>
      </c>
      <c r="I127" t="str">
        <f t="shared" si="5"/>
        <v>= (( 1000 * PP53_DI104_CF ) )</v>
      </c>
    </row>
    <row r="128" spans="1:9">
      <c r="A128" s="49" t="s">
        <v>2206</v>
      </c>
      <c r="B128" t="s">
        <v>1824</v>
      </c>
      <c r="C128" t="s">
        <v>2204</v>
      </c>
      <c r="D128" s="14" t="s">
        <v>22</v>
      </c>
      <c r="E128" t="s">
        <v>2207</v>
      </c>
      <c r="G128" t="str">
        <f t="shared" si="6"/>
        <v>PP53_Grade_in__Grade_out__recirculation_pump_no_grade_change__882</v>
      </c>
      <c r="H128" t="str">
        <f t="shared" si="4"/>
        <v xml:space="preserve">=(( ( 1000 * CONCTHK22_PP53_CF )) </v>
      </c>
      <c r="I128" t="str">
        <f t="shared" si="5"/>
        <v>= (( 1000 * PP53_DI101_CF ) )</v>
      </c>
    </row>
    <row r="129" spans="1:9">
      <c r="A129" s="49" t="s">
        <v>2208</v>
      </c>
      <c r="B129" t="s">
        <v>1825</v>
      </c>
      <c r="C129" t="s">
        <v>2209</v>
      </c>
      <c r="D129" s="14" t="s">
        <v>22</v>
      </c>
      <c r="E129" t="s">
        <v>2210</v>
      </c>
      <c r="G129" t="str">
        <f t="shared" si="6"/>
        <v>PP53___Sol_in____Sol_out__avoid_unobservable_result__help_convergence__878</v>
      </c>
      <c r="H129" t="str">
        <f t="shared" si="4"/>
        <v xml:space="preserve">=(( ( 1000 * CONCTHK22_PP53_WF )) </v>
      </c>
      <c r="I129" t="str">
        <f t="shared" si="5"/>
        <v>= (( 1000 * PP53_DI104_WF ) )</v>
      </c>
    </row>
    <row r="130" spans="1:9">
      <c r="A130" s="49" t="s">
        <v>2211</v>
      </c>
      <c r="B130" t="s">
        <v>1826</v>
      </c>
      <c r="C130" t="s">
        <v>2209</v>
      </c>
      <c r="D130" s="14" t="s">
        <v>22</v>
      </c>
      <c r="E130" t="s">
        <v>2212</v>
      </c>
      <c r="G130" t="str">
        <f t="shared" si="6"/>
        <v>PP53___Sol_in____Sol_out__recirculation_pump_no_grade_change__886</v>
      </c>
      <c r="H130" t="str">
        <f t="shared" si="4"/>
        <v xml:space="preserve">=(( ( 1000 * CONCTHK22_PP53_WF )) </v>
      </c>
      <c r="I130" t="str">
        <f t="shared" si="5"/>
        <v>= (( 1000 * PP53_DI101_WF ) )</v>
      </c>
    </row>
    <row r="131" spans="1:9">
      <c r="A131" s="49" t="s">
        <v>2213</v>
      </c>
      <c r="B131" t="s">
        <v>1827</v>
      </c>
      <c r="C131" t="s">
        <v>2214</v>
      </c>
      <c r="D131" s="14" t="s">
        <v>22</v>
      </c>
      <c r="E131" t="s">
        <v>2215</v>
      </c>
      <c r="G131" t="str">
        <f t="shared" si="6"/>
        <v>PP54_Grade_in__Grade_out__avoid_unobservable_result__help_convergence__875</v>
      </c>
      <c r="H131" t="str">
        <f t="shared" ref="H131:H148" si="7">"="&amp;MID(A131,FIND(": (",A131)+2,FIND("=",A131)-FIND(": (",A131)-2)</f>
        <v xml:space="preserve">=(( ( 1000 * CONCTHK22_PP54_CF )) </v>
      </c>
      <c r="I131" t="str">
        <f t="shared" ref="I131:I148" si="8">"="&amp;MID(A131,FIND("=",A131)+1,LEN(A131)-FIND("=",A131)-2)</f>
        <v>= (( 1000 * PP54_DI104_CF ) )</v>
      </c>
    </row>
    <row r="132" spans="1:9">
      <c r="A132" s="49" t="s">
        <v>2216</v>
      </c>
      <c r="B132" t="s">
        <v>1828</v>
      </c>
      <c r="C132" t="s">
        <v>2214</v>
      </c>
      <c r="D132" s="14" t="s">
        <v>22</v>
      </c>
      <c r="E132" t="s">
        <v>2217</v>
      </c>
      <c r="G132" t="str">
        <f t="shared" si="6"/>
        <v>PP54_Grade_in__Grade_out__recirculation_pump_no_grade_change__883</v>
      </c>
      <c r="H132" t="str">
        <f t="shared" si="7"/>
        <v xml:space="preserve">=(( ( 1000 * CONCTHK22_PP54_CF )) </v>
      </c>
      <c r="I132" t="str">
        <f t="shared" si="8"/>
        <v>= (( 1000 * PP54_DI101_CF ) )</v>
      </c>
    </row>
    <row r="133" spans="1:9">
      <c r="A133" s="49" t="s">
        <v>2218</v>
      </c>
      <c r="B133" t="s">
        <v>1829</v>
      </c>
      <c r="C133" t="s">
        <v>2219</v>
      </c>
      <c r="D133" s="14" t="s">
        <v>22</v>
      </c>
      <c r="E133" t="s">
        <v>2220</v>
      </c>
      <c r="G133" t="str">
        <f t="shared" si="6"/>
        <v>PP54___Sol_in____Sol_out__avoid_unobservable_result__help_convergence__879</v>
      </c>
      <c r="H133" t="str">
        <f t="shared" si="7"/>
        <v xml:space="preserve">=(( ( 1000 * CONCTHK22_PP54_WF )) </v>
      </c>
      <c r="I133" t="str">
        <f t="shared" si="8"/>
        <v>= (( 1000 * PP54_DI104_WF ) )</v>
      </c>
    </row>
    <row r="134" spans="1:9">
      <c r="A134" s="49" t="s">
        <v>2221</v>
      </c>
      <c r="B134" t="s">
        <v>1830</v>
      </c>
      <c r="C134" t="s">
        <v>2219</v>
      </c>
      <c r="D134" s="14" t="s">
        <v>22</v>
      </c>
      <c r="E134" t="s">
        <v>2222</v>
      </c>
      <c r="G134" t="str">
        <f t="shared" si="6"/>
        <v>PP54___Sol_in____Sol_out__recirculation_pump_no_grade_change__887</v>
      </c>
      <c r="H134" t="str">
        <f t="shared" si="7"/>
        <v xml:space="preserve">=(( ( 1000 * CONCTHK22_PP54_WF )) </v>
      </c>
      <c r="I134" t="str">
        <f t="shared" si="8"/>
        <v>= (( 1000 * PP54_DI101_WF ) )</v>
      </c>
    </row>
    <row r="135" spans="1:9">
      <c r="A135" s="49" t="s">
        <v>2223</v>
      </c>
      <c r="B135" t="s">
        <v>1831</v>
      </c>
      <c r="C135" t="s">
        <v>2224</v>
      </c>
      <c r="D135" s="14" t="s">
        <v>22</v>
      </c>
      <c r="E135" t="s">
        <v>2225</v>
      </c>
      <c r="G135" t="str">
        <f t="shared" si="6"/>
        <v>TAILTHK6_C_PM</v>
      </c>
      <c r="H135" t="str">
        <f t="shared" si="7"/>
        <v xml:space="preserve">=(( ( TAILTHK6_UNDERFLOW_CF )) </v>
      </c>
      <c r="I135" t="str">
        <f t="shared" si="8"/>
        <v>= (( TAILTHK6_CLOSE_CF ) )</v>
      </c>
    </row>
    <row r="136" spans="1:9">
      <c r="A136" s="51" t="s">
        <v>2226</v>
      </c>
      <c r="B136" t="s">
        <v>1832</v>
      </c>
      <c r="C136" t="s">
        <v>2227</v>
      </c>
      <c r="D136" s="14" t="s">
        <v>22</v>
      </c>
      <c r="E136" t="s">
        <v>2228</v>
      </c>
      <c r="G136" t="str">
        <f t="shared" si="6"/>
        <v>TAILTHK6_Constant_Volume_863</v>
      </c>
      <c r="H136" t="str">
        <f t="shared" si="7"/>
        <v xml:space="preserve">=(( ( TAILTHK6_TOTVOL_CLOSE_Q  )) </v>
      </c>
      <c r="I136" t="str">
        <f t="shared" si="8"/>
        <v>= (( TAILTHK6_CLOSE_Q * TAILTHK6_CLOSE_WF + .3645 * TAILTHK6_CLOSE_Q  ) )</v>
      </c>
    </row>
    <row r="137" spans="1:9">
      <c r="A137" s="49" t="s">
        <v>2229</v>
      </c>
      <c r="B137" t="s">
        <v>1833</v>
      </c>
      <c r="C137" t="s">
        <v>2230</v>
      </c>
      <c r="D137" s="14" t="s">
        <v>22</v>
      </c>
      <c r="E137" t="s">
        <v>2231</v>
      </c>
      <c r="G137" t="str">
        <f t="shared" si="6"/>
        <v>TAILTHK7_C_PM</v>
      </c>
      <c r="H137" t="str">
        <f t="shared" si="7"/>
        <v xml:space="preserve">=(( ( TAILTHK7_UNDERFLOW_CF )) </v>
      </c>
      <c r="I137" t="str">
        <f t="shared" si="8"/>
        <v>= (( TAILTHK7_CLOSE_CF ) )</v>
      </c>
    </row>
    <row r="138" spans="1:9">
      <c r="A138" s="49" t="s">
        <v>2232</v>
      </c>
      <c r="B138" t="s">
        <v>1834</v>
      </c>
      <c r="C138" t="s">
        <v>2233</v>
      </c>
      <c r="D138" s="14" t="s">
        <v>22</v>
      </c>
      <c r="E138" t="s">
        <v>2234</v>
      </c>
      <c r="G138" t="str">
        <f t="shared" si="6"/>
        <v>TAILTHK7_Constant_Volume_864</v>
      </c>
      <c r="H138" t="str">
        <f t="shared" si="7"/>
        <v xml:space="preserve">=(( ( TAILTHK7_TOTVOL_CLOSE_Q  )) </v>
      </c>
      <c r="I138" t="str">
        <f t="shared" si="8"/>
        <v>= (( TAILTHK7_CLOSE_Q * TAILTHK7_CLOSE_WF + .3645 * TAILTHK7_CLOSE_Q  ) )</v>
      </c>
    </row>
    <row r="139" spans="1:9">
      <c r="A139" s="49" t="s">
        <v>2235</v>
      </c>
      <c r="B139" t="s">
        <v>1835</v>
      </c>
      <c r="C139" t="s">
        <v>2236</v>
      </c>
      <c r="D139" s="14" t="s">
        <v>22</v>
      </c>
      <c r="E139" t="s">
        <v>2237</v>
      </c>
      <c r="G139" t="str">
        <f t="shared" si="6"/>
        <v>TAILTHK8_C_PM</v>
      </c>
      <c r="H139" t="str">
        <f t="shared" si="7"/>
        <v xml:space="preserve">=(( ( TAILTHK8_UNDERFLOW_CF )) </v>
      </c>
      <c r="I139" t="str">
        <f t="shared" si="8"/>
        <v>= (( TAILTHK8_CLOSE_CF ) )</v>
      </c>
    </row>
    <row r="140" spans="1:9">
      <c r="A140" s="49" t="s">
        <v>2238</v>
      </c>
      <c r="B140" t="s">
        <v>1836</v>
      </c>
      <c r="C140" t="s">
        <v>2239</v>
      </c>
      <c r="D140" s="14" t="s">
        <v>22</v>
      </c>
      <c r="E140" t="s">
        <v>2240</v>
      </c>
      <c r="G140" t="str">
        <f t="shared" si="6"/>
        <v>TAILTHK8_Constant_Volume_865</v>
      </c>
      <c r="H140" t="str">
        <f t="shared" si="7"/>
        <v xml:space="preserve">=(( ( TAILTHK8_TOTVOL_CLOSE_Q  )) </v>
      </c>
      <c r="I140" t="str">
        <f t="shared" si="8"/>
        <v>= (( TAILTHK8_CLOSE_Q * TAILTHK8_CLOSE_WF + .3645 * TAILTHK8_CLOSE_Q  ) )</v>
      </c>
    </row>
    <row r="141" spans="1:9">
      <c r="A141" s="49" t="s">
        <v>2241</v>
      </c>
      <c r="B141" t="s">
        <v>1837</v>
      </c>
      <c r="C141" t="s">
        <v>2242</v>
      </c>
      <c r="D141" s="14" t="s">
        <v>22</v>
      </c>
      <c r="E141" t="s">
        <v>2243</v>
      </c>
      <c r="G141" t="str">
        <f t="shared" si="6"/>
        <v>TK23_C_PM</v>
      </c>
      <c r="H141" t="str">
        <f t="shared" si="7"/>
        <v xml:space="preserve">=(( ( TK23_DI105_CF )) </v>
      </c>
      <c r="I141" t="str">
        <f t="shared" si="8"/>
        <v>= (( TK23_CLOSE_CF ) )</v>
      </c>
    </row>
    <row r="142" spans="1:9">
      <c r="A142" s="49" t="s">
        <v>2244</v>
      </c>
      <c r="B142" t="s">
        <v>1838</v>
      </c>
      <c r="C142" t="s">
        <v>2245</v>
      </c>
      <c r="D142" s="14" t="s">
        <v>22</v>
      </c>
      <c r="E142" t="s">
        <v>2246</v>
      </c>
      <c r="G142" t="str">
        <f t="shared" si="6"/>
        <v>TK23_W_PM</v>
      </c>
      <c r="H142" t="str">
        <f t="shared" si="7"/>
        <v xml:space="preserve">=(( ( TK23_DI105_WF )) </v>
      </c>
      <c r="I142" t="str">
        <f t="shared" si="8"/>
        <v>= (( TK23_CLOSE_WF ) )</v>
      </c>
    </row>
    <row r="143" spans="1:9">
      <c r="A143" s="49" t="s">
        <v>2247</v>
      </c>
      <c r="B143" t="s">
        <v>1839</v>
      </c>
      <c r="C143" t="s">
        <v>2248</v>
      </c>
      <c r="D143" s="14" t="s">
        <v>22</v>
      </c>
      <c r="E143" t="s">
        <v>2249</v>
      </c>
      <c r="G143" t="str">
        <f t="shared" si="6"/>
        <v>TK24_C_PM</v>
      </c>
      <c r="H143" t="str">
        <f t="shared" si="7"/>
        <v xml:space="preserve">=(( ( TK24_DI105_CF )) </v>
      </c>
      <c r="I143" t="str">
        <f t="shared" si="8"/>
        <v>= (( TK24_CLOSE_CF ) )</v>
      </c>
    </row>
    <row r="144" spans="1:9">
      <c r="A144" s="49" t="s">
        <v>2250</v>
      </c>
      <c r="B144" t="s">
        <v>1840</v>
      </c>
      <c r="C144" t="s">
        <v>2251</v>
      </c>
      <c r="D144" s="14" t="s">
        <v>22</v>
      </c>
      <c r="E144" t="s">
        <v>2252</v>
      </c>
      <c r="G144" t="str">
        <f t="shared" si="6"/>
        <v>TK24_W_PM</v>
      </c>
      <c r="H144" t="str">
        <f t="shared" si="7"/>
        <v xml:space="preserve">=(( ( TK24_DI105_WF )) </v>
      </c>
      <c r="I144" t="str">
        <f t="shared" si="8"/>
        <v>= (( TK24_CLOSE_WF ) )</v>
      </c>
    </row>
    <row r="145" spans="1:10">
      <c r="A145" s="49" t="s">
        <v>2253</v>
      </c>
      <c r="B145" t="s">
        <v>1841</v>
      </c>
      <c r="C145" t="s">
        <v>2254</v>
      </c>
      <c r="D145" s="14" t="s">
        <v>22</v>
      </c>
      <c r="E145" t="s">
        <v>2255</v>
      </c>
      <c r="G145" t="str">
        <f t="shared" si="6"/>
        <v>TK25_C_PM</v>
      </c>
      <c r="H145" t="str">
        <f t="shared" si="7"/>
        <v xml:space="preserve">=(( ( TK25_DI105_CF )) </v>
      </c>
      <c r="I145" t="str">
        <f t="shared" si="8"/>
        <v>= (( TK25_CLOSE_CF ) )</v>
      </c>
    </row>
    <row r="146" spans="1:10">
      <c r="A146" s="49" t="s">
        <v>2256</v>
      </c>
      <c r="B146" t="s">
        <v>1842</v>
      </c>
      <c r="C146" t="s">
        <v>2257</v>
      </c>
      <c r="D146" s="14" t="s">
        <v>22</v>
      </c>
      <c r="E146" t="s">
        <v>2258</v>
      </c>
      <c r="G146" t="str">
        <f t="shared" si="6"/>
        <v>TK25_W_PM</v>
      </c>
      <c r="H146" t="str">
        <f t="shared" si="7"/>
        <v xml:space="preserve">=(( ( TK25_DI105_WF )) </v>
      </c>
      <c r="I146" t="str">
        <f t="shared" si="8"/>
        <v>= (( TK25_CLOSE_WF ) )</v>
      </c>
    </row>
    <row r="147" spans="1:10">
      <c r="A147" s="49" t="s">
        <v>2259</v>
      </c>
      <c r="B147" t="s">
        <v>1843</v>
      </c>
      <c r="C147" t="s">
        <v>2260</v>
      </c>
      <c r="D147" s="14" t="s">
        <v>22</v>
      </c>
      <c r="E147" t="s">
        <v>2261</v>
      </c>
      <c r="G147" t="str">
        <f t="shared" si="6"/>
        <v>TK26_C_PM</v>
      </c>
      <c r="H147" t="str">
        <f t="shared" si="7"/>
        <v xml:space="preserve">=(( ( TK26_DI105_CF )) </v>
      </c>
      <c r="I147" t="str">
        <f t="shared" si="8"/>
        <v>= (( TK26_CLOSE_CF ) )</v>
      </c>
    </row>
    <row r="148" spans="1:10">
      <c r="A148" s="49" t="s">
        <v>2262</v>
      </c>
      <c r="B148" t="s">
        <v>1844</v>
      </c>
      <c r="C148" t="s">
        <v>2263</v>
      </c>
      <c r="D148" s="14" t="s">
        <v>22</v>
      </c>
      <c r="E148" t="s">
        <v>2264</v>
      </c>
      <c r="G148" t="str">
        <f t="shared" si="6"/>
        <v>TK26_W_PM</v>
      </c>
      <c r="H148" t="str">
        <f t="shared" si="7"/>
        <v xml:space="preserve">=(( ( TK26_DI105_WF )) </v>
      </c>
      <c r="I148" t="str">
        <f t="shared" si="8"/>
        <v>= (( TK26_CLOSE_WF ) )</v>
      </c>
    </row>
    <row r="149" spans="1:10" s="55" customFormat="1" ht="12.75">
      <c r="A149" s="52"/>
      <c r="B149" s="53" t="s">
        <v>685</v>
      </c>
      <c r="C149" s="54" t="s">
        <v>7</v>
      </c>
      <c r="D149" s="54" t="s">
        <v>37</v>
      </c>
      <c r="E149" s="54" t="s">
        <v>38</v>
      </c>
      <c r="F149" s="54" t="s">
        <v>686</v>
      </c>
    </row>
    <row r="150" spans="1:10">
      <c r="A150" t="s">
        <v>2265</v>
      </c>
      <c r="B150" t="s">
        <v>1282</v>
      </c>
      <c r="C150">
        <f t="array" ref="C150">D150:F150</f>
        <v>6731.5353421</v>
      </c>
      <c r="D150" s="29">
        <v>6731.5353421</v>
      </c>
      <c r="E150" s="29">
        <v>337.26229999999998</v>
      </c>
      <c r="F150" s="29">
        <v>6745.2460000000001</v>
      </c>
      <c r="G150" t="str">
        <f>MID(A150,FIND("*/",A150)+3,FIND(":",A150)-3 -FIND("*/",A150))</f>
        <v>BOREWATER_Q</v>
      </c>
      <c r="H150" t="str">
        <f>MID(A150,FIND("(",A150)+1,50)</f>
        <v>6745.246, 337.2623);</v>
      </c>
      <c r="I150" t="str">
        <f>MID(H150,1,FIND(",",H150)-1)</f>
        <v>6745.246</v>
      </c>
      <c r="J150" t="str">
        <f>MID(H150,FIND(",",H150)+1,LEN(H150)-FIND(",",H150)-2)</f>
        <v xml:space="preserve"> 337.2623</v>
      </c>
    </row>
    <row r="151" spans="1:10">
      <c r="A151"/>
      <c r="B151" t="s">
        <v>1171</v>
      </c>
      <c r="C151">
        <f t="array" ref="C151">D151:F151</f>
        <v>76.660853500000002</v>
      </c>
      <c r="D151" s="29">
        <v>76.660853500000002</v>
      </c>
      <c r="E151" s="29"/>
      <c r="F151" s="29"/>
    </row>
    <row r="152" spans="1:10">
      <c r="A152"/>
      <c r="B152" t="s">
        <v>1157</v>
      </c>
      <c r="C152">
        <f t="array" ref="C152">D152:F152</f>
        <v>0.38985900000000001</v>
      </c>
      <c r="D152" s="29">
        <v>0.38985900000000001</v>
      </c>
      <c r="E152" s="29"/>
      <c r="F152" s="29"/>
    </row>
    <row r="153" spans="1:10">
      <c r="A153" t="s">
        <v>2266</v>
      </c>
      <c r="B153" t="s">
        <v>1155</v>
      </c>
      <c r="C153">
        <f t="array" ref="C153">D153:F153</f>
        <v>995.62795319999998</v>
      </c>
      <c r="D153" s="29">
        <v>995.62795319999998</v>
      </c>
      <c r="E153" s="29">
        <v>470.56</v>
      </c>
      <c r="F153" s="29">
        <v>1176.4000000000001</v>
      </c>
      <c r="G153" t="str">
        <f t="shared" ref="G153" si="9">MID(A153,FIND("*/",A153)+3,FIND(":",A153)-3 -FIND("*/",A153))</f>
        <v>CONCTHK21_CLOSE_Q</v>
      </c>
      <c r="H153" t="str">
        <f t="shared" ref="H153" si="10">MID(A153,FIND("(",A153)+1,50)</f>
        <v>1176.4, 470.56);</v>
      </c>
      <c r="I153" t="str">
        <f t="shared" ref="I153" si="11">MID(H153,1,FIND(",",H153)-1)</f>
        <v>1176.4</v>
      </c>
      <c r="J153" t="str">
        <f t="shared" ref="J153" si="12">MID(H153,FIND(",",H153)+1,LEN(H153)-FIND(",",H153)-2)</f>
        <v xml:space="preserve"> 470.56</v>
      </c>
    </row>
    <row r="154" spans="1:10">
      <c r="A154"/>
      <c r="B154" t="s">
        <v>1169</v>
      </c>
      <c r="C154">
        <f t="array" ref="C154">D154:F154</f>
        <v>4.8693339</v>
      </c>
      <c r="D154" s="29">
        <v>4.8693339</v>
      </c>
      <c r="E154" s="29"/>
      <c r="F154" s="29"/>
    </row>
    <row r="155" spans="1:10">
      <c r="A155" t="s">
        <v>2267</v>
      </c>
      <c r="B155" t="s">
        <v>1164</v>
      </c>
      <c r="C155">
        <f t="array" ref="C155">D155:F155</f>
        <v>0.3918007</v>
      </c>
      <c r="D155" s="29">
        <v>0.3918007</v>
      </c>
      <c r="E155" s="29">
        <v>0</v>
      </c>
      <c r="F155" s="29">
        <v>0.3918007</v>
      </c>
      <c r="G155" t="str">
        <f t="shared" ref="G155:G157" si="13">MID(A155,FIND("*/",A155)+3,FIND(":",A155)-3 -FIND("*/",A155))</f>
        <v>CONCTHK21_OPEN_CF</v>
      </c>
      <c r="H155" t="str">
        <f t="shared" ref="H155:H157" si="14">MID(A155,FIND("(",A155)+1,50)</f>
        <v>.3918007, 0);</v>
      </c>
      <c r="I155" t="str">
        <f t="shared" ref="I155:I157" si="15">MID(H155,1,FIND(",",H155)-1)</f>
        <v>.3918007</v>
      </c>
      <c r="J155" t="str">
        <f t="shared" ref="J155:J157" si="16">MID(H155,FIND(",",H155)+1,LEN(H155)-FIND(",",H155)-2)</f>
        <v xml:space="preserve"> 0</v>
      </c>
    </row>
    <row r="156" spans="1:10">
      <c r="A156" t="s">
        <v>2268</v>
      </c>
      <c r="B156" t="s">
        <v>1163</v>
      </c>
      <c r="C156">
        <f t="array" ref="C156">D156:F156</f>
        <v>1287.6652647000001</v>
      </c>
      <c r="D156" s="29">
        <v>1287.6652647000001</v>
      </c>
      <c r="E156" s="29">
        <v>0</v>
      </c>
      <c r="F156" s="29">
        <v>1287.6652647000001</v>
      </c>
      <c r="G156" t="str">
        <f t="shared" si="13"/>
        <v>CONCTHK21_OPEN_Q</v>
      </c>
      <c r="H156" t="str">
        <f t="shared" si="14"/>
        <v>1287.6652647, 0);</v>
      </c>
      <c r="I156" t="str">
        <f t="shared" si="15"/>
        <v>1287.6652647</v>
      </c>
      <c r="J156" t="str">
        <f t="shared" si="16"/>
        <v xml:space="preserve"> 0</v>
      </c>
    </row>
    <row r="157" spans="1:10">
      <c r="A157" t="s">
        <v>2269</v>
      </c>
      <c r="B157" t="s">
        <v>1173</v>
      </c>
      <c r="C157">
        <f t="array" ref="C157">D157:F157</f>
        <v>3.7107842999999998</v>
      </c>
      <c r="D157" s="29">
        <v>3.7107842999999998</v>
      </c>
      <c r="E157" s="29">
        <v>0</v>
      </c>
      <c r="F157" s="29">
        <v>3.7107842999999998</v>
      </c>
      <c r="G157" t="str">
        <f t="shared" si="13"/>
        <v>CONCTHK21_OPEN_WF</v>
      </c>
      <c r="H157" t="str">
        <f t="shared" si="14"/>
        <v>3.7107843, 0);</v>
      </c>
      <c r="I157" t="str">
        <f t="shared" si="15"/>
        <v>3.7107843</v>
      </c>
      <c r="J157" t="str">
        <f t="shared" si="16"/>
        <v xml:space="preserve"> 0</v>
      </c>
    </row>
    <row r="158" spans="1:10">
      <c r="A158"/>
      <c r="B158" t="s">
        <v>1162</v>
      </c>
      <c r="C158">
        <f t="array" ref="C158">D158:F158</f>
        <v>0.39082990000000001</v>
      </c>
      <c r="D158" s="29">
        <v>0.39082990000000001</v>
      </c>
      <c r="E158" s="29"/>
      <c r="F158" s="29"/>
    </row>
    <row r="159" spans="1:10">
      <c r="A159"/>
      <c r="B159" t="s">
        <v>1160</v>
      </c>
      <c r="C159">
        <f t="array" ref="C159">D159:F159</f>
        <v>0</v>
      </c>
      <c r="D159" s="29">
        <v>0</v>
      </c>
      <c r="E159" s="29"/>
      <c r="F159" s="29"/>
    </row>
    <row r="160" spans="1:10">
      <c r="A160"/>
      <c r="B160" t="s">
        <v>1172</v>
      </c>
      <c r="C160">
        <f t="array" ref="C160">D160:F160</f>
        <v>361.39702899999997</v>
      </c>
      <c r="D160" s="29">
        <v>361.39702899999997</v>
      </c>
      <c r="E160" s="29"/>
      <c r="F160" s="29"/>
    </row>
    <row r="161" spans="1:10">
      <c r="A161"/>
      <c r="B161" t="s">
        <v>1159</v>
      </c>
      <c r="C161">
        <f t="array" ref="C161">D161:F161</f>
        <v>0.39082990000000001</v>
      </c>
      <c r="D161" s="29">
        <v>0.39082990000000001</v>
      </c>
      <c r="E161" s="29"/>
      <c r="F161" s="29"/>
    </row>
    <row r="162" spans="1:10">
      <c r="A162"/>
      <c r="B162" t="s">
        <v>1158</v>
      </c>
      <c r="C162">
        <f t="array" ref="C162">D162:F162</f>
        <v>415.59363000000002</v>
      </c>
      <c r="D162" s="29">
        <v>415.59363000000002</v>
      </c>
      <c r="E162" s="29"/>
      <c r="F162" s="29"/>
    </row>
    <row r="163" spans="1:10">
      <c r="A163"/>
      <c r="B163" t="s">
        <v>1170</v>
      </c>
      <c r="C163">
        <f t="array" ref="C163">D163:F163</f>
        <v>0.41959999999999997</v>
      </c>
      <c r="D163" s="29">
        <v>0.41959999999999997</v>
      </c>
      <c r="E163" s="29"/>
      <c r="F163" s="29"/>
    </row>
    <row r="164" spans="1:10">
      <c r="A164" t="s">
        <v>2270</v>
      </c>
      <c r="B164" t="s">
        <v>1167</v>
      </c>
      <c r="C164">
        <f t="array" ref="C164">D164:F164</f>
        <v>5086</v>
      </c>
      <c r="D164" s="29">
        <v>5086</v>
      </c>
      <c r="E164" s="29">
        <v>0</v>
      </c>
      <c r="F164" s="29">
        <v>5086</v>
      </c>
      <c r="G164" t="str">
        <f t="shared" ref="G164" si="17">MID(A164,FIND("*/",A164)+3,FIND(":",A164)-3 -FIND("*/",A164))</f>
        <v>CONCTHK21_TOTVOL_CLOSE_Q</v>
      </c>
      <c r="H164" t="str">
        <f t="shared" ref="H164" si="18">MID(A164,FIND("(",A164)+1,50)</f>
        <v>5086, 0);</v>
      </c>
      <c r="I164" t="str">
        <f t="shared" ref="I164" si="19">MID(H164,1,FIND(",",H164)-1)</f>
        <v>5086</v>
      </c>
      <c r="J164" t="str">
        <f t="shared" ref="J164" si="20">MID(H164,FIND(",",H164)+1,LEN(H164)-FIND(",",H164)-2)</f>
        <v xml:space="preserve"> 0</v>
      </c>
    </row>
    <row r="165" spans="1:10">
      <c r="A165"/>
      <c r="B165" t="s">
        <v>1168</v>
      </c>
      <c r="C165">
        <f t="array" ref="C165">D165:F165</f>
        <v>5086</v>
      </c>
      <c r="D165" s="29">
        <v>5086</v>
      </c>
      <c r="E165" s="29"/>
      <c r="F165" s="29"/>
    </row>
    <row r="166" spans="1:10">
      <c r="A166"/>
      <c r="B166" t="s">
        <v>1176</v>
      </c>
      <c r="C166">
        <f t="array" ref="C166">D166:F166</f>
        <v>0.37390590000000001</v>
      </c>
      <c r="D166" s="29">
        <v>0.37390590000000001</v>
      </c>
      <c r="E166" s="29"/>
      <c r="F166" s="29"/>
    </row>
    <row r="167" spans="1:10">
      <c r="A167" t="s">
        <v>2271</v>
      </c>
      <c r="B167" t="s">
        <v>1175</v>
      </c>
      <c r="C167">
        <f t="array" ref="C167">D167:F167</f>
        <v>5537.2619653000002</v>
      </c>
      <c r="D167" s="29">
        <v>5537.2619653000002</v>
      </c>
      <c r="E167" s="29">
        <v>1594.6371999999999</v>
      </c>
      <c r="F167" s="29">
        <v>3986.5929999999998</v>
      </c>
      <c r="G167" t="str">
        <f t="shared" ref="G167" si="21">MID(A167,FIND("*/",A167)+3,FIND(":",A167)-3 -FIND("*/",A167))</f>
        <v>CONCTHK22_CLOSE_Q</v>
      </c>
      <c r="H167" t="str">
        <f t="shared" ref="H167" si="22">MID(A167,FIND("(",A167)+1,50)</f>
        <v>3986.593, 1594.6372);</v>
      </c>
      <c r="I167" t="str">
        <f t="shared" ref="I167" si="23">MID(H167,1,FIND(",",H167)-1)</f>
        <v>3986.593</v>
      </c>
      <c r="J167" t="str">
        <f t="shared" ref="J167" si="24">MID(H167,FIND(",",H167)+1,LEN(H167)-FIND(",",H167)-2)</f>
        <v xml:space="preserve"> 1594.6372</v>
      </c>
    </row>
    <row r="168" spans="1:10">
      <c r="A168"/>
      <c r="B168" t="s">
        <v>1187</v>
      </c>
      <c r="C168">
        <f t="array" ref="C168">D168:F168</f>
        <v>0.67950449999999996</v>
      </c>
      <c r="D168" s="29">
        <v>0.67950449999999996</v>
      </c>
      <c r="E168" s="29"/>
      <c r="F168" s="29"/>
    </row>
    <row r="169" spans="1:10">
      <c r="A169" t="s">
        <v>2272</v>
      </c>
      <c r="B169" t="s">
        <v>1182</v>
      </c>
      <c r="C169">
        <f t="array" ref="C169">D169:F169</f>
        <v>0.37452200000000002</v>
      </c>
      <c r="D169" s="29">
        <v>0.37452200000000002</v>
      </c>
      <c r="E169" s="29">
        <v>0</v>
      </c>
      <c r="F169" s="29">
        <v>0.37452200000000002</v>
      </c>
      <c r="G169" t="str">
        <f t="shared" ref="G169:G171" si="25">MID(A169,FIND("*/",A169)+3,FIND(":",A169)-3 -FIND("*/",A169))</f>
        <v>CONCTHK22_OPEN_CF</v>
      </c>
      <c r="H169" t="str">
        <f t="shared" ref="H169:H171" si="26">MID(A169,FIND("(",A169)+1,50)</f>
        <v>.374522, 0);</v>
      </c>
      <c r="I169" t="str">
        <f t="shared" ref="I169:I171" si="27">MID(H169,1,FIND(",",H169)-1)</f>
        <v>.374522</v>
      </c>
      <c r="J169" t="str">
        <f t="shared" ref="J169:J171" si="28">MID(H169,FIND(",",H169)+1,LEN(H169)-FIND(",",H169)-2)</f>
        <v xml:space="preserve"> 0</v>
      </c>
    </row>
    <row r="170" spans="1:10">
      <c r="A170" t="s">
        <v>2273</v>
      </c>
      <c r="B170" t="s">
        <v>1181</v>
      </c>
      <c r="C170">
        <f t="array" ref="C170">D170:F170</f>
        <v>4700.4379387999998</v>
      </c>
      <c r="D170" s="29">
        <v>4700.4379387999998</v>
      </c>
      <c r="E170" s="29">
        <v>0</v>
      </c>
      <c r="F170" s="29">
        <v>4700.4379387999998</v>
      </c>
      <c r="G170" t="str">
        <f t="shared" si="25"/>
        <v>CONCTHK22_OPEN_Q</v>
      </c>
      <c r="H170" t="str">
        <f t="shared" si="26"/>
        <v>4700.4379388, 0);</v>
      </c>
      <c r="I170" t="str">
        <f t="shared" si="27"/>
        <v>4700.4379388</v>
      </c>
      <c r="J170" t="str">
        <f t="shared" si="28"/>
        <v xml:space="preserve"> 0</v>
      </c>
    </row>
    <row r="171" spans="1:10">
      <c r="A171" t="s">
        <v>2274</v>
      </c>
      <c r="B171" t="s">
        <v>1191</v>
      </c>
      <c r="C171">
        <f t="array" ref="C171">D171:F171</f>
        <v>0.84302679999999997</v>
      </c>
      <c r="D171" s="29">
        <v>0.84302679999999997</v>
      </c>
      <c r="E171" s="29">
        <v>0</v>
      </c>
      <c r="F171" s="29">
        <v>0.84302679999999997</v>
      </c>
      <c r="G171" t="str">
        <f t="shared" si="25"/>
        <v>CONCTHK22_OPEN_WF</v>
      </c>
      <c r="H171" t="str">
        <f t="shared" si="26"/>
        <v>.8430268, 0);</v>
      </c>
      <c r="I171" t="str">
        <f t="shared" si="27"/>
        <v>.8430268</v>
      </c>
      <c r="J171" t="str">
        <f t="shared" si="28"/>
        <v xml:space="preserve"> 0</v>
      </c>
    </row>
    <row r="172" spans="1:10">
      <c r="A172"/>
      <c r="B172" t="s">
        <v>1178</v>
      </c>
      <c r="C172">
        <f t="array" ref="C172">D172:F172</f>
        <v>0.37421399999999999</v>
      </c>
      <c r="D172" s="29">
        <v>0.37421399999999999</v>
      </c>
      <c r="E172" s="29"/>
      <c r="F172" s="29"/>
    </row>
    <row r="173" spans="1:10">
      <c r="A173"/>
      <c r="B173" t="s">
        <v>1177</v>
      </c>
      <c r="C173">
        <f t="array" ref="C173">D173:F173</f>
        <v>1544.1572060999999</v>
      </c>
      <c r="D173" s="29">
        <v>1544.1572060999999</v>
      </c>
      <c r="E173" s="29"/>
      <c r="F173" s="29"/>
    </row>
    <row r="174" spans="1:10">
      <c r="A174"/>
      <c r="B174" t="s">
        <v>1188</v>
      </c>
      <c r="C174">
        <f t="array" ref="C174">D174:F174</f>
        <v>0.43959999999999999</v>
      </c>
      <c r="D174" s="29">
        <v>0.43959999999999999</v>
      </c>
      <c r="E174" s="29"/>
      <c r="F174" s="29"/>
    </row>
    <row r="175" spans="1:10">
      <c r="A175"/>
      <c r="B175" t="s">
        <v>1180</v>
      </c>
      <c r="C175">
        <f t="array" ref="C175">D175:F175</f>
        <v>0.37421399999999999</v>
      </c>
      <c r="D175" s="29">
        <v>0.37421399999999999</v>
      </c>
      <c r="E175" s="29"/>
      <c r="F175" s="29"/>
    </row>
    <row r="176" spans="1:10">
      <c r="A176"/>
      <c r="B176" t="s">
        <v>1179</v>
      </c>
      <c r="C176">
        <f t="array" ref="C176">D176:F176</f>
        <v>0</v>
      </c>
      <c r="D176" s="29">
        <v>0</v>
      </c>
      <c r="E176" s="29"/>
      <c r="F176" s="29"/>
    </row>
    <row r="177" spans="1:10">
      <c r="A177"/>
      <c r="B177" t="s">
        <v>1189</v>
      </c>
      <c r="C177">
        <f t="array" ref="C177">D177:F177</f>
        <v>0.5202</v>
      </c>
      <c r="D177" s="29">
        <v>0.5202</v>
      </c>
      <c r="E177" s="29"/>
      <c r="F177" s="29"/>
    </row>
    <row r="178" spans="1:10">
      <c r="A178" t="s">
        <v>2275</v>
      </c>
      <c r="B178" t="s">
        <v>1185</v>
      </c>
      <c r="C178">
        <f t="array" ref="C178">D178:F178</f>
        <v>5086</v>
      </c>
      <c r="D178" s="29">
        <v>5086</v>
      </c>
      <c r="E178" s="29">
        <v>0</v>
      </c>
      <c r="F178" s="29">
        <v>5086</v>
      </c>
      <c r="G178" t="str">
        <f t="shared" ref="G178" si="29">MID(A178,FIND("*/",A178)+3,FIND(":",A178)-3 -FIND("*/",A178))</f>
        <v>CONCTHK22_TOTVOL_CLOSE_Q</v>
      </c>
      <c r="H178" t="str">
        <f t="shared" ref="H178" si="30">MID(A178,FIND("(",A178)+1,50)</f>
        <v>5086, 0);</v>
      </c>
      <c r="I178" t="str">
        <f t="shared" ref="I178" si="31">MID(H178,1,FIND(",",H178)-1)</f>
        <v>5086</v>
      </c>
      <c r="J178" t="str">
        <f t="shared" ref="J178" si="32">MID(H178,FIND(",",H178)+1,LEN(H178)-FIND(",",H178)-2)</f>
        <v xml:space="preserve"> 0</v>
      </c>
    </row>
    <row r="179" spans="1:10">
      <c r="A179"/>
      <c r="B179" t="s">
        <v>1186</v>
      </c>
      <c r="C179">
        <f t="array" ref="C179">D179:F179</f>
        <v>5086</v>
      </c>
      <c r="D179" s="29">
        <v>5086</v>
      </c>
      <c r="E179" s="29"/>
      <c r="F179" s="29"/>
    </row>
    <row r="180" spans="1:10">
      <c r="A180"/>
      <c r="B180" t="s">
        <v>1190</v>
      </c>
      <c r="C180">
        <f t="array" ref="C180">D180:F180</f>
        <v>5703.9251413000002</v>
      </c>
      <c r="D180" s="29">
        <v>5703.9251413000002</v>
      </c>
      <c r="E180" s="29"/>
      <c r="F180" s="29"/>
    </row>
    <row r="181" spans="1:10">
      <c r="A181"/>
      <c r="B181" t="s">
        <v>1193</v>
      </c>
      <c r="C181">
        <f t="array" ref="C181">D181:F181</f>
        <v>5780.5859947999998</v>
      </c>
      <c r="D181" s="29">
        <v>5780.5859947999998</v>
      </c>
      <c r="E181" s="29"/>
      <c r="F181" s="29"/>
    </row>
    <row r="182" spans="1:10">
      <c r="A182"/>
      <c r="B182" t="s">
        <v>1213</v>
      </c>
      <c r="C182">
        <f t="array" ref="C182">D182:F182</f>
        <v>0.37773760000000001</v>
      </c>
      <c r="D182" s="29">
        <v>0.37773760000000001</v>
      </c>
      <c r="E182" s="29"/>
      <c r="F182" s="29"/>
    </row>
    <row r="183" spans="1:10">
      <c r="A183" t="s">
        <v>2276</v>
      </c>
      <c r="B183" t="s">
        <v>1212</v>
      </c>
      <c r="C183">
        <f t="array" ref="C183">D183:F183</f>
        <v>0</v>
      </c>
      <c r="D183" s="29">
        <v>0</v>
      </c>
      <c r="E183" s="29">
        <v>0</v>
      </c>
      <c r="F183" s="29">
        <v>0</v>
      </c>
      <c r="G183" t="str">
        <f t="shared" ref="G183:G184" si="33">MID(A183,FIND("*/",A183)+3,FIND(":",A183)-3 -FIND("*/",A183))</f>
        <v>CONCTHK_TK23_Q</v>
      </c>
      <c r="H183" t="str">
        <f t="shared" ref="H183:H184" si="34">MID(A183,FIND("(",A183)+1,50)</f>
        <v>0, 0);</v>
      </c>
      <c r="I183" t="str">
        <f t="shared" ref="I183:I184" si="35">MID(H183,1,FIND(",",H183)-1)</f>
        <v>0</v>
      </c>
      <c r="J183" t="str">
        <f t="shared" ref="J183:J184" si="36">MID(H183,FIND(",",H183)+1,LEN(H183)-FIND(",",H183)-2)</f>
        <v xml:space="preserve"> 0</v>
      </c>
    </row>
    <row r="184" spans="1:10">
      <c r="A184" t="s">
        <v>2277</v>
      </c>
      <c r="B184" t="s">
        <v>1222</v>
      </c>
      <c r="C184">
        <f t="array" ref="C184">D184:F184</f>
        <v>0.43535869999999999</v>
      </c>
      <c r="D184" s="29">
        <v>0.43535869999999999</v>
      </c>
      <c r="E184" s="29">
        <v>4.938E-2</v>
      </c>
      <c r="F184" s="29">
        <v>0.49380000000000002</v>
      </c>
      <c r="G184" t="str">
        <f t="shared" si="33"/>
        <v>CONCTHK_TK23_WF</v>
      </c>
      <c r="H184" t="str">
        <f t="shared" si="34"/>
        <v>.4938, .04938);</v>
      </c>
      <c r="I184" t="str">
        <f t="shared" si="35"/>
        <v>.4938</v>
      </c>
      <c r="J184" t="str">
        <f t="shared" si="36"/>
        <v xml:space="preserve"> .04938</v>
      </c>
    </row>
    <row r="185" spans="1:10">
      <c r="A185"/>
      <c r="B185" t="s">
        <v>1215</v>
      </c>
      <c r="C185">
        <f t="array" ref="C185">D185:F185</f>
        <v>0.37773760000000001</v>
      </c>
      <c r="D185" s="29">
        <v>0.37773760000000001</v>
      </c>
      <c r="E185" s="29"/>
      <c r="F185" s="29"/>
    </row>
    <row r="186" spans="1:10">
      <c r="A186" t="s">
        <v>2278</v>
      </c>
      <c r="B186" t="s">
        <v>1214</v>
      </c>
      <c r="C186">
        <f t="array" ref="C186">D186:F186</f>
        <v>0</v>
      </c>
      <c r="D186" s="29">
        <v>0</v>
      </c>
      <c r="E186" s="29">
        <v>0</v>
      </c>
      <c r="F186" s="29">
        <v>0</v>
      </c>
      <c r="G186" t="str">
        <f t="shared" ref="G186:G187" si="37">MID(A186,FIND("*/",A186)+3,FIND(":",A186)-3 -FIND("*/",A186))</f>
        <v>CONCTHK_TK24_Q</v>
      </c>
      <c r="H186" t="str">
        <f t="shared" ref="H186:H187" si="38">MID(A186,FIND("(",A186)+1,50)</f>
        <v>0, 0);</v>
      </c>
      <c r="I186" t="str">
        <f t="shared" ref="I186:I187" si="39">MID(H186,1,FIND(",",H186)-1)</f>
        <v>0</v>
      </c>
      <c r="J186" t="str">
        <f t="shared" ref="J186:J187" si="40">MID(H186,FIND(",",H186)+1,LEN(H186)-FIND(",",H186)-2)</f>
        <v xml:space="preserve"> 0</v>
      </c>
    </row>
    <row r="187" spans="1:10">
      <c r="A187" t="s">
        <v>2279</v>
      </c>
      <c r="B187" t="s">
        <v>1223</v>
      </c>
      <c r="C187">
        <f t="array" ref="C187">D187:F187</f>
        <v>0.43535869999999999</v>
      </c>
      <c r="D187" s="29">
        <v>0.43535869999999999</v>
      </c>
      <c r="E187" s="29">
        <v>4.938E-2</v>
      </c>
      <c r="F187" s="29">
        <v>0.49380000000000002</v>
      </c>
      <c r="G187" t="str">
        <f t="shared" si="37"/>
        <v>CONCTHK_TK24_WF</v>
      </c>
      <c r="H187" t="str">
        <f t="shared" si="38"/>
        <v>.4938, .04938);</v>
      </c>
      <c r="I187" t="str">
        <f t="shared" si="39"/>
        <v>.4938</v>
      </c>
      <c r="J187" t="str">
        <f t="shared" si="40"/>
        <v xml:space="preserve"> .04938</v>
      </c>
    </row>
    <row r="188" spans="1:10">
      <c r="A188"/>
      <c r="B188" t="s">
        <v>1217</v>
      </c>
      <c r="C188">
        <f t="array" ref="C188">D188:F188</f>
        <v>0.37773760000000001</v>
      </c>
      <c r="D188" s="29">
        <v>0.37773760000000001</v>
      </c>
      <c r="E188" s="29"/>
      <c r="F188" s="29"/>
    </row>
    <row r="189" spans="1:10">
      <c r="A189" t="s">
        <v>2280</v>
      </c>
      <c r="B189" t="s">
        <v>1216</v>
      </c>
      <c r="C189">
        <f t="array" ref="C189">D189:F189</f>
        <v>667.31095500000004</v>
      </c>
      <c r="D189" s="29">
        <v>667.31095500000004</v>
      </c>
      <c r="E189" s="29">
        <v>130.67006000000001</v>
      </c>
      <c r="F189" s="29">
        <v>653.35029999999995</v>
      </c>
      <c r="G189" t="str">
        <f t="shared" ref="G189:G190" si="41">MID(A189,FIND("*/",A189)+3,FIND(":",A189)-3 -FIND("*/",A189))</f>
        <v>CONCTHK_TK25_Q</v>
      </c>
      <c r="H189" t="str">
        <f t="shared" ref="H189:H190" si="42">MID(A189,FIND("(",A189)+1,50)</f>
        <v>653.3503, 130.67006);</v>
      </c>
      <c r="I189" t="str">
        <f t="shared" ref="I189:I190" si="43">MID(H189,1,FIND(",",H189)-1)</f>
        <v>653.3503</v>
      </c>
      <c r="J189" t="str">
        <f t="shared" ref="J189:J190" si="44">MID(H189,FIND(",",H189)+1,LEN(H189)-FIND(",",H189)-2)</f>
        <v xml:space="preserve"> 130.67006</v>
      </c>
    </row>
    <row r="190" spans="1:10">
      <c r="A190" t="s">
        <v>2281</v>
      </c>
      <c r="B190" t="s">
        <v>1225</v>
      </c>
      <c r="C190">
        <f t="array" ref="C190">D190:F190</f>
        <v>0.43535869999999999</v>
      </c>
      <c r="D190" s="29">
        <v>0.43535869999999999</v>
      </c>
      <c r="E190" s="29">
        <v>3.8890000000000001E-2</v>
      </c>
      <c r="F190" s="29">
        <v>0.38890000000000002</v>
      </c>
      <c r="G190" t="str">
        <f t="shared" si="41"/>
        <v>CONCTHK_TK25_WF</v>
      </c>
      <c r="H190" t="str">
        <f t="shared" si="42"/>
        <v>.3889, .03889);</v>
      </c>
      <c r="I190" t="str">
        <f t="shared" si="43"/>
        <v>.3889</v>
      </c>
      <c r="J190" t="str">
        <f t="shared" si="44"/>
        <v xml:space="preserve"> .03889</v>
      </c>
    </row>
    <row r="191" spans="1:10">
      <c r="A191"/>
      <c r="B191" t="s">
        <v>1219</v>
      </c>
      <c r="C191">
        <f t="array" ref="C191">D191:F191</f>
        <v>0.37773760000000001</v>
      </c>
      <c r="D191" s="29">
        <v>0.37773760000000001</v>
      </c>
      <c r="E191" s="29"/>
      <c r="F191" s="29"/>
    </row>
    <row r="192" spans="1:10">
      <c r="A192" t="s">
        <v>2282</v>
      </c>
      <c r="B192" t="s">
        <v>1218</v>
      </c>
      <c r="C192">
        <f t="array" ref="C192">D192:F192</f>
        <v>1292.4398811000001</v>
      </c>
      <c r="D192" s="29">
        <v>1292.4398811000001</v>
      </c>
      <c r="E192" s="29">
        <v>253.26859999999999</v>
      </c>
      <c r="F192" s="29">
        <v>1266.3430000000001</v>
      </c>
      <c r="G192" t="str">
        <f t="shared" ref="G192:G194" si="45">MID(A192,FIND("*/",A192)+3,FIND(":",A192)-3 -FIND("*/",A192))</f>
        <v>CONCTHK_TK26_Q</v>
      </c>
      <c r="H192" t="str">
        <f t="shared" ref="H192:H194" si="46">MID(A192,FIND("(",A192)+1,50)</f>
        <v>1266.343, 253.2686);</v>
      </c>
      <c r="I192" t="str">
        <f t="shared" ref="I192:I194" si="47">MID(H192,1,FIND(",",H192)-1)</f>
        <v>1266.343</v>
      </c>
      <c r="J192" t="str">
        <f t="shared" ref="J192:J194" si="48">MID(H192,FIND(",",H192)+1,LEN(H192)-FIND(",",H192)-2)</f>
        <v xml:space="preserve"> 253.2686</v>
      </c>
    </row>
    <row r="193" spans="1:10">
      <c r="A193" t="s">
        <v>2283</v>
      </c>
      <c r="B193" t="s">
        <v>1224</v>
      </c>
      <c r="C193">
        <f t="array" ref="C193">D193:F193</f>
        <v>0.43535869999999999</v>
      </c>
      <c r="D193" s="29">
        <v>0.43535869999999999</v>
      </c>
      <c r="E193" s="29">
        <v>4.5879999999999997E-2</v>
      </c>
      <c r="F193" s="29">
        <v>0.45879999999999999</v>
      </c>
      <c r="G193" t="str">
        <f t="shared" si="45"/>
        <v>CONCTHK_TK26_WF</v>
      </c>
      <c r="H193" t="str">
        <f t="shared" si="46"/>
        <v>.4588, .04588);</v>
      </c>
      <c r="I193" t="str">
        <f t="shared" si="47"/>
        <v>.4588</v>
      </c>
      <c r="J193" t="str">
        <f t="shared" si="48"/>
        <v xml:space="preserve"> .04588</v>
      </c>
    </row>
    <row r="194" spans="1:10">
      <c r="A194" t="s">
        <v>2284</v>
      </c>
      <c r="B194" t="s">
        <v>1221</v>
      </c>
      <c r="C194">
        <f t="array" ref="C194">D194:F194</f>
        <v>0.37773760000000001</v>
      </c>
      <c r="D194" s="29">
        <v>0.37773760000000001</v>
      </c>
      <c r="E194" s="29">
        <v>3.8280000000000002E-2</v>
      </c>
      <c r="F194" s="29">
        <v>0.38279999999999997</v>
      </c>
      <c r="G194" t="str">
        <f t="shared" si="45"/>
        <v>CONCTHK_TKC_CF</v>
      </c>
      <c r="H194" t="str">
        <f t="shared" si="46"/>
        <v>.3828, .03828);</v>
      </c>
      <c r="I194" t="str">
        <f t="shared" si="47"/>
        <v>.3828</v>
      </c>
      <c r="J194" t="str">
        <f t="shared" si="48"/>
        <v xml:space="preserve"> .03828</v>
      </c>
    </row>
    <row r="195" spans="1:10">
      <c r="A195"/>
      <c r="B195" t="s">
        <v>1220</v>
      </c>
      <c r="C195">
        <f t="array" ref="C195">D195:F195</f>
        <v>1959.7508361</v>
      </c>
      <c r="D195" s="29">
        <v>1959.7508361</v>
      </c>
      <c r="E195" s="29"/>
      <c r="F195" s="29"/>
    </row>
    <row r="196" spans="1:10">
      <c r="A196" t="s">
        <v>2285</v>
      </c>
      <c r="B196" t="s">
        <v>1226</v>
      </c>
      <c r="C196">
        <f t="array" ref="C196">D196:F196</f>
        <v>0.43535869999999999</v>
      </c>
      <c r="D196" s="29">
        <v>0.43535869999999999</v>
      </c>
      <c r="E196" s="29">
        <v>4.2950000000000002E-2</v>
      </c>
      <c r="F196" s="29">
        <v>0.42949999999999999</v>
      </c>
      <c r="G196" t="str">
        <f t="shared" ref="G196" si="49">MID(A196,FIND("*/",A196)+3,FIND(":",A196)-3 -FIND("*/",A196))</f>
        <v>CONCTHK_TKC_WF</v>
      </c>
      <c r="H196" t="str">
        <f t="shared" ref="H196" si="50">MID(A196,FIND("(",A196)+1,50)</f>
        <v>.4295, .04295);</v>
      </c>
      <c r="I196" t="str">
        <f t="shared" ref="I196" si="51">MID(H196,1,FIND(",",H196)-1)</f>
        <v>.4295</v>
      </c>
      <c r="J196" t="str">
        <f t="shared" ref="J196" si="52">MID(H196,FIND(",",H196)+1,LEN(H196)-FIND(",",H196)-2)</f>
        <v xml:space="preserve"> .04295</v>
      </c>
    </row>
    <row r="197" spans="1:10">
      <c r="A197"/>
      <c r="B197" t="s">
        <v>1166</v>
      </c>
      <c r="C197">
        <f t="array" ref="C197">D197:F197</f>
        <v>0.37288929999999998</v>
      </c>
      <c r="D197" s="29">
        <v>0.37288929999999998</v>
      </c>
      <c r="E197" s="29"/>
      <c r="F197" s="29"/>
    </row>
    <row r="198" spans="1:10">
      <c r="A198" t="s">
        <v>2286</v>
      </c>
      <c r="B198" t="s">
        <v>1165</v>
      </c>
      <c r="C198">
        <f t="array" ref="C198">D198:F198</f>
        <v>123.55631839999999</v>
      </c>
      <c r="D198" s="29">
        <v>123.55631839999999</v>
      </c>
      <c r="E198" s="29">
        <v>69.375540000000001</v>
      </c>
      <c r="F198" s="29">
        <v>115.6259</v>
      </c>
      <c r="G198" t="str">
        <f t="shared" ref="G198" si="53">MID(A198,FIND("*/",A198)+3,FIND(":",A198)-3 -FIND("*/",A198))</f>
        <v>DI101_CONCTHK21_Q</v>
      </c>
      <c r="H198" t="str">
        <f t="shared" ref="H198" si="54">MID(A198,FIND("(",A198)+1,50)</f>
        <v>115.6259, 69.37554);</v>
      </c>
      <c r="I198" t="str">
        <f t="shared" ref="I198" si="55">MID(H198,1,FIND(",",H198)-1)</f>
        <v>115.6259</v>
      </c>
      <c r="J198" t="str">
        <f t="shared" ref="J198" si="56">MID(H198,FIND(",",H198)+1,LEN(H198)-FIND(",",H198)-2)</f>
        <v xml:space="preserve"> 69.37554</v>
      </c>
    </row>
    <row r="199" spans="1:10">
      <c r="A199"/>
      <c r="B199" t="s">
        <v>1174</v>
      </c>
      <c r="C199">
        <f t="array" ref="C199">D199:F199</f>
        <v>2.5967175</v>
      </c>
      <c r="D199" s="29">
        <v>2.5967175</v>
      </c>
      <c r="E199" s="29"/>
      <c r="F199" s="29"/>
    </row>
    <row r="200" spans="1:10">
      <c r="A200" t="s">
        <v>2287</v>
      </c>
      <c r="B200" t="s">
        <v>1184</v>
      </c>
      <c r="C200">
        <f t="array" ref="C200">D200:F200</f>
        <v>0.37288929999999998</v>
      </c>
      <c r="D200" s="29">
        <v>0.37288929999999998</v>
      </c>
      <c r="E200" s="29">
        <v>1416.1554000000001</v>
      </c>
      <c r="F200" s="29">
        <v>2360.259</v>
      </c>
      <c r="G200" t="str">
        <f t="shared" ref="G200" si="57">MID(A200,FIND("*/",A200)+3,FIND(":",A200)-3 -FIND("*/",A200))</f>
        <v>DI101_CONCTHK22_Q</v>
      </c>
      <c r="H200" t="str">
        <f t="shared" ref="H200" si="58">MID(A200,FIND("(",A200)+1,50)</f>
        <v>2360.259, 1416.1554);</v>
      </c>
      <c r="I200" t="str">
        <f t="shared" ref="I200" si="59">MID(H200,1,FIND(",",H200)-1)</f>
        <v>2360.259</v>
      </c>
      <c r="J200" t="str">
        <f t="shared" ref="J200" si="60">MID(H200,FIND(",",H200)+1,LEN(H200)-FIND(",",H200)-2)</f>
        <v xml:space="preserve"> 1416.1554</v>
      </c>
    </row>
    <row r="201" spans="1:10">
      <c r="A201"/>
      <c r="B201" t="s">
        <v>1183</v>
      </c>
      <c r="C201">
        <f t="array" ref="C201">D201:F201</f>
        <v>2380.9812327</v>
      </c>
      <c r="D201" s="29">
        <v>2380.9812327</v>
      </c>
      <c r="E201" s="29"/>
      <c r="F201" s="29"/>
    </row>
    <row r="202" spans="1:10">
      <c r="A202"/>
      <c r="B202" t="s">
        <v>1192</v>
      </c>
      <c r="C202">
        <f t="array" ref="C202">D202:F202</f>
        <v>2.5967175</v>
      </c>
      <c r="D202" s="29">
        <v>2.5967175</v>
      </c>
      <c r="E202" s="29"/>
      <c r="F202" s="29"/>
    </row>
    <row r="203" spans="1:10">
      <c r="A203"/>
      <c r="B203" t="s">
        <v>1195</v>
      </c>
      <c r="C203">
        <f t="array" ref="C203">D203:F203</f>
        <v>0.37288929999999998</v>
      </c>
      <c r="D203" s="29">
        <v>0.37288929999999998</v>
      </c>
      <c r="E203" s="29"/>
      <c r="F203" s="29"/>
    </row>
    <row r="204" spans="1:10">
      <c r="A204"/>
      <c r="B204" t="s">
        <v>1194</v>
      </c>
      <c r="C204">
        <f t="array" ref="C204">D204:F204</f>
        <v>2504.5375511000002</v>
      </c>
      <c r="D204" s="29">
        <v>2504.5375511000002</v>
      </c>
      <c r="E204" s="29"/>
      <c r="F204" s="29"/>
    </row>
    <row r="205" spans="1:10">
      <c r="A205"/>
      <c r="B205" t="s">
        <v>1196</v>
      </c>
      <c r="C205">
        <f t="array" ref="C205">D205:F205</f>
        <v>2.5967175</v>
      </c>
      <c r="D205" s="29">
        <v>2.5967175</v>
      </c>
      <c r="E205" s="29"/>
      <c r="F205" s="29"/>
    </row>
    <row r="206" spans="1:10">
      <c r="A206" t="s">
        <v>2288</v>
      </c>
      <c r="B206" t="s">
        <v>1255</v>
      </c>
      <c r="C206">
        <f t="array" ref="C206">D206:F206</f>
        <v>3.0994999999999998E-3</v>
      </c>
      <c r="D206" s="29">
        <v>3.0994999999999998E-3</v>
      </c>
      <c r="E206" s="29">
        <v>1114.2654</v>
      </c>
      <c r="F206" s="29">
        <v>5571.3270000000002</v>
      </c>
      <c r="G206" t="str">
        <f t="shared" ref="G206" si="61">MID(A206,FIND("*/",A206)+3,FIND(":",A206)-3 -FIND("*/",A206))</f>
        <v>DI150_TAILTHK6_Q</v>
      </c>
      <c r="H206" t="str">
        <f t="shared" ref="H206" si="62">MID(A206,FIND("(",A206)+1,50)</f>
        <v>5571.327, 1114.2654);</v>
      </c>
      <c r="I206" t="str">
        <f t="shared" ref="I206" si="63">MID(H206,1,FIND(",",H206)-1)</f>
        <v>5571.327</v>
      </c>
      <c r="J206" t="str">
        <f t="shared" ref="J206" si="64">MID(H206,FIND(",",H206)+1,LEN(H206)-FIND(",",H206)-2)</f>
        <v xml:space="preserve"> 1114.2654</v>
      </c>
    </row>
    <row r="207" spans="1:10">
      <c r="A207"/>
      <c r="B207" t="s">
        <v>1254</v>
      </c>
      <c r="C207">
        <f t="array" ref="C207">D207:F207</f>
        <v>6386.6891825000002</v>
      </c>
      <c r="D207" s="29">
        <v>6386.6891825000002</v>
      </c>
      <c r="E207" s="29"/>
      <c r="F207" s="29"/>
    </row>
    <row r="208" spans="1:10">
      <c r="A208"/>
      <c r="B208" t="s">
        <v>1262</v>
      </c>
      <c r="C208">
        <f t="array" ref="C208">D208:F208</f>
        <v>2.8654912000000001</v>
      </c>
      <c r="D208" s="29">
        <v>2.8654912000000001</v>
      </c>
      <c r="E208" s="29"/>
      <c r="F208" s="29"/>
    </row>
    <row r="209" spans="1:10">
      <c r="A209" t="s">
        <v>2289</v>
      </c>
      <c r="B209" t="s">
        <v>1257</v>
      </c>
      <c r="C209">
        <f t="array" ref="C209">D209:F209</f>
        <v>3.0994999999999998E-3</v>
      </c>
      <c r="D209" s="29">
        <v>3.0994999999999998E-3</v>
      </c>
      <c r="E209" s="29">
        <v>3928.0540000000001</v>
      </c>
      <c r="F209" s="29">
        <v>19640.27</v>
      </c>
      <c r="G209" t="str">
        <f t="shared" ref="G209" si="65">MID(A209,FIND("*/",A209)+3,FIND(":",A209)-3 -FIND("*/",A209))</f>
        <v>DI150_TAILTHK7_Q</v>
      </c>
      <c r="H209" t="str">
        <f t="shared" ref="H209" si="66">MID(A209,FIND("(",A209)+1,50)</f>
        <v>19640.27, 3928.054);</v>
      </c>
      <c r="I209" t="str">
        <f t="shared" ref="I209" si="67">MID(H209,1,FIND(",",H209)-1)</f>
        <v>19640.27</v>
      </c>
      <c r="J209" t="str">
        <f t="shared" ref="J209" si="68">MID(H209,FIND(",",H209)+1,LEN(H209)-FIND(",",H209)-2)</f>
        <v xml:space="preserve"> 3928.054</v>
      </c>
    </row>
    <row r="210" spans="1:10">
      <c r="A210"/>
      <c r="B210" t="s">
        <v>1256</v>
      </c>
      <c r="C210">
        <f t="array" ref="C210">D210:F210</f>
        <v>27689.391790999998</v>
      </c>
      <c r="D210" s="29">
        <v>27689.391790999998</v>
      </c>
      <c r="E210" s="29"/>
      <c r="F210" s="29"/>
    </row>
    <row r="211" spans="1:10">
      <c r="A211"/>
      <c r="B211" t="s">
        <v>1264</v>
      </c>
      <c r="C211">
        <f t="array" ref="C211">D211:F211</f>
        <v>2.8654912000000001</v>
      </c>
      <c r="D211" s="29">
        <v>2.8654912000000001</v>
      </c>
      <c r="E211" s="29"/>
      <c r="F211" s="29"/>
    </row>
    <row r="212" spans="1:10">
      <c r="A212"/>
      <c r="B212" t="s">
        <v>1259</v>
      </c>
      <c r="C212">
        <f t="array" ref="C212">D212:F212</f>
        <v>3.0994999999999998E-3</v>
      </c>
      <c r="D212" s="29">
        <v>3.0994999999999998E-3</v>
      </c>
      <c r="E212" s="29"/>
      <c r="F212" s="29"/>
    </row>
    <row r="213" spans="1:10">
      <c r="A213" t="s">
        <v>2290</v>
      </c>
      <c r="B213" t="s">
        <v>1258</v>
      </c>
      <c r="C213">
        <f t="array" ref="C213">D213:F213</f>
        <v>22039.5212842</v>
      </c>
      <c r="D213" s="29">
        <v>22039.5212842</v>
      </c>
      <c r="E213" s="29">
        <v>3395.748</v>
      </c>
      <c r="F213" s="29">
        <v>16978.740000000002</v>
      </c>
      <c r="G213" t="str">
        <f t="shared" ref="G213" si="69">MID(A213,FIND("*/",A213)+3,FIND(":",A213)-3 -FIND("*/",A213))</f>
        <v>DI150_TAILTHK8_Q</v>
      </c>
      <c r="H213" t="str">
        <f t="shared" ref="H213" si="70">MID(A213,FIND("(",A213)+1,50)</f>
        <v>16978.74, 3395.748);</v>
      </c>
      <c r="I213" t="str">
        <f t="shared" ref="I213" si="71">MID(H213,1,FIND(",",H213)-1)</f>
        <v>16978.74</v>
      </c>
      <c r="J213" t="str">
        <f t="shared" ref="J213" si="72">MID(H213,FIND(",",H213)+1,LEN(H213)-FIND(",",H213)-2)</f>
        <v xml:space="preserve"> 3395.748</v>
      </c>
    </row>
    <row r="214" spans="1:10">
      <c r="A214"/>
      <c r="B214" t="s">
        <v>1263</v>
      </c>
      <c r="C214">
        <f t="array" ref="C214">D214:F214</f>
        <v>2.8654912000000001</v>
      </c>
      <c r="D214" s="29">
        <v>2.8654912000000001</v>
      </c>
      <c r="E214" s="29"/>
      <c r="F214" s="29"/>
    </row>
    <row r="215" spans="1:10">
      <c r="A215" t="s">
        <v>2291</v>
      </c>
      <c r="B215" t="s">
        <v>1287</v>
      </c>
      <c r="C215">
        <f t="array" ref="C215">D215:F215</f>
        <v>1.8898700000000001E-2</v>
      </c>
      <c r="D215" s="29">
        <v>1.8898700000000001E-2</v>
      </c>
      <c r="E215" s="29">
        <v>3.7797E-3</v>
      </c>
      <c r="F215" s="29">
        <v>1.8898700000000001E-2</v>
      </c>
      <c r="G215" t="str">
        <f t="shared" ref="G215:G218" si="73">MID(A215,FIND("*/",A215)+3,FIND(":",A215)-3 -FIND("*/",A215))</f>
        <v>FEED_CF</v>
      </c>
      <c r="H215" t="str">
        <f t="shared" ref="H215:H218" si="74">MID(A215,FIND("(",A215)+1,50)</f>
        <v>.0188987, .0037797);</v>
      </c>
      <c r="I215" t="str">
        <f t="shared" ref="I215:I218" si="75">MID(H215,1,FIND(",",H215)-1)</f>
        <v>.0188987</v>
      </c>
      <c r="J215" t="str">
        <f t="shared" ref="J215:J218" si="76">MID(H215,FIND(",",H215)+1,LEN(H215)-FIND(",",H215)-2)</f>
        <v xml:space="preserve"> .0037797</v>
      </c>
    </row>
    <row r="216" spans="1:10">
      <c r="A216" t="s">
        <v>2292</v>
      </c>
      <c r="B216" t="s">
        <v>1286</v>
      </c>
      <c r="C216">
        <f t="array" ref="C216">D216:F216</f>
        <v>58620.139808699998</v>
      </c>
      <c r="D216" s="29">
        <v>58620.139808699998</v>
      </c>
      <c r="E216" s="29">
        <v>293.21480000000003</v>
      </c>
      <c r="F216" s="29">
        <v>58642.96</v>
      </c>
      <c r="G216" t="str">
        <f t="shared" si="73"/>
        <v>FEED_Q</v>
      </c>
      <c r="H216" t="str">
        <f t="shared" si="74"/>
        <v>58642.96, 293.2148);</v>
      </c>
      <c r="I216" t="str">
        <f t="shared" si="75"/>
        <v>58642.96</v>
      </c>
      <c r="J216" t="str">
        <f t="shared" si="76"/>
        <v xml:space="preserve"> 293.2148</v>
      </c>
    </row>
    <row r="217" spans="1:10">
      <c r="A217" t="s">
        <v>2293</v>
      </c>
      <c r="B217" t="s">
        <v>1289</v>
      </c>
      <c r="C217">
        <f t="array" ref="C217">D217:F217</f>
        <v>3.08994E-2</v>
      </c>
      <c r="D217" s="29">
        <v>3.08994E-2</v>
      </c>
      <c r="E217" s="29">
        <v>3.0899999999999998E-4</v>
      </c>
      <c r="F217" s="29">
        <v>3.09E-2</v>
      </c>
      <c r="G217" t="str">
        <f t="shared" si="73"/>
        <v>FEED_WF</v>
      </c>
      <c r="H217" t="str">
        <f t="shared" si="74"/>
        <v>.0309, .000309);</v>
      </c>
      <c r="I217" t="str">
        <f t="shared" si="75"/>
        <v>.0309</v>
      </c>
      <c r="J217" t="str">
        <f t="shared" si="76"/>
        <v xml:space="preserve"> .000309</v>
      </c>
    </row>
    <row r="218" spans="1:10">
      <c r="A218" t="s">
        <v>2294</v>
      </c>
      <c r="B218" t="s">
        <v>1198</v>
      </c>
      <c r="C218">
        <f t="array" ref="C218">D218:F218</f>
        <v>0.37288929999999998</v>
      </c>
      <c r="D218" s="29">
        <v>0.37288929999999998</v>
      </c>
      <c r="E218" s="29">
        <v>0</v>
      </c>
      <c r="F218" s="29">
        <v>0.37288929999999998</v>
      </c>
      <c r="G218" t="str">
        <f t="shared" si="73"/>
        <v>FINALCONC_CF</v>
      </c>
      <c r="H218" t="str">
        <f t="shared" si="74"/>
        <v>.3728893, 0);</v>
      </c>
      <c r="I218" t="str">
        <f t="shared" si="75"/>
        <v>.3728893</v>
      </c>
      <c r="J218" t="str">
        <f t="shared" si="76"/>
        <v xml:space="preserve"> 0</v>
      </c>
    </row>
    <row r="219" spans="1:10">
      <c r="A219"/>
      <c r="B219" t="s">
        <v>1197</v>
      </c>
      <c r="C219">
        <f t="array" ref="C219">D219:F219</f>
        <v>2504.5375511000002</v>
      </c>
      <c r="D219" s="29">
        <v>2504.5375511000002</v>
      </c>
      <c r="E219" s="29"/>
      <c r="F219" s="29"/>
    </row>
    <row r="220" spans="1:10">
      <c r="A220" t="s">
        <v>2295</v>
      </c>
      <c r="B220" t="s">
        <v>1207</v>
      </c>
      <c r="C220">
        <f t="array" ref="C220">D220:F220</f>
        <v>2.5967175</v>
      </c>
      <c r="D220" s="29">
        <v>2.5967175</v>
      </c>
      <c r="E220" s="29">
        <v>5.1942000000000002E-2</v>
      </c>
      <c r="F220" s="29">
        <v>2.5971000000000002</v>
      </c>
      <c r="G220" t="str">
        <f t="shared" ref="G220:G221" si="77">MID(A220,FIND("*/",A220)+3,FIND(":",A220)-3 -FIND("*/",A220))</f>
        <v>FINALCONC_WF</v>
      </c>
      <c r="H220" t="str">
        <f t="shared" ref="H220:H221" si="78">MID(A220,FIND("(",A220)+1,50)</f>
        <v>2.5971, .051942);</v>
      </c>
      <c r="I220" t="str">
        <f t="shared" ref="I220:I221" si="79">MID(H220,1,FIND(",",H220)-1)</f>
        <v>2.5971</v>
      </c>
      <c r="J220" t="str">
        <f t="shared" ref="J220:J221" si="80">MID(H220,FIND(",",H220)+1,LEN(H220)-FIND(",",H220)-2)</f>
        <v xml:space="preserve"> .051942</v>
      </c>
    </row>
    <row r="221" spans="1:10">
      <c r="A221" t="s">
        <v>2296</v>
      </c>
      <c r="B221" t="s">
        <v>1355</v>
      </c>
      <c r="C221">
        <f t="array" ref="C221">D221:F221</f>
        <v>0</v>
      </c>
      <c r="D221" s="29">
        <v>0</v>
      </c>
      <c r="E221" s="29">
        <v>0</v>
      </c>
      <c r="F221" s="29">
        <v>0</v>
      </c>
      <c r="G221" t="str">
        <f t="shared" si="77"/>
        <v>H2ODISCHARGE_Q</v>
      </c>
      <c r="H221" t="str">
        <f t="shared" si="78"/>
        <v>0, 0);</v>
      </c>
      <c r="I221" t="str">
        <f t="shared" si="79"/>
        <v>0</v>
      </c>
      <c r="J221" t="str">
        <f t="shared" si="80"/>
        <v xml:space="preserve"> 0</v>
      </c>
    </row>
    <row r="222" spans="1:10">
      <c r="A222"/>
      <c r="B222" t="s">
        <v>1281</v>
      </c>
      <c r="C222">
        <f t="array" ref="C222">D222:F222</f>
        <v>22362.388009800001</v>
      </c>
      <c r="D222" s="29">
        <v>22362.388009800001</v>
      </c>
      <c r="E222" s="29"/>
      <c r="F222" s="29"/>
    </row>
    <row r="223" spans="1:10">
      <c r="A223"/>
      <c r="B223" t="s">
        <v>1316</v>
      </c>
      <c r="C223">
        <f t="array" ref="C223">D223:F223</f>
        <v>163612.82689900001</v>
      </c>
      <c r="D223" s="29">
        <v>163612.82689900001</v>
      </c>
      <c r="E223" s="29"/>
      <c r="F223" s="29"/>
    </row>
    <row r="224" spans="1:10">
      <c r="A224" t="s">
        <v>2297</v>
      </c>
      <c r="B224" t="s">
        <v>1279</v>
      </c>
      <c r="C224">
        <f t="array" ref="C224">D224:F224</f>
        <v>248.1366471</v>
      </c>
      <c r="D224" s="29">
        <v>248.1366471</v>
      </c>
      <c r="E224" s="29">
        <v>24.79974</v>
      </c>
      <c r="F224" s="29">
        <v>247.9974</v>
      </c>
      <c r="G224" t="str">
        <f t="shared" ref="G224:G225" si="81">MID(A224,FIND("*/",A224)+3,FIND(":",A224)-3 -FIND("*/",A224))</f>
        <v>H2OSEAL_1CLN_Q</v>
      </c>
      <c r="H224" t="str">
        <f t="shared" ref="H224:H225" si="82">MID(A224,FIND("(",A224)+1,50)</f>
        <v>247.9974, 24.79974);</v>
      </c>
      <c r="I224" t="str">
        <f t="shared" ref="I224:I225" si="83">MID(H224,1,FIND(",",H224)-1)</f>
        <v>247.9974</v>
      </c>
      <c r="J224" t="str">
        <f t="shared" ref="J224:J225" si="84">MID(H224,FIND(",",H224)+1,LEN(H224)-FIND(",",H224)-2)</f>
        <v xml:space="preserve"> 24.79974</v>
      </c>
    </row>
    <row r="225" spans="1:10">
      <c r="A225" t="s">
        <v>2298</v>
      </c>
      <c r="B225" t="s">
        <v>1273</v>
      </c>
      <c r="C225">
        <f t="array" ref="C225">D225:F225</f>
        <v>157.71617739999999</v>
      </c>
      <c r="D225" s="29">
        <v>157.71617739999999</v>
      </c>
      <c r="E225" s="29">
        <v>15.76599</v>
      </c>
      <c r="F225" s="29">
        <v>157.65989999999999</v>
      </c>
      <c r="G225" t="str">
        <f t="shared" si="81"/>
        <v>H2OSEAL_DI30_Q</v>
      </c>
      <c r="H225" t="str">
        <f t="shared" si="82"/>
        <v>157.6599, 15.76599);</v>
      </c>
      <c r="I225" t="str">
        <f t="shared" si="83"/>
        <v>157.6599</v>
      </c>
      <c r="J225" t="str">
        <f t="shared" si="84"/>
        <v xml:space="preserve"> 15.76599</v>
      </c>
    </row>
    <row r="226" spans="1:10">
      <c r="A226"/>
      <c r="B226" t="s">
        <v>1391</v>
      </c>
      <c r="C226">
        <f t="array" ref="C226">D226:F226</f>
        <v>1878.1868692</v>
      </c>
      <c r="D226" s="29">
        <v>1878.1868692</v>
      </c>
      <c r="E226" s="29"/>
      <c r="F226" s="29"/>
    </row>
    <row r="227" spans="1:10">
      <c r="A227" t="s">
        <v>2299</v>
      </c>
      <c r="B227" t="s">
        <v>1268</v>
      </c>
      <c r="C227">
        <f t="array" ref="C227">D227:F227</f>
        <v>253.91860819999999</v>
      </c>
      <c r="D227" s="29">
        <v>253.91860819999999</v>
      </c>
      <c r="E227" s="29">
        <v>25.377279999999999</v>
      </c>
      <c r="F227" s="29">
        <v>253.77279999999999</v>
      </c>
      <c r="G227" t="str">
        <f t="shared" ref="G227:G228" si="85">MID(A227,FIND("*/",A227)+3,FIND(":",A227)-3 -FIND("*/",A227))</f>
        <v>H2OSEAL_REM_1_Q</v>
      </c>
      <c r="H227" t="str">
        <f t="shared" ref="H227:H228" si="86">MID(A227,FIND("(",A227)+1,50)</f>
        <v>253.7728, 25.37728);</v>
      </c>
      <c r="I227" t="str">
        <f t="shared" ref="I227:I228" si="87">MID(H227,1,FIND(",",H227)-1)</f>
        <v>253.7728</v>
      </c>
      <c r="J227" t="str">
        <f t="shared" ref="J227:J228" si="88">MID(H227,FIND(",",H227)+1,LEN(H227)-FIND(",",H227)-2)</f>
        <v xml:space="preserve"> 25.37728</v>
      </c>
    </row>
    <row r="228" spans="1:10">
      <c r="A228" t="s">
        <v>2300</v>
      </c>
      <c r="B228" t="s">
        <v>1269</v>
      </c>
      <c r="C228">
        <f t="array" ref="C228">D228:F228</f>
        <v>463.89691010000001</v>
      </c>
      <c r="D228" s="29">
        <v>463.89691010000001</v>
      </c>
      <c r="E228" s="29">
        <v>46.341070000000002</v>
      </c>
      <c r="F228" s="29">
        <v>463.41070000000002</v>
      </c>
      <c r="G228" t="str">
        <f t="shared" si="85"/>
        <v>H2OSEAL_REM_2_Q</v>
      </c>
      <c r="H228" t="str">
        <f t="shared" si="86"/>
        <v>463.4107, 46.34107);</v>
      </c>
      <c r="I228" t="str">
        <f t="shared" si="87"/>
        <v>463.4107</v>
      </c>
      <c r="J228" t="str">
        <f t="shared" si="88"/>
        <v xml:space="preserve"> 46.34107</v>
      </c>
    </row>
    <row r="229" spans="1:10">
      <c r="A229"/>
      <c r="B229" t="s">
        <v>1357</v>
      </c>
      <c r="C229">
        <f t="array" ref="C229">D229:F229</f>
        <v>142367.82906700001</v>
      </c>
      <c r="D229" s="29">
        <v>142367.82906700001</v>
      </c>
      <c r="E229" s="29"/>
      <c r="F229" s="29"/>
    </row>
    <row r="230" spans="1:10">
      <c r="A230"/>
      <c r="B230" t="s">
        <v>1285</v>
      </c>
      <c r="C230">
        <f t="array" ref="C230">D230:F230</f>
        <v>1.8898700000000001E-2</v>
      </c>
      <c r="D230" s="29">
        <v>1.8898700000000001E-2</v>
      </c>
      <c r="E230" s="29"/>
      <c r="F230" s="29"/>
    </row>
    <row r="231" spans="1:10">
      <c r="A231"/>
      <c r="B231" t="s">
        <v>1284</v>
      </c>
      <c r="C231">
        <f t="array" ref="C231">D231:F231</f>
        <v>58620.139808699998</v>
      </c>
      <c r="D231" s="29">
        <v>58620.139808699998</v>
      </c>
      <c r="E231" s="29"/>
      <c r="F231" s="29"/>
    </row>
    <row r="232" spans="1:10">
      <c r="A232"/>
      <c r="B232" t="s">
        <v>1288</v>
      </c>
      <c r="C232">
        <f t="array" ref="C232">D232:F232</f>
        <v>1.6232734</v>
      </c>
      <c r="D232" s="29">
        <v>1.6232734</v>
      </c>
      <c r="E232" s="29"/>
      <c r="F232" s="29"/>
    </row>
    <row r="233" spans="1:10">
      <c r="A233" t="s">
        <v>2301</v>
      </c>
      <c r="B233" t="s">
        <v>1305</v>
      </c>
      <c r="C233">
        <f t="array" ref="C233">D233:F233</f>
        <v>0.37064399999999997</v>
      </c>
      <c r="D233" s="29">
        <v>0.37064399999999997</v>
      </c>
      <c r="E233" s="29">
        <v>1.9820000000000001E-2</v>
      </c>
      <c r="F233" s="29">
        <v>0.39639999999999997</v>
      </c>
      <c r="G233" t="str">
        <f t="shared" ref="G233:G265" si="89">MID(A233,FIND("*/",A233)+3,FIND(":",A233)-3 -FIND("*/",A233))</f>
        <v>PIPELINE_CLOSE_CF</v>
      </c>
      <c r="H233" t="str">
        <f t="shared" ref="H233:H265" si="90">MID(A233,FIND("(",A233)+1,50)</f>
        <v>.3964, .01982);</v>
      </c>
      <c r="I233" t="str">
        <f t="shared" ref="I233:I265" si="91">MID(H233,1,FIND(",",H233)-1)</f>
        <v>.3964</v>
      </c>
      <c r="J233" t="str">
        <f t="shared" ref="J233:J265" si="92">MID(H233,FIND(",",H233)+1,LEN(H233)-FIND(",",H233)-2)</f>
        <v xml:space="preserve"> .01982</v>
      </c>
    </row>
    <row r="234" spans="1:10">
      <c r="A234" t="s">
        <v>2302</v>
      </c>
      <c r="B234" t="s">
        <v>1304</v>
      </c>
      <c r="C234">
        <f t="array" ref="C234">D234:F234</f>
        <v>700</v>
      </c>
      <c r="D234" s="29">
        <v>700</v>
      </c>
      <c r="E234" s="29">
        <v>0</v>
      </c>
      <c r="F234" s="29">
        <v>700</v>
      </c>
      <c r="G234" t="str">
        <f t="shared" si="89"/>
        <v>PIPELINE_CLOSE_Q</v>
      </c>
      <c r="H234" t="str">
        <f t="shared" si="90"/>
        <v>700, 0);</v>
      </c>
      <c r="I234" t="str">
        <f t="shared" si="91"/>
        <v>700</v>
      </c>
      <c r="J234" t="str">
        <f t="shared" si="92"/>
        <v xml:space="preserve"> 0</v>
      </c>
    </row>
    <row r="235" spans="1:10">
      <c r="A235" t="s">
        <v>2303</v>
      </c>
      <c r="B235" t="s">
        <v>1310</v>
      </c>
      <c r="C235">
        <f t="array" ref="C235">D235:F235</f>
        <v>0.45308670000000001</v>
      </c>
      <c r="D235" s="29">
        <v>0.45308670000000001</v>
      </c>
      <c r="E235" s="29">
        <v>4.793E-2</v>
      </c>
      <c r="F235" s="29">
        <v>0.4793</v>
      </c>
      <c r="G235" t="str">
        <f t="shared" si="89"/>
        <v>PIPELINE_CLOSE_WF</v>
      </c>
      <c r="H235" t="str">
        <f t="shared" si="90"/>
        <v>.4793, .04793);</v>
      </c>
      <c r="I235" t="str">
        <f t="shared" si="91"/>
        <v>.4793</v>
      </c>
      <c r="J235" t="str">
        <f t="shared" si="92"/>
        <v xml:space="preserve"> .04793</v>
      </c>
    </row>
    <row r="236" spans="1:10">
      <c r="A236" t="s">
        <v>2304</v>
      </c>
      <c r="B236" t="s">
        <v>1309</v>
      </c>
      <c r="C236">
        <f t="array" ref="C236">D236:F236</f>
        <v>0.36297600000000002</v>
      </c>
      <c r="D236" s="29">
        <v>0.36297600000000002</v>
      </c>
      <c r="E236" s="29">
        <v>0</v>
      </c>
      <c r="F236" s="29">
        <v>0.36297600000000002</v>
      </c>
      <c r="G236" t="str">
        <f t="shared" si="89"/>
        <v>PIPELINE_OPEN_CF</v>
      </c>
      <c r="H236" t="str">
        <f t="shared" si="90"/>
        <v>.362976, 0);</v>
      </c>
      <c r="I236" t="str">
        <f t="shared" si="91"/>
        <v>.362976</v>
      </c>
      <c r="J236" t="str">
        <f t="shared" si="92"/>
        <v xml:space="preserve"> 0</v>
      </c>
    </row>
    <row r="237" spans="1:10">
      <c r="A237" t="s">
        <v>2305</v>
      </c>
      <c r="B237" t="s">
        <v>1308</v>
      </c>
      <c r="C237">
        <f t="array" ref="C237">D237:F237</f>
        <v>700</v>
      </c>
      <c r="D237" s="29">
        <v>700</v>
      </c>
      <c r="E237" s="29">
        <v>0</v>
      </c>
      <c r="F237" s="29">
        <v>700</v>
      </c>
      <c r="G237" t="str">
        <f t="shared" si="89"/>
        <v>PIPELINE_OPEN_Q</v>
      </c>
      <c r="H237" t="str">
        <f t="shared" si="90"/>
        <v>700, 0);</v>
      </c>
      <c r="I237" t="str">
        <f t="shared" si="91"/>
        <v>700</v>
      </c>
      <c r="J237" t="str">
        <f t="shared" si="92"/>
        <v xml:space="preserve"> 0</v>
      </c>
    </row>
    <row r="238" spans="1:10">
      <c r="A238" t="s">
        <v>2306</v>
      </c>
      <c r="B238" t="s">
        <v>1312</v>
      </c>
      <c r="C238">
        <f t="array" ref="C238">D238:F238</f>
        <v>0.4538432</v>
      </c>
      <c r="D238" s="29">
        <v>0.4538432</v>
      </c>
      <c r="E238" s="29">
        <v>0</v>
      </c>
      <c r="F238" s="29">
        <v>0.4538432</v>
      </c>
      <c r="G238" t="str">
        <f t="shared" si="89"/>
        <v>PIPELINE_OPEN_WF</v>
      </c>
      <c r="H238" t="str">
        <f t="shared" si="90"/>
        <v>.4538432, 0);</v>
      </c>
      <c r="I238" t="str">
        <f t="shared" si="91"/>
        <v>.4538432</v>
      </c>
      <c r="J238" t="str">
        <f t="shared" si="92"/>
        <v xml:space="preserve"> 0</v>
      </c>
    </row>
    <row r="239" spans="1:10">
      <c r="A239" t="s">
        <v>2307</v>
      </c>
      <c r="B239" t="s">
        <v>1307</v>
      </c>
      <c r="C239">
        <f t="array" ref="C239">D239:F239</f>
        <v>0.37064399999999997</v>
      </c>
      <c r="D239" s="29">
        <v>0.37064399999999997</v>
      </c>
      <c r="E239" s="29">
        <v>3.9640000000000002E-2</v>
      </c>
      <c r="F239" s="29">
        <v>0.39639999999999997</v>
      </c>
      <c r="G239" t="str">
        <f t="shared" si="89"/>
        <v>PIPE_TKCLC_CF</v>
      </c>
      <c r="H239" t="str">
        <f t="shared" si="90"/>
        <v>.3964, .03964);</v>
      </c>
      <c r="I239" t="str">
        <f t="shared" si="91"/>
        <v>.3964</v>
      </c>
      <c r="J239" t="str">
        <f t="shared" si="92"/>
        <v xml:space="preserve"> .03964</v>
      </c>
    </row>
    <row r="240" spans="1:10">
      <c r="A240" t="s">
        <v>2308</v>
      </c>
      <c r="B240" t="s">
        <v>1306</v>
      </c>
      <c r="C240">
        <f t="array" ref="C240">D240:F240</f>
        <v>1771.3037405</v>
      </c>
      <c r="D240" s="29">
        <v>1771.3037405</v>
      </c>
      <c r="E240" s="29">
        <v>88.077349999999996</v>
      </c>
      <c r="F240" s="29">
        <v>1761.547</v>
      </c>
      <c r="G240" t="str">
        <f t="shared" si="89"/>
        <v>PIPE_TKCLC_Q</v>
      </c>
      <c r="H240" t="str">
        <f t="shared" si="90"/>
        <v>1761.547, 88.07735);</v>
      </c>
      <c r="I240" t="str">
        <f t="shared" si="91"/>
        <v>1761.547</v>
      </c>
      <c r="J240" t="str">
        <f t="shared" si="92"/>
        <v xml:space="preserve"> 88.07735</v>
      </c>
    </row>
    <row r="241" spans="1:10">
      <c r="A241" t="s">
        <v>2309</v>
      </c>
      <c r="B241" t="s">
        <v>1311</v>
      </c>
      <c r="C241">
        <f t="array" ref="C241">D241:F241</f>
        <v>0.45308670000000001</v>
      </c>
      <c r="D241" s="29">
        <v>0.45308670000000001</v>
      </c>
      <c r="E241" s="29">
        <v>0.10126</v>
      </c>
      <c r="F241" s="29">
        <v>0.50629999999999997</v>
      </c>
      <c r="G241" t="str">
        <f t="shared" si="89"/>
        <v>PIPE_TKCLC_WF</v>
      </c>
      <c r="H241" t="str">
        <f t="shared" si="90"/>
        <v>.5063, .10126);</v>
      </c>
      <c r="I241" t="str">
        <f t="shared" si="91"/>
        <v>.5063</v>
      </c>
      <c r="J241" t="str">
        <f t="shared" si="92"/>
        <v xml:space="preserve"> .10126</v>
      </c>
    </row>
    <row r="242" spans="1:10">
      <c r="A242" t="s">
        <v>2310</v>
      </c>
      <c r="B242" t="s">
        <v>1315</v>
      </c>
      <c r="C242">
        <f t="array" ref="C242">D242:F242</f>
        <v>0</v>
      </c>
      <c r="D242" s="29">
        <v>0</v>
      </c>
      <c r="E242" s="29">
        <v>0</v>
      </c>
      <c r="F242" s="29">
        <v>0</v>
      </c>
      <c r="G242" t="str">
        <f t="shared" si="89"/>
        <v>PLANTA_RO_FEED_Q</v>
      </c>
      <c r="H242" t="str">
        <f t="shared" si="90"/>
        <v>0, 0);</v>
      </c>
      <c r="I242" t="str">
        <f t="shared" si="91"/>
        <v>0</v>
      </c>
      <c r="J242" t="str">
        <f t="shared" si="92"/>
        <v xml:space="preserve"> 0</v>
      </c>
    </row>
    <row r="243" spans="1:10">
      <c r="A243" t="s">
        <v>2311</v>
      </c>
      <c r="B243" t="s">
        <v>1360</v>
      </c>
      <c r="C243">
        <f t="array" ref="C243">D243:F243</f>
        <v>25980.465189499999</v>
      </c>
      <c r="D243" s="29">
        <v>25980.465189499999</v>
      </c>
      <c r="E243" s="29">
        <v>2684.9409999999998</v>
      </c>
      <c r="F243" s="29">
        <v>26849.41</v>
      </c>
      <c r="G243" t="str">
        <f t="shared" si="89"/>
        <v>POND_RECVR_Q</v>
      </c>
      <c r="H243" t="str">
        <f t="shared" si="90"/>
        <v>26849.41, 2684.941);</v>
      </c>
      <c r="I243" t="str">
        <f t="shared" si="91"/>
        <v>26849.41</v>
      </c>
      <c r="J243" t="str">
        <f t="shared" si="92"/>
        <v xml:space="preserve"> 2684.941</v>
      </c>
    </row>
    <row r="244" spans="1:10">
      <c r="A244" t="s">
        <v>2312</v>
      </c>
      <c r="B244" t="s">
        <v>1278</v>
      </c>
      <c r="C244">
        <f t="array" ref="C244">D244:F244</f>
        <v>0</v>
      </c>
      <c r="D244" s="29">
        <v>0</v>
      </c>
      <c r="E244" s="29">
        <v>0</v>
      </c>
      <c r="F244" s="29">
        <v>0</v>
      </c>
      <c r="G244" t="str">
        <f t="shared" si="89"/>
        <v>POOL_2CLNCONC_Q</v>
      </c>
      <c r="H244" t="str">
        <f t="shared" si="90"/>
        <v>0, 0);</v>
      </c>
      <c r="I244" t="str">
        <f t="shared" si="91"/>
        <v>0</v>
      </c>
      <c r="J244" t="str">
        <f t="shared" si="92"/>
        <v xml:space="preserve"> 0</v>
      </c>
    </row>
    <row r="245" spans="1:10">
      <c r="A245" t="s">
        <v>2313</v>
      </c>
      <c r="B245" t="s">
        <v>1274</v>
      </c>
      <c r="C245">
        <f t="array" ref="C245">D245:F245</f>
        <v>5148.3941000000004</v>
      </c>
      <c r="D245" s="29">
        <v>5148.3941000000004</v>
      </c>
      <c r="E245" s="29">
        <v>513.34780000000001</v>
      </c>
      <c r="F245" s="29">
        <v>5133.4780000000001</v>
      </c>
      <c r="G245" t="str">
        <f t="shared" si="89"/>
        <v>POOL_2CLN_Q</v>
      </c>
      <c r="H245" t="str">
        <f t="shared" si="90"/>
        <v>5133.478, 513.3478);</v>
      </c>
      <c r="I245" t="str">
        <f t="shared" si="91"/>
        <v>5133.478</v>
      </c>
      <c r="J245" t="str">
        <f t="shared" si="92"/>
        <v xml:space="preserve"> 513.3478</v>
      </c>
    </row>
    <row r="246" spans="1:10">
      <c r="A246" t="s">
        <v>2314</v>
      </c>
      <c r="B246" t="s">
        <v>1295</v>
      </c>
      <c r="C246">
        <f t="array" ref="C246">D246:F246</f>
        <v>0</v>
      </c>
      <c r="D246" s="29">
        <v>0</v>
      </c>
      <c r="E246" s="29">
        <v>0</v>
      </c>
      <c r="F246" s="29">
        <v>0</v>
      </c>
      <c r="G246" t="str">
        <f t="shared" si="89"/>
        <v>POOL_BC1SUMP_Q</v>
      </c>
      <c r="H246" t="str">
        <f t="shared" si="90"/>
        <v>0, 0);</v>
      </c>
      <c r="I246" t="str">
        <f t="shared" si="91"/>
        <v>0</v>
      </c>
      <c r="J246" t="str">
        <f t="shared" si="92"/>
        <v xml:space="preserve"> 0</v>
      </c>
    </row>
    <row r="247" spans="1:10">
      <c r="A247" t="s">
        <v>2315</v>
      </c>
      <c r="B247" t="s">
        <v>1290</v>
      </c>
      <c r="C247">
        <f t="array" ref="C247">D247:F247</f>
        <v>0</v>
      </c>
      <c r="D247" s="29">
        <v>0</v>
      </c>
      <c r="E247" s="29">
        <v>0</v>
      </c>
      <c r="F247" s="29">
        <v>0</v>
      </c>
      <c r="G247" t="str">
        <f t="shared" si="89"/>
        <v>POOL_BC2SUMP_Q</v>
      </c>
      <c r="H247" t="str">
        <f t="shared" si="90"/>
        <v>0, 0);</v>
      </c>
      <c r="I247" t="str">
        <f t="shared" si="91"/>
        <v>0</v>
      </c>
      <c r="J247" t="str">
        <f t="shared" si="92"/>
        <v xml:space="preserve"> 0</v>
      </c>
    </row>
    <row r="248" spans="1:10">
      <c r="A248" t="s">
        <v>2316</v>
      </c>
      <c r="B248" t="s">
        <v>1291</v>
      </c>
      <c r="C248">
        <f t="array" ref="C248">D248:F248</f>
        <v>0</v>
      </c>
      <c r="D248" s="29">
        <v>0</v>
      </c>
      <c r="E248" s="29">
        <v>0</v>
      </c>
      <c r="F248" s="29">
        <v>0</v>
      </c>
      <c r="G248" t="str">
        <f t="shared" si="89"/>
        <v>POOL_BC3SUMP_Q</v>
      </c>
      <c r="H248" t="str">
        <f t="shared" si="90"/>
        <v>0, 0);</v>
      </c>
      <c r="I248" t="str">
        <f t="shared" si="91"/>
        <v>0</v>
      </c>
      <c r="J248" t="str">
        <f t="shared" si="92"/>
        <v xml:space="preserve"> 0</v>
      </c>
    </row>
    <row r="249" spans="1:10">
      <c r="A249" t="s">
        <v>2317</v>
      </c>
      <c r="B249" t="s">
        <v>1277</v>
      </c>
      <c r="C249">
        <f t="array" ref="C249">D249:F249</f>
        <v>2481.5068986000001</v>
      </c>
      <c r="D249" s="29">
        <v>2481.5068986000001</v>
      </c>
      <c r="E249" s="29">
        <v>240</v>
      </c>
      <c r="F249" s="29">
        <v>2400</v>
      </c>
      <c r="G249" t="str">
        <f t="shared" si="89"/>
        <v>POOL_DI30_Q</v>
      </c>
      <c r="H249" t="str">
        <f t="shared" si="90"/>
        <v>2400, 240);</v>
      </c>
      <c r="I249" t="str">
        <f t="shared" si="91"/>
        <v>2400</v>
      </c>
      <c r="J249" t="str">
        <f t="shared" si="92"/>
        <v xml:space="preserve"> 240</v>
      </c>
    </row>
    <row r="250" spans="1:10">
      <c r="A250" t="s">
        <v>2318</v>
      </c>
      <c r="B250" t="s">
        <v>1302</v>
      </c>
      <c r="C250">
        <f t="array" ref="C250">D250:F250</f>
        <v>18162.221668499998</v>
      </c>
      <c r="D250" s="29">
        <v>18162.221668499998</v>
      </c>
      <c r="E250" s="29">
        <v>1811.922</v>
      </c>
      <c r="F250" s="29">
        <v>18119.22</v>
      </c>
      <c r="G250" t="str">
        <f t="shared" si="89"/>
        <v>POOL_M1_Q</v>
      </c>
      <c r="H250" t="str">
        <f t="shared" si="90"/>
        <v>18119.22, 1811.922);</v>
      </c>
      <c r="I250" t="str">
        <f t="shared" si="91"/>
        <v>18119.22</v>
      </c>
      <c r="J250" t="str">
        <f t="shared" si="92"/>
        <v xml:space="preserve"> 1811.922</v>
      </c>
    </row>
    <row r="251" spans="1:10">
      <c r="A251" t="s">
        <v>2319</v>
      </c>
      <c r="B251" t="s">
        <v>1292</v>
      </c>
      <c r="C251">
        <f t="array" ref="C251">D251:F251</f>
        <v>14651.8309589</v>
      </c>
      <c r="D251" s="29">
        <v>14651.8309589</v>
      </c>
      <c r="E251" s="29">
        <v>1462.3820000000001</v>
      </c>
      <c r="F251" s="29">
        <v>14623.82</v>
      </c>
      <c r="G251" t="str">
        <f t="shared" si="89"/>
        <v>POOL_MB1_Q</v>
      </c>
      <c r="H251" t="str">
        <f t="shared" si="90"/>
        <v>14623.82, 1462.382);</v>
      </c>
      <c r="I251" t="str">
        <f t="shared" si="91"/>
        <v>14623.82</v>
      </c>
      <c r="J251" t="str">
        <f t="shared" si="92"/>
        <v xml:space="preserve"> 1462.382</v>
      </c>
    </row>
    <row r="252" spans="1:10">
      <c r="A252" t="s">
        <v>2320</v>
      </c>
      <c r="B252" t="s">
        <v>1298</v>
      </c>
      <c r="C252">
        <f t="array" ref="C252">D252:F252</f>
        <v>28906.403634499999</v>
      </c>
      <c r="D252" s="29">
        <v>28906.403634499999</v>
      </c>
      <c r="E252" s="29">
        <v>2879.7779999999998</v>
      </c>
      <c r="F252" s="29">
        <v>28797.78</v>
      </c>
      <c r="G252" t="str">
        <f t="shared" si="89"/>
        <v>POOL_MB2_Q</v>
      </c>
      <c r="H252" t="str">
        <f t="shared" si="90"/>
        <v>28797.78, 2879.778);</v>
      </c>
      <c r="I252" t="str">
        <f t="shared" si="91"/>
        <v>28797.78</v>
      </c>
      <c r="J252" t="str">
        <f t="shared" si="92"/>
        <v xml:space="preserve"> 2879.778</v>
      </c>
    </row>
    <row r="253" spans="1:10">
      <c r="A253" t="s">
        <v>2321</v>
      </c>
      <c r="B253" t="s">
        <v>1301</v>
      </c>
      <c r="C253">
        <f t="array" ref="C253">D253:F253</f>
        <v>29976.9257865</v>
      </c>
      <c r="D253" s="29">
        <v>29976.9257865</v>
      </c>
      <c r="E253" s="29">
        <v>2986.0140000000001</v>
      </c>
      <c r="F253" s="29">
        <v>29860.14</v>
      </c>
      <c r="G253" t="str">
        <f t="shared" si="89"/>
        <v>POOL_MB3_Q</v>
      </c>
      <c r="H253" t="str">
        <f t="shared" si="90"/>
        <v>29860.14, 2986.014);</v>
      </c>
      <c r="I253" t="str">
        <f t="shared" si="91"/>
        <v>29860.14</v>
      </c>
      <c r="J253" t="str">
        <f t="shared" si="92"/>
        <v xml:space="preserve"> 2986.014</v>
      </c>
    </row>
    <row r="254" spans="1:10">
      <c r="A254" t="s">
        <v>2322</v>
      </c>
      <c r="B254" t="s">
        <v>1303</v>
      </c>
      <c r="C254">
        <f t="array" ref="C254">D254:F254</f>
        <v>62787.163178199997</v>
      </c>
      <c r="D254" s="29">
        <v>62787.163178199997</v>
      </c>
      <c r="E254" s="29">
        <v>4800</v>
      </c>
      <c r="F254" s="29">
        <v>48000</v>
      </c>
      <c r="G254" t="str">
        <f t="shared" si="89"/>
        <v>POOL_MIXER_Q</v>
      </c>
      <c r="H254" t="str">
        <f t="shared" si="90"/>
        <v>48000, 4800);</v>
      </c>
      <c r="I254" t="str">
        <f t="shared" si="91"/>
        <v>48000</v>
      </c>
      <c r="J254" t="str">
        <f t="shared" si="92"/>
        <v xml:space="preserve"> 4800</v>
      </c>
    </row>
    <row r="255" spans="1:10">
      <c r="A255" t="s">
        <v>2323</v>
      </c>
      <c r="B255" t="s">
        <v>1270</v>
      </c>
      <c r="C255">
        <f t="array" ref="C255">D255:F255</f>
        <v>605.09418119999998</v>
      </c>
      <c r="D255" s="29">
        <v>605.09418119999998</v>
      </c>
      <c r="E255" s="29">
        <v>60</v>
      </c>
      <c r="F255" s="29">
        <v>600</v>
      </c>
      <c r="G255" t="str">
        <f t="shared" si="89"/>
        <v>POOL_REM_1_Q</v>
      </c>
      <c r="H255" t="str">
        <f t="shared" si="90"/>
        <v>600, 60);</v>
      </c>
      <c r="I255" t="str">
        <f t="shared" si="91"/>
        <v>600</v>
      </c>
      <c r="J255" t="str">
        <f t="shared" si="92"/>
        <v xml:space="preserve"> 60</v>
      </c>
    </row>
    <row r="256" spans="1:10">
      <c r="A256" t="s">
        <v>2324</v>
      </c>
      <c r="B256" t="s">
        <v>1275</v>
      </c>
      <c r="C256">
        <f t="array" ref="C256">D256:F256</f>
        <v>0</v>
      </c>
      <c r="D256" s="29">
        <v>0</v>
      </c>
      <c r="E256" s="29">
        <v>0</v>
      </c>
      <c r="F256" s="29">
        <v>0</v>
      </c>
      <c r="G256" t="str">
        <f t="shared" si="89"/>
        <v>POOL_REM_2_Q</v>
      </c>
      <c r="H256" t="str">
        <f t="shared" si="90"/>
        <v>0, 0);</v>
      </c>
      <c r="I256" t="str">
        <f t="shared" si="91"/>
        <v>0</v>
      </c>
      <c r="J256" t="str">
        <f t="shared" si="92"/>
        <v xml:space="preserve"> 0</v>
      </c>
    </row>
    <row r="257" spans="1:10">
      <c r="A257" t="s">
        <v>2325</v>
      </c>
      <c r="B257" t="s">
        <v>1293</v>
      </c>
      <c r="C257">
        <f t="array" ref="C257">D257:F257</f>
        <v>893.28649280000002</v>
      </c>
      <c r="D257" s="29">
        <v>893.28649280000002</v>
      </c>
      <c r="E257" s="29">
        <v>89.318200000000004</v>
      </c>
      <c r="F257" s="29">
        <v>893.18200000000002</v>
      </c>
      <c r="G257" t="str">
        <f t="shared" si="89"/>
        <v>POOL_SAG_Q</v>
      </c>
      <c r="H257" t="str">
        <f t="shared" si="90"/>
        <v>893.182, 89.3182);</v>
      </c>
      <c r="I257" t="str">
        <f t="shared" si="91"/>
        <v>893.182</v>
      </c>
      <c r="J257" t="str">
        <f t="shared" si="92"/>
        <v xml:space="preserve"> 89.3182</v>
      </c>
    </row>
    <row r="258" spans="1:10">
      <c r="A258" t="s">
        <v>2326</v>
      </c>
      <c r="B258" t="s">
        <v>1280</v>
      </c>
      <c r="C258">
        <f t="array" ref="C258">D258:F258</f>
        <v>0</v>
      </c>
      <c r="D258" s="29">
        <v>0</v>
      </c>
      <c r="E258" s="29">
        <v>0</v>
      </c>
      <c r="F258" s="29">
        <v>0</v>
      </c>
      <c r="G258" t="str">
        <f t="shared" si="89"/>
        <v>POOL_TK42_Q</v>
      </c>
      <c r="H258" t="str">
        <f t="shared" si="90"/>
        <v>0, 0);</v>
      </c>
      <c r="I258" t="str">
        <f t="shared" si="91"/>
        <v>0</v>
      </c>
      <c r="J258" t="str">
        <f t="shared" si="92"/>
        <v xml:space="preserve"> 0</v>
      </c>
    </row>
    <row r="259" spans="1:10">
      <c r="A259" t="s">
        <v>2327</v>
      </c>
      <c r="B259" t="s">
        <v>1276</v>
      </c>
      <c r="C259">
        <f t="array" ref="C259">D259:F259</f>
        <v>0</v>
      </c>
      <c r="D259" s="29">
        <v>0</v>
      </c>
      <c r="E259" s="29">
        <v>0</v>
      </c>
      <c r="F259" s="29">
        <v>0</v>
      </c>
      <c r="G259" t="str">
        <f t="shared" si="89"/>
        <v>POOL_TK91_Q</v>
      </c>
      <c r="H259" t="str">
        <f t="shared" si="90"/>
        <v>0, 0);</v>
      </c>
      <c r="I259" t="str">
        <f t="shared" si="91"/>
        <v>0</v>
      </c>
      <c r="J259" t="str">
        <f t="shared" si="92"/>
        <v xml:space="preserve"> 0</v>
      </c>
    </row>
    <row r="260" spans="1:10">
      <c r="A260" t="s">
        <v>2328</v>
      </c>
      <c r="B260" t="s">
        <v>1202</v>
      </c>
      <c r="C260">
        <f t="array" ref="C260">D260:F260</f>
        <v>0.39082990000000001</v>
      </c>
      <c r="D260" s="29">
        <v>0.39082990000000001</v>
      </c>
      <c r="E260" s="29">
        <v>0</v>
      </c>
      <c r="F260" s="29">
        <v>0</v>
      </c>
      <c r="G260" t="str">
        <f t="shared" si="89"/>
        <v>PP51_DI101_Q</v>
      </c>
      <c r="H260" t="str">
        <f t="shared" si="90"/>
        <v>0, 0);</v>
      </c>
      <c r="I260" t="str">
        <f t="shared" si="91"/>
        <v>0</v>
      </c>
      <c r="J260" t="str">
        <f t="shared" si="92"/>
        <v xml:space="preserve"> 0</v>
      </c>
    </row>
    <row r="261" spans="1:10">
      <c r="A261" t="s">
        <v>2329</v>
      </c>
      <c r="B261" t="s">
        <v>1201</v>
      </c>
      <c r="C261">
        <f t="array" ref="C261">D261:F261</f>
        <v>0</v>
      </c>
      <c r="D261" s="29">
        <v>0</v>
      </c>
      <c r="E261" s="29">
        <v>0</v>
      </c>
      <c r="F261" s="29">
        <v>0</v>
      </c>
      <c r="G261" t="str">
        <f t="shared" si="89"/>
        <v>PP51_DI104_Q</v>
      </c>
      <c r="H261" t="str">
        <f t="shared" si="90"/>
        <v>0, 0);</v>
      </c>
      <c r="I261" t="str">
        <f t="shared" si="91"/>
        <v>0</v>
      </c>
      <c r="J261" t="str">
        <f t="shared" si="92"/>
        <v xml:space="preserve"> 0</v>
      </c>
    </row>
    <row r="262" spans="1:10">
      <c r="A262" t="s">
        <v>2330</v>
      </c>
      <c r="B262" t="s">
        <v>1211</v>
      </c>
      <c r="C262">
        <f t="array" ref="C262">D262:F262</f>
        <v>361.39702899999997</v>
      </c>
      <c r="D262" s="29">
        <v>361.39702899999997</v>
      </c>
      <c r="E262" s="29">
        <v>0</v>
      </c>
      <c r="F262" s="29">
        <v>0</v>
      </c>
      <c r="G262" t="str">
        <f t="shared" si="89"/>
        <v>PP52_DI101_Q</v>
      </c>
      <c r="H262" t="str">
        <f t="shared" si="90"/>
        <v>0, 0);</v>
      </c>
      <c r="I262" t="str">
        <f t="shared" si="91"/>
        <v>0</v>
      </c>
      <c r="J262" t="str">
        <f t="shared" si="92"/>
        <v xml:space="preserve"> 0</v>
      </c>
    </row>
    <row r="263" spans="1:10">
      <c r="A263" t="s">
        <v>2331</v>
      </c>
      <c r="B263" t="s">
        <v>1230</v>
      </c>
      <c r="C263">
        <f t="array" ref="C263">D263:F263</f>
        <v>0.39082990000000001</v>
      </c>
      <c r="D263" s="29">
        <v>0.39082990000000001</v>
      </c>
      <c r="E263" s="29">
        <v>0</v>
      </c>
      <c r="F263" s="29">
        <v>0.41959999999999997</v>
      </c>
      <c r="G263" t="str">
        <f t="shared" si="89"/>
        <v>PP52_DI101_WF</v>
      </c>
      <c r="H263" t="str">
        <f t="shared" si="90"/>
        <v>.4196, 0);</v>
      </c>
      <c r="I263" t="str">
        <f t="shared" si="91"/>
        <v>.4196</v>
      </c>
      <c r="J263" t="str">
        <f t="shared" si="92"/>
        <v xml:space="preserve"> 0</v>
      </c>
    </row>
    <row r="264" spans="1:10">
      <c r="A264" t="s">
        <v>2332</v>
      </c>
      <c r="B264" t="s">
        <v>1229</v>
      </c>
      <c r="C264">
        <f t="array" ref="C264">D264:F264</f>
        <v>0</v>
      </c>
      <c r="D264" s="29">
        <v>0</v>
      </c>
      <c r="E264" s="29">
        <v>118.54192500000001</v>
      </c>
      <c r="F264" s="29">
        <v>474.16770000000002</v>
      </c>
      <c r="G264" t="str">
        <f t="shared" si="89"/>
        <v>PP52_DI104_Q</v>
      </c>
      <c r="H264" t="str">
        <f t="shared" si="90"/>
        <v>474.1677, 118.541925);</v>
      </c>
      <c r="I264" t="str">
        <f t="shared" si="91"/>
        <v>474.1677</v>
      </c>
      <c r="J264" t="str">
        <f t="shared" si="92"/>
        <v xml:space="preserve"> 118.541925</v>
      </c>
    </row>
    <row r="265" spans="1:10">
      <c r="A265" t="s">
        <v>2333</v>
      </c>
      <c r="B265" t="s">
        <v>1235</v>
      </c>
      <c r="C265">
        <f t="array" ref="C265">D265:F265</f>
        <v>361.39702899999997</v>
      </c>
      <c r="D265" s="29">
        <v>361.39702899999997</v>
      </c>
      <c r="E265" s="29">
        <v>4.6039999999999998E-2</v>
      </c>
      <c r="F265" s="29">
        <v>0.46039999999999998</v>
      </c>
      <c r="G265" t="str">
        <f t="shared" si="89"/>
        <v>PP52_DI104_WF</v>
      </c>
      <c r="H265" t="str">
        <f t="shared" si="90"/>
        <v>.4604, .04604);</v>
      </c>
      <c r="I265" t="str">
        <f t="shared" si="91"/>
        <v>.4604</v>
      </c>
      <c r="J265" t="str">
        <f t="shared" si="92"/>
        <v xml:space="preserve"> .04604</v>
      </c>
    </row>
    <row r="266" spans="1:10">
      <c r="A266"/>
      <c r="B266" t="s">
        <v>1206</v>
      </c>
      <c r="C266">
        <f t="array" ref="C266">D266:F266</f>
        <v>0.39082990000000001</v>
      </c>
      <c r="D266" s="29">
        <v>0.39082990000000001</v>
      </c>
      <c r="E266" s="29"/>
      <c r="F266" s="29"/>
    </row>
    <row r="267" spans="1:10">
      <c r="A267" t="s">
        <v>2334</v>
      </c>
      <c r="B267" t="s">
        <v>1205</v>
      </c>
      <c r="C267">
        <f t="array" ref="C267">D267:F267</f>
        <v>0</v>
      </c>
      <c r="D267" s="29">
        <v>0</v>
      </c>
      <c r="E267" s="29">
        <v>0</v>
      </c>
      <c r="F267" s="29">
        <v>0</v>
      </c>
      <c r="G267" t="str">
        <f t="shared" ref="G267:G268" si="93">MID(A267,FIND("*/",A267)+3,FIND(":",A267)-3 -FIND("*/",A267))</f>
        <v>PP53_DI101_Q</v>
      </c>
      <c r="H267" t="str">
        <f t="shared" ref="H267:H268" si="94">MID(A267,FIND("(",A267)+1,50)</f>
        <v>0, 0);</v>
      </c>
      <c r="I267" t="str">
        <f t="shared" ref="I267:I268" si="95">MID(H267,1,FIND(",",H267)-1)</f>
        <v>0</v>
      </c>
      <c r="J267" t="str">
        <f t="shared" ref="J267:J268" si="96">MID(H267,FIND(",",H267)+1,LEN(H267)-FIND(",",H267)-2)</f>
        <v xml:space="preserve"> 0</v>
      </c>
    </row>
    <row r="268" spans="1:10">
      <c r="A268" t="s">
        <v>2335</v>
      </c>
      <c r="B268" t="s">
        <v>1208</v>
      </c>
      <c r="C268">
        <f t="array" ref="C268">D268:F268</f>
        <v>0.41959999999999997</v>
      </c>
      <c r="D268" s="29">
        <v>0.41959999999999997</v>
      </c>
      <c r="E268" s="29">
        <v>0</v>
      </c>
      <c r="F268" s="29">
        <v>0.43959999999999999</v>
      </c>
      <c r="G268" t="str">
        <f t="shared" si="93"/>
        <v>PP53_DI101_WF</v>
      </c>
      <c r="H268" t="str">
        <f t="shared" si="94"/>
        <v>.4396, 0);</v>
      </c>
      <c r="I268" t="str">
        <f t="shared" si="95"/>
        <v>.4396</v>
      </c>
      <c r="J268" t="str">
        <f t="shared" si="96"/>
        <v xml:space="preserve"> 0</v>
      </c>
    </row>
    <row r="269" spans="1:10">
      <c r="A269"/>
      <c r="B269" t="s">
        <v>1232</v>
      </c>
      <c r="C269">
        <f t="array" ref="C269">D269:F269</f>
        <v>0.39082990000000001</v>
      </c>
      <c r="D269" s="29">
        <v>0.39082990000000001</v>
      </c>
      <c r="E269" s="29"/>
      <c r="F269" s="29"/>
    </row>
    <row r="270" spans="1:10">
      <c r="A270" t="s">
        <v>2336</v>
      </c>
      <c r="B270" t="s">
        <v>1231</v>
      </c>
      <c r="C270">
        <f t="array" ref="C270">D270:F270</f>
        <v>415.59363000000002</v>
      </c>
      <c r="D270" s="29">
        <v>415.59363000000002</v>
      </c>
      <c r="E270" s="29">
        <v>435.24225000000001</v>
      </c>
      <c r="F270" s="29">
        <v>1740.9690000000001</v>
      </c>
      <c r="G270" t="str">
        <f t="shared" ref="G270:G271" si="97">MID(A270,FIND("*/",A270)+3,FIND(":",A270)-3 -FIND("*/",A270))</f>
        <v>PP53_DI104_Q</v>
      </c>
      <c r="H270" t="str">
        <f t="shared" ref="H270:H271" si="98">MID(A270,FIND("(",A270)+1,50)</f>
        <v>1740.969, 435.24225);</v>
      </c>
      <c r="I270" t="str">
        <f t="shared" ref="I270:I271" si="99">MID(H270,1,FIND(",",H270)-1)</f>
        <v>1740.969</v>
      </c>
      <c r="J270" t="str">
        <f t="shared" ref="J270:J271" si="100">MID(H270,FIND(",",H270)+1,LEN(H270)-FIND(",",H270)-2)</f>
        <v xml:space="preserve"> 435.24225</v>
      </c>
    </row>
    <row r="271" spans="1:10">
      <c r="A271" t="s">
        <v>2337</v>
      </c>
      <c r="B271" t="s">
        <v>1238</v>
      </c>
      <c r="C271">
        <f t="array" ref="C271">D271:F271</f>
        <v>0.41959999999999997</v>
      </c>
      <c r="D271" s="29">
        <v>0.41959999999999997</v>
      </c>
      <c r="E271" s="29">
        <v>4.2130000000000001E-2</v>
      </c>
      <c r="F271" s="29">
        <v>0.42130000000000001</v>
      </c>
      <c r="G271" t="str">
        <f t="shared" si="97"/>
        <v>PP53_DI104_WF</v>
      </c>
      <c r="H271" t="str">
        <f t="shared" si="98"/>
        <v>.4213, .04213);</v>
      </c>
      <c r="I271" t="str">
        <f t="shared" si="99"/>
        <v>.4213</v>
      </c>
      <c r="J271" t="str">
        <f t="shared" si="100"/>
        <v xml:space="preserve"> .04213</v>
      </c>
    </row>
    <row r="272" spans="1:10">
      <c r="A272"/>
      <c r="B272" t="s">
        <v>1204</v>
      </c>
      <c r="C272">
        <f t="array" ref="C272">D272:F272</f>
        <v>0.37421399999999999</v>
      </c>
      <c r="D272" s="29">
        <v>0.37421399999999999</v>
      </c>
      <c r="E272" s="29"/>
      <c r="F272" s="29"/>
    </row>
    <row r="273" spans="1:10">
      <c r="A273" t="s">
        <v>2338</v>
      </c>
      <c r="B273" t="s">
        <v>1203</v>
      </c>
      <c r="C273">
        <f t="array" ref="C273">D273:F273</f>
        <v>0</v>
      </c>
      <c r="D273" s="29">
        <v>0</v>
      </c>
      <c r="E273" s="29">
        <v>0</v>
      </c>
      <c r="F273" s="29">
        <v>0</v>
      </c>
      <c r="G273" t="str">
        <f t="shared" ref="G273:G274" si="101">MID(A273,FIND("*/",A273)+3,FIND(":",A273)-3 -FIND("*/",A273))</f>
        <v>PP54_DI101_Q</v>
      </c>
      <c r="H273" t="str">
        <f t="shared" ref="H273:H274" si="102">MID(A273,FIND("(",A273)+1,50)</f>
        <v>0, 0);</v>
      </c>
      <c r="I273" t="str">
        <f t="shared" ref="I273:I274" si="103">MID(H273,1,FIND(",",H273)-1)</f>
        <v>0</v>
      </c>
      <c r="J273" t="str">
        <f t="shared" ref="J273:J274" si="104">MID(H273,FIND(",",H273)+1,LEN(H273)-FIND(",",H273)-2)</f>
        <v xml:space="preserve"> 0</v>
      </c>
    </row>
    <row r="274" spans="1:10">
      <c r="A274" t="s">
        <v>2339</v>
      </c>
      <c r="B274" t="s">
        <v>1210</v>
      </c>
      <c r="C274">
        <f t="array" ref="C274">D274:F274</f>
        <v>0.43959999999999999</v>
      </c>
      <c r="D274" s="29">
        <v>0.43959999999999999</v>
      </c>
      <c r="E274" s="29">
        <v>0</v>
      </c>
      <c r="F274" s="29">
        <v>0.5202</v>
      </c>
      <c r="G274" t="str">
        <f t="shared" si="101"/>
        <v>PP54_DI101_WF</v>
      </c>
      <c r="H274" t="str">
        <f t="shared" si="102"/>
        <v>.5202, 0);</v>
      </c>
      <c r="I274" t="str">
        <f t="shared" si="103"/>
        <v>.5202</v>
      </c>
      <c r="J274" t="str">
        <f t="shared" si="104"/>
        <v xml:space="preserve"> 0</v>
      </c>
    </row>
    <row r="275" spans="1:10">
      <c r="A275"/>
      <c r="B275" t="s">
        <v>1228</v>
      </c>
      <c r="C275">
        <f t="array" ref="C275">D275:F275</f>
        <v>0.37421399999999999</v>
      </c>
      <c r="D275" s="29">
        <v>0.37421399999999999</v>
      </c>
      <c r="E275" s="29"/>
      <c r="F275" s="29"/>
    </row>
    <row r="276" spans="1:10">
      <c r="A276" t="s">
        <v>2340</v>
      </c>
      <c r="B276" t="s">
        <v>1227</v>
      </c>
      <c r="C276">
        <f t="array" ref="C276">D276:F276</f>
        <v>1544.1572060999999</v>
      </c>
      <c r="D276" s="29">
        <v>1544.1572060999999</v>
      </c>
      <c r="E276" s="29">
        <v>0</v>
      </c>
      <c r="F276" s="29">
        <v>0</v>
      </c>
      <c r="G276" t="str">
        <f t="shared" ref="G276:G277" si="105">MID(A276,FIND("*/",A276)+3,FIND(":",A276)-3 -FIND("*/",A276))</f>
        <v>PP54_DI104_Q</v>
      </c>
      <c r="H276" t="str">
        <f t="shared" ref="H276:H277" si="106">MID(A276,FIND("(",A276)+1,50)</f>
        <v>0, 0);</v>
      </c>
      <c r="I276" t="str">
        <f t="shared" ref="I276:I277" si="107">MID(H276,1,FIND(",",H276)-1)</f>
        <v>0</v>
      </c>
      <c r="J276" t="str">
        <f t="shared" ref="J276:J277" si="108">MID(H276,FIND(",",H276)+1,LEN(H276)-FIND(",",H276)-2)</f>
        <v xml:space="preserve"> 0</v>
      </c>
    </row>
    <row r="277" spans="1:10">
      <c r="A277" t="s">
        <v>2341</v>
      </c>
      <c r="B277" t="s">
        <v>1236</v>
      </c>
      <c r="C277">
        <f t="array" ref="C277">D277:F277</f>
        <v>0.43959999999999999</v>
      </c>
      <c r="D277" s="29">
        <v>0.43959999999999999</v>
      </c>
      <c r="E277" s="29">
        <v>0</v>
      </c>
      <c r="F277" s="29">
        <v>0.5202</v>
      </c>
      <c r="G277" t="str">
        <f t="shared" si="105"/>
        <v>PP54_DI104_WF</v>
      </c>
      <c r="H277" t="str">
        <f t="shared" si="106"/>
        <v>.5202, 0);</v>
      </c>
      <c r="I277" t="str">
        <f t="shared" si="107"/>
        <v>.5202</v>
      </c>
      <c r="J277" t="str">
        <f t="shared" si="108"/>
        <v xml:space="preserve"> 0</v>
      </c>
    </row>
    <row r="278" spans="1:10">
      <c r="A278"/>
      <c r="B278" t="s">
        <v>1200</v>
      </c>
      <c r="C278">
        <f t="array" ref="C278">D278:F278</f>
        <v>0.37421399999999999</v>
      </c>
      <c r="D278" s="29">
        <v>0.37421399999999999</v>
      </c>
      <c r="E278" s="29"/>
      <c r="F278" s="29"/>
    </row>
    <row r="279" spans="1:10">
      <c r="A279" t="s">
        <v>2342</v>
      </c>
      <c r="B279" t="s">
        <v>1199</v>
      </c>
      <c r="C279">
        <f t="array" ref="C279">D279:F279</f>
        <v>0</v>
      </c>
      <c r="D279" s="29">
        <v>0</v>
      </c>
      <c r="E279" s="29">
        <v>785.25900000000001</v>
      </c>
      <c r="F279" s="29">
        <v>15705.18</v>
      </c>
      <c r="G279" t="str">
        <f t="shared" ref="G279:G280" si="109">MID(A279,FIND("*/",A279)+3,FIND(":",A279)-3 -FIND("*/",A279))</f>
        <v>RIVERWATER_Q</v>
      </c>
      <c r="H279" t="str">
        <f t="shared" ref="H279:H280" si="110">MID(A279,FIND("(",A279)+1,50)</f>
        <v>15705.18, 785.259);</v>
      </c>
      <c r="I279" t="str">
        <f t="shared" ref="I279:I280" si="111">MID(H279,1,FIND(",",H279)-1)</f>
        <v>15705.18</v>
      </c>
      <c r="J279" t="str">
        <f t="shared" ref="J279:J280" si="112">MID(H279,FIND(",",H279)+1,LEN(H279)-FIND(",",H279)-2)</f>
        <v xml:space="preserve"> 785.259</v>
      </c>
    </row>
    <row r="280" spans="1:10">
      <c r="A280" t="s">
        <v>2343</v>
      </c>
      <c r="B280" t="s">
        <v>1209</v>
      </c>
      <c r="C280">
        <f t="array" ref="C280">D280:F280</f>
        <v>0.5202</v>
      </c>
      <c r="D280" s="29">
        <v>0.5202</v>
      </c>
      <c r="E280" s="29">
        <v>0</v>
      </c>
      <c r="F280" s="29">
        <v>1.8898700000000001E-2</v>
      </c>
      <c r="G280" t="str">
        <f t="shared" si="109"/>
        <v>ROUFEED_CF</v>
      </c>
      <c r="H280" t="str">
        <f t="shared" si="110"/>
        <v>.0188987, 0);</v>
      </c>
      <c r="I280" t="str">
        <f t="shared" si="111"/>
        <v>.0188987</v>
      </c>
      <c r="J280" t="str">
        <f t="shared" si="112"/>
        <v xml:space="preserve"> 0</v>
      </c>
    </row>
    <row r="281" spans="1:10">
      <c r="A281"/>
      <c r="B281" t="s">
        <v>1234</v>
      </c>
      <c r="C281">
        <f t="array" ref="C281">D281:F281</f>
        <v>0.37421399999999999</v>
      </c>
      <c r="D281" s="29">
        <v>0.37421399999999999</v>
      </c>
      <c r="E281" s="29"/>
      <c r="F281" s="29"/>
    </row>
    <row r="282" spans="1:10">
      <c r="A282"/>
      <c r="B282" t="s">
        <v>1233</v>
      </c>
      <c r="C282">
        <f t="array" ref="C282">D282:F282</f>
        <v>0</v>
      </c>
      <c r="D282" s="29">
        <v>0</v>
      </c>
      <c r="E282" s="29"/>
      <c r="F282" s="29"/>
    </row>
    <row r="283" spans="1:10">
      <c r="A283"/>
      <c r="B283" t="s">
        <v>1237</v>
      </c>
      <c r="C283">
        <f t="array" ref="C283">D283:F283</f>
        <v>0.5202</v>
      </c>
      <c r="D283" s="29">
        <v>0.5202</v>
      </c>
      <c r="E283" s="29"/>
      <c r="F283" s="29"/>
    </row>
    <row r="284" spans="1:10">
      <c r="A284"/>
      <c r="B284" t="s">
        <v>1283</v>
      </c>
      <c r="C284">
        <f t="array" ref="C284">D284:F284</f>
        <v>15630.852667700001</v>
      </c>
      <c r="D284" s="29">
        <v>15630.852667700001</v>
      </c>
      <c r="E284" s="29"/>
      <c r="F284" s="29"/>
    </row>
    <row r="285" spans="1:10">
      <c r="A285" t="s">
        <v>2344</v>
      </c>
      <c r="B285" t="s">
        <v>1267</v>
      </c>
      <c r="C285">
        <f t="array" ref="C285">D285:F285</f>
        <v>1.8898700000000001E-2</v>
      </c>
      <c r="D285" s="29">
        <v>1.8898700000000001E-2</v>
      </c>
      <c r="E285" s="29">
        <v>5.2991999999999997E-2</v>
      </c>
      <c r="F285" s="29">
        <v>2.6496</v>
      </c>
      <c r="G285" t="str">
        <f t="shared" ref="G285" si="113">MID(A285,FIND("*/",A285)+3,FIND(":",A285)-3 -FIND("*/",A285))</f>
        <v>ROUFEED_WF</v>
      </c>
      <c r="H285" t="str">
        <f t="shared" ref="H285" si="114">MID(A285,FIND("(",A285)+1,50)</f>
        <v>2.6496, .052992);</v>
      </c>
      <c r="I285" t="str">
        <f t="shared" ref="I285" si="115">MID(H285,1,FIND(",",H285)-1)</f>
        <v>2.6496</v>
      </c>
      <c r="J285" t="str">
        <f t="shared" ref="J285" si="116">MID(H285,FIND(",",H285)+1,LEN(H285)-FIND(",",H285)-2)</f>
        <v xml:space="preserve"> .052992</v>
      </c>
    </row>
    <row r="286" spans="1:10">
      <c r="A286"/>
      <c r="B286" t="s">
        <v>1266</v>
      </c>
      <c r="C286">
        <f t="array" ref="C286">D286:F286</f>
        <v>58620.139808699998</v>
      </c>
      <c r="D286" s="29">
        <v>58620.139808699998</v>
      </c>
      <c r="E286" s="29"/>
      <c r="F286" s="29"/>
    </row>
    <row r="287" spans="1:10">
      <c r="A287"/>
      <c r="B287" t="s">
        <v>1272</v>
      </c>
      <c r="C287">
        <f t="array" ref="C287">D287:F287</f>
        <v>2.6943586000000002</v>
      </c>
      <c r="D287" s="29">
        <v>2.6943586000000002</v>
      </c>
      <c r="E287" s="29"/>
      <c r="F287" s="29"/>
    </row>
    <row r="288" spans="1:10">
      <c r="A288"/>
      <c r="B288" t="s">
        <v>1313</v>
      </c>
      <c r="C288">
        <f t="array" ref="C288">D288:F288</f>
        <v>0</v>
      </c>
      <c r="D288" s="29">
        <v>0</v>
      </c>
      <c r="E288" s="29"/>
      <c r="F288" s="29"/>
    </row>
    <row r="289" spans="1:10">
      <c r="A289" t="s">
        <v>2345</v>
      </c>
      <c r="B289" t="s">
        <v>1314</v>
      </c>
      <c r="C289">
        <f t="array" ref="C289">D289:F289</f>
        <v>0</v>
      </c>
      <c r="D289" s="29">
        <v>0</v>
      </c>
      <c r="E289" s="29">
        <v>0</v>
      </c>
      <c r="F289" s="29">
        <v>0</v>
      </c>
      <c r="G289" t="str">
        <f t="shared" ref="G289" si="117">MID(A289,FIND("*/",A289)+3,FIND(":",A289)-3 -FIND("*/",A289))</f>
        <v>RO_TANK_Q</v>
      </c>
      <c r="H289" t="str">
        <f t="shared" ref="H289" si="118">MID(A289,FIND("(",A289)+1,50)</f>
        <v>0, 0);</v>
      </c>
      <c r="I289" t="str">
        <f t="shared" ref="I289" si="119">MID(H289,1,FIND(",",H289)-1)</f>
        <v>0</v>
      </c>
      <c r="J289" t="str">
        <f t="shared" ref="J289" si="120">MID(H289,FIND(",",H289)+1,LEN(H289)-FIND(",",H289)-2)</f>
        <v xml:space="preserve"> 0</v>
      </c>
    </row>
    <row r="290" spans="1:10">
      <c r="A290"/>
      <c r="B290" t="s">
        <v>1365</v>
      </c>
      <c r="C290">
        <f t="array" ref="C290">D290:F290</f>
        <v>2.8589000000000002E-3</v>
      </c>
      <c r="D290" s="29">
        <v>2.8589000000000002E-3</v>
      </c>
      <c r="E290" s="29"/>
      <c r="F290" s="29"/>
    </row>
    <row r="291" spans="1:10">
      <c r="A291"/>
      <c r="B291" t="s">
        <v>1364</v>
      </c>
      <c r="C291">
        <f t="array" ref="C291">D291:F291</f>
        <v>55695.306931400002</v>
      </c>
      <c r="D291" s="29">
        <v>55695.306931400002</v>
      </c>
      <c r="E291" s="29"/>
      <c r="F291" s="29"/>
    </row>
    <row r="292" spans="1:10">
      <c r="A292"/>
      <c r="B292" t="s">
        <v>1366</v>
      </c>
      <c r="C292">
        <f t="array" ref="C292">D292:F292</f>
        <v>0.90393939999999995</v>
      </c>
      <c r="D292" s="29">
        <v>0.90393939999999995</v>
      </c>
      <c r="E292" s="29"/>
      <c r="F292" s="29"/>
    </row>
    <row r="293" spans="1:10">
      <c r="A293" t="s">
        <v>2346</v>
      </c>
      <c r="B293" t="s">
        <v>1261</v>
      </c>
      <c r="C293">
        <f t="array" ref="C293">D293:F293</f>
        <v>3.0994999999999998E-3</v>
      </c>
      <c r="D293" s="29">
        <v>3.0994999999999998E-3</v>
      </c>
      <c r="E293" s="29">
        <v>0</v>
      </c>
      <c r="F293" s="29">
        <v>3.0994999999999998E-3</v>
      </c>
      <c r="G293" t="str">
        <f t="shared" ref="G293" si="121">MID(A293,FIND("*/",A293)+3,FIND(":",A293)-3 -FIND("*/",A293))</f>
        <v>TAILS_CF</v>
      </c>
      <c r="H293" t="str">
        <f t="shared" ref="H293" si="122">MID(A293,FIND("(",A293)+1,50)</f>
        <v>.0030995, 0);</v>
      </c>
      <c r="I293" t="str">
        <f t="shared" ref="I293" si="123">MID(H293,1,FIND(",",H293)-1)</f>
        <v>.0030995</v>
      </c>
      <c r="J293" t="str">
        <f t="shared" ref="J293" si="124">MID(H293,FIND(",",H293)+1,LEN(H293)-FIND(",",H293)-2)</f>
        <v xml:space="preserve"> 0</v>
      </c>
    </row>
    <row r="294" spans="1:10">
      <c r="A294"/>
      <c r="B294" t="s">
        <v>1260</v>
      </c>
      <c r="C294">
        <f t="array" ref="C294">D294:F294</f>
        <v>56115.602257600003</v>
      </c>
      <c r="D294" s="29">
        <v>56115.602257600003</v>
      </c>
      <c r="E294" s="29"/>
      <c r="F294" s="29"/>
    </row>
    <row r="295" spans="1:10">
      <c r="A295" t="s">
        <v>2347</v>
      </c>
      <c r="B295" t="s">
        <v>1265</v>
      </c>
      <c r="C295">
        <f t="array" ref="C295">D295:F295</f>
        <v>2.8654912000000001</v>
      </c>
      <c r="D295" s="29">
        <v>2.8654912000000001</v>
      </c>
      <c r="E295" s="29">
        <v>5.7520000000000002E-2</v>
      </c>
      <c r="F295" s="29">
        <v>2.8759999999999999</v>
      </c>
      <c r="G295" t="str">
        <f t="shared" ref="G295" si="125">MID(A295,FIND("*/",A295)+3,FIND(":",A295)-3 -FIND("*/",A295))</f>
        <v>TAILS_WF</v>
      </c>
      <c r="H295" t="str">
        <f t="shared" ref="H295" si="126">MID(A295,FIND("(",A295)+1,50)</f>
        <v>2.876, .05752);</v>
      </c>
      <c r="I295" t="str">
        <f t="shared" ref="I295" si="127">MID(H295,1,FIND(",",H295)-1)</f>
        <v>2.876</v>
      </c>
      <c r="J295" t="str">
        <f t="shared" ref="J295" si="128">MID(H295,FIND(",",H295)+1,LEN(H295)-FIND(",",H295)-2)</f>
        <v xml:space="preserve"> .05752</v>
      </c>
    </row>
    <row r="296" spans="1:10">
      <c r="A296"/>
      <c r="B296" t="s">
        <v>1318</v>
      </c>
      <c r="C296">
        <f t="array" ref="C296">D296:F296</f>
        <v>2.6627E-3</v>
      </c>
      <c r="D296" s="29">
        <v>2.6627E-3</v>
      </c>
      <c r="E296" s="29"/>
      <c r="F296" s="29"/>
    </row>
    <row r="297" spans="1:10">
      <c r="A297" t="s">
        <v>2348</v>
      </c>
      <c r="B297" t="s">
        <v>1317</v>
      </c>
      <c r="C297">
        <f t="array" ref="C297">D297:F297</f>
        <v>12305.298778099999</v>
      </c>
      <c r="D297" s="29">
        <v>12305.298778099999</v>
      </c>
      <c r="E297" s="29">
        <v>4431.6540000000005</v>
      </c>
      <c r="F297" s="29">
        <v>22158.27</v>
      </c>
      <c r="G297" t="str">
        <f t="shared" ref="G297" si="129">MID(A297,FIND("*/",A297)+3,FIND(":",A297)-3 -FIND("*/",A297))</f>
        <v>TAILTHK6_CLOSE_Q</v>
      </c>
      <c r="H297" t="str">
        <f t="shared" ref="H297" si="130">MID(A297,FIND("(",A297)+1,50)</f>
        <v>22158.27, 4431.654);</v>
      </c>
      <c r="I297" t="str">
        <f t="shared" ref="I297" si="131">MID(H297,1,FIND(",",H297)-1)</f>
        <v>22158.27</v>
      </c>
      <c r="J297" t="str">
        <f t="shared" ref="J297" si="132">MID(H297,FIND(",",H297)+1,LEN(H297)-FIND(",",H297)-2)</f>
        <v xml:space="preserve"> 4431.654</v>
      </c>
    </row>
    <row r="298" spans="1:10">
      <c r="A298"/>
      <c r="B298" t="s">
        <v>1325</v>
      </c>
      <c r="C298">
        <f t="array" ref="C298">D298:F298</f>
        <v>6.8918283000000002</v>
      </c>
      <c r="D298" s="29">
        <v>6.8918283000000002</v>
      </c>
      <c r="E298" s="29"/>
      <c r="F298" s="29"/>
    </row>
    <row r="299" spans="1:10">
      <c r="A299" t="s">
        <v>2349</v>
      </c>
      <c r="B299" t="s">
        <v>1322</v>
      </c>
      <c r="C299">
        <f t="array" ref="C299">D299:F299</f>
        <v>2.4786999999999999E-3</v>
      </c>
      <c r="D299" s="29">
        <v>2.4786999999999999E-3</v>
      </c>
      <c r="E299" s="29">
        <v>0</v>
      </c>
      <c r="F299" s="29">
        <v>2.4786999999999999E-3</v>
      </c>
      <c r="G299" t="str">
        <f t="shared" ref="G299:G301" si="133">MID(A299,FIND("*/",A299)+3,FIND(":",A299)-3 -FIND("*/",A299))</f>
        <v>TAILTHK6_OPEN_CF</v>
      </c>
      <c r="H299" t="str">
        <f t="shared" ref="H299:H301" si="134">MID(A299,FIND("(",A299)+1,50)</f>
        <v>.0024787, 0);</v>
      </c>
      <c r="I299" t="str">
        <f t="shared" ref="I299:I301" si="135">MID(H299,1,FIND(",",H299)-1)</f>
        <v>.0024787</v>
      </c>
      <c r="J299" t="str">
        <f t="shared" ref="J299:J301" si="136">MID(H299,FIND(",",H299)+1,LEN(H299)-FIND(",",H299)-2)</f>
        <v xml:space="preserve"> 0</v>
      </c>
    </row>
    <row r="300" spans="1:10">
      <c r="A300" t="s">
        <v>2350</v>
      </c>
      <c r="B300" t="s">
        <v>1321</v>
      </c>
      <c r="C300">
        <f t="array" ref="C300">D300:F300</f>
        <v>15162.240998900001</v>
      </c>
      <c r="D300" s="29">
        <v>15162.240998900001</v>
      </c>
      <c r="E300" s="29">
        <v>0</v>
      </c>
      <c r="F300" s="29">
        <v>15162.240998900001</v>
      </c>
      <c r="G300" t="str">
        <f t="shared" si="133"/>
        <v>TAILTHK6_OPEN_Q</v>
      </c>
      <c r="H300" t="str">
        <f t="shared" si="134"/>
        <v>15162.2409989, 0);</v>
      </c>
      <c r="I300" t="str">
        <f t="shared" si="135"/>
        <v>15162.2409989</v>
      </c>
      <c r="J300" t="str">
        <f t="shared" si="136"/>
        <v xml:space="preserve"> 0</v>
      </c>
    </row>
    <row r="301" spans="1:10">
      <c r="A301" t="s">
        <v>2351</v>
      </c>
      <c r="B301" t="s">
        <v>1328</v>
      </c>
      <c r="C301">
        <f t="array" ref="C301">D301:F301</f>
        <v>5.5245560999999999</v>
      </c>
      <c r="D301" s="29">
        <v>5.5245560999999999</v>
      </c>
      <c r="E301" s="29">
        <v>0</v>
      </c>
      <c r="F301" s="29">
        <v>5.5245560999999999</v>
      </c>
      <c r="G301" t="str">
        <f t="shared" si="133"/>
        <v>TAILTHK6_OPEN_WF</v>
      </c>
      <c r="H301" t="str">
        <f t="shared" si="134"/>
        <v>5.5245561, 0);</v>
      </c>
      <c r="I301" t="str">
        <f t="shared" si="135"/>
        <v>5.5245561</v>
      </c>
      <c r="J301" t="str">
        <f t="shared" si="136"/>
        <v xml:space="preserve"> 0</v>
      </c>
    </row>
    <row r="302" spans="1:10">
      <c r="A302"/>
      <c r="B302" t="s">
        <v>1326</v>
      </c>
      <c r="C302">
        <f t="array" ref="C302">D302:F302</f>
        <v>8805.2223959999992</v>
      </c>
      <c r="D302" s="29">
        <v>8805.2223959999992</v>
      </c>
      <c r="E302" s="29"/>
      <c r="F302" s="29"/>
    </row>
    <row r="303" spans="1:10">
      <c r="A303" t="s">
        <v>2352</v>
      </c>
      <c r="B303" t="s">
        <v>1323</v>
      </c>
      <c r="C303">
        <f t="array" ref="C303">D303:F303</f>
        <v>89291.287670000005</v>
      </c>
      <c r="D303" s="29">
        <v>89291.287670000005</v>
      </c>
      <c r="E303" s="29">
        <v>0</v>
      </c>
      <c r="F303" s="29">
        <v>89291.287670000005</v>
      </c>
      <c r="G303" t="str">
        <f t="shared" ref="G303" si="137">MID(A303,FIND("*/",A303)+3,FIND(":",A303)-3 -FIND("*/",A303))</f>
        <v>TAILTHK6_TOTVOL_CLOSE_Q</v>
      </c>
      <c r="H303" t="str">
        <f t="shared" ref="H303" si="138">MID(A303,FIND("(",A303)+1,50)</f>
        <v>89291.28767, 0);</v>
      </c>
      <c r="I303" t="str">
        <f t="shared" ref="I303" si="139">MID(H303,1,FIND(",",H303)-1)</f>
        <v>89291.28767</v>
      </c>
      <c r="J303" t="str">
        <f t="shared" ref="J303" si="140">MID(H303,FIND(",",H303)+1,LEN(H303)-FIND(",",H303)-2)</f>
        <v xml:space="preserve"> 0</v>
      </c>
    </row>
    <row r="304" spans="1:10">
      <c r="A304"/>
      <c r="B304" t="s">
        <v>1324</v>
      </c>
      <c r="C304">
        <f t="array" ref="C304">D304:F304</f>
        <v>89291.287670000005</v>
      </c>
      <c r="D304" s="29">
        <v>89291.287670000005</v>
      </c>
      <c r="E304" s="29"/>
      <c r="F304" s="29"/>
    </row>
    <row r="305" spans="1:10">
      <c r="A305" t="s">
        <v>2353</v>
      </c>
      <c r="B305" t="s">
        <v>1320</v>
      </c>
      <c r="C305">
        <f t="array" ref="C305">D305:F305</f>
        <v>2.6627E-3</v>
      </c>
      <c r="D305" s="29">
        <v>2.6627E-3</v>
      </c>
      <c r="E305" s="29">
        <v>2178.6019999999999</v>
      </c>
      <c r="F305" s="29">
        <v>10893.01</v>
      </c>
      <c r="G305" t="str">
        <f t="shared" ref="G305" si="141">MID(A305,FIND("*/",A305)+3,FIND(":",A305)-3 -FIND("*/",A305))</f>
        <v>TAILTHK6_UNDERFLOW_Q</v>
      </c>
      <c r="H305" t="str">
        <f t="shared" ref="H305" si="142">MID(A305,FIND("(",A305)+1,50)</f>
        <v>10893.01, 2178.602);</v>
      </c>
      <c r="I305" t="str">
        <f t="shared" ref="I305" si="143">MID(H305,1,FIND(",",H305)-1)</f>
        <v>10893.01</v>
      </c>
      <c r="J305" t="str">
        <f t="shared" ref="J305" si="144">MID(H305,FIND(",",H305)+1,LEN(H305)-FIND(",",H305)-2)</f>
        <v xml:space="preserve"> 2178.602</v>
      </c>
    </row>
    <row r="306" spans="1:10">
      <c r="A306"/>
      <c r="B306" t="s">
        <v>1319</v>
      </c>
      <c r="C306">
        <f t="array" ref="C306">D306:F306</f>
        <v>9243.6314031999991</v>
      </c>
      <c r="D306" s="29">
        <v>9243.6314031999991</v>
      </c>
      <c r="E306" s="29"/>
      <c r="F306" s="29"/>
    </row>
    <row r="307" spans="1:10">
      <c r="A307" t="s">
        <v>2354</v>
      </c>
      <c r="B307" t="s">
        <v>1327</v>
      </c>
      <c r="C307">
        <f t="array" ref="C307">D307:F307</f>
        <v>0.91462149999999998</v>
      </c>
      <c r="D307" s="29">
        <v>0.91462149999999998</v>
      </c>
      <c r="E307" s="29">
        <v>0.17602000000000001</v>
      </c>
      <c r="F307" s="29">
        <v>0.88009999999999999</v>
      </c>
      <c r="G307" t="str">
        <f t="shared" ref="G307" si="145">MID(A307,FIND("*/",A307)+3,FIND(":",A307)-3 -FIND("*/",A307))</f>
        <v>TAILTHK6_UNDERFLOW_WF</v>
      </c>
      <c r="H307" t="str">
        <f t="shared" ref="H307" si="146">MID(A307,FIND("(",A307)+1,50)</f>
        <v>.8801, .17602);</v>
      </c>
      <c r="I307" t="str">
        <f t="shared" ref="I307" si="147">MID(H307,1,FIND(",",H307)-1)</f>
        <v>.8801</v>
      </c>
      <c r="J307" t="str">
        <f t="shared" ref="J307" si="148">MID(H307,FIND(",",H307)+1,LEN(H307)-FIND(",",H307)-2)</f>
        <v xml:space="preserve"> .17602</v>
      </c>
    </row>
    <row r="308" spans="1:10">
      <c r="A308"/>
      <c r="B308" t="s">
        <v>1330</v>
      </c>
      <c r="C308">
        <f t="array" ref="C308">D308:F308</f>
        <v>2.9175E-3</v>
      </c>
      <c r="D308" s="29">
        <v>2.9175E-3</v>
      </c>
      <c r="E308" s="29"/>
      <c r="F308" s="29"/>
    </row>
    <row r="309" spans="1:10">
      <c r="A309" t="s">
        <v>2355</v>
      </c>
      <c r="B309" t="s">
        <v>1329</v>
      </c>
      <c r="C309">
        <f t="array" ref="C309">D309:F309</f>
        <v>12131.0120971</v>
      </c>
      <c r="D309" s="29">
        <v>12131.0120971</v>
      </c>
      <c r="E309" s="29">
        <v>3157.098</v>
      </c>
      <c r="F309" s="29">
        <v>15785.49</v>
      </c>
      <c r="G309" t="str">
        <f t="shared" ref="G309" si="149">MID(A309,FIND("*/",A309)+3,FIND(":",A309)-3 -FIND("*/",A309))</f>
        <v>TAILTHK7_CLOSE_Q</v>
      </c>
      <c r="H309" t="str">
        <f t="shared" ref="H309" si="150">MID(A309,FIND("(",A309)+1,50)</f>
        <v>15785.49, 3157.098);</v>
      </c>
      <c r="I309" t="str">
        <f t="shared" ref="I309" si="151">MID(H309,1,FIND(",",H309)-1)</f>
        <v>15785.49</v>
      </c>
      <c r="J309" t="str">
        <f t="shared" ref="J309" si="152">MID(H309,FIND(",",H309)+1,LEN(H309)-FIND(",",H309)-2)</f>
        <v xml:space="preserve"> 3157.098</v>
      </c>
    </row>
    <row r="310" spans="1:10">
      <c r="A310"/>
      <c r="B310" t="s">
        <v>1337</v>
      </c>
      <c r="C310">
        <f t="array" ref="C310">D310:F310</f>
        <v>6.9960801999999997</v>
      </c>
      <c r="D310" s="29">
        <v>6.9960801999999997</v>
      </c>
      <c r="E310" s="29"/>
      <c r="F310" s="29"/>
    </row>
    <row r="311" spans="1:10">
      <c r="A311" t="s">
        <v>2356</v>
      </c>
      <c r="B311" t="s">
        <v>1334</v>
      </c>
      <c r="C311">
        <f t="array" ref="C311">D311:F311</f>
        <v>2.4872000000000002E-3</v>
      </c>
      <c r="D311" s="29">
        <v>2.4872000000000002E-3</v>
      </c>
      <c r="E311" s="29">
        <v>0</v>
      </c>
      <c r="F311" s="29">
        <v>2.4872000000000002E-3</v>
      </c>
      <c r="G311" t="str">
        <f t="shared" ref="G311:G313" si="153">MID(A311,FIND("*/",A311)+3,FIND(":",A311)-3 -FIND("*/",A311))</f>
        <v>TAILTHK7_OPEN_CF</v>
      </c>
      <c r="H311" t="str">
        <f t="shared" ref="H311:H313" si="154">MID(A311,FIND("(",A311)+1,50)</f>
        <v>.0024872, 0);</v>
      </c>
      <c r="I311" t="str">
        <f t="shared" ref="I311:I313" si="155">MID(H311,1,FIND(",",H311)-1)</f>
        <v>.0024872</v>
      </c>
      <c r="J311" t="str">
        <f t="shared" ref="J311:J313" si="156">MID(H311,FIND(",",H311)+1,LEN(H311)-FIND(",",H311)-2)</f>
        <v xml:space="preserve"> 0</v>
      </c>
    </row>
    <row r="312" spans="1:10">
      <c r="A312" t="s">
        <v>2357</v>
      </c>
      <c r="B312" t="s">
        <v>1333</v>
      </c>
      <c r="C312">
        <f t="array" ref="C312">D312:F312</f>
        <v>11711.9118354</v>
      </c>
      <c r="D312" s="29">
        <v>11711.9118354</v>
      </c>
      <c r="E312" s="29">
        <v>0</v>
      </c>
      <c r="F312" s="29">
        <v>11711.9118354</v>
      </c>
      <c r="G312" t="str">
        <f t="shared" si="153"/>
        <v>TAILTHK7_OPEN_Q</v>
      </c>
      <c r="H312" t="str">
        <f t="shared" si="154"/>
        <v>11711.9118354, 0);</v>
      </c>
      <c r="I312" t="str">
        <f t="shared" si="155"/>
        <v>11711.9118354</v>
      </c>
      <c r="J312" t="str">
        <f t="shared" si="156"/>
        <v xml:space="preserve"> 0</v>
      </c>
    </row>
    <row r="313" spans="1:10">
      <c r="A313" t="s">
        <v>2358</v>
      </c>
      <c r="B313" t="s">
        <v>1340</v>
      </c>
      <c r="C313">
        <f t="array" ref="C313">D313:F313</f>
        <v>7.2594719999999997</v>
      </c>
      <c r="D313" s="29">
        <v>7.2594719999999997</v>
      </c>
      <c r="E313" s="29">
        <v>0</v>
      </c>
      <c r="F313" s="29">
        <v>7.2594719999999997</v>
      </c>
      <c r="G313" t="str">
        <f t="shared" si="153"/>
        <v>TAILTHK7_OPEN_WF</v>
      </c>
      <c r="H313" t="str">
        <f t="shared" si="154"/>
        <v>7.259472, 0);</v>
      </c>
      <c r="I313" t="str">
        <f t="shared" si="155"/>
        <v>7.259472</v>
      </c>
      <c r="J313" t="str">
        <f t="shared" si="156"/>
        <v xml:space="preserve"> 0</v>
      </c>
    </row>
    <row r="314" spans="1:10">
      <c r="A314"/>
      <c r="B314" t="s">
        <v>1338</v>
      </c>
      <c r="C314">
        <f t="array" ref="C314">D314:F314</f>
        <v>58281.747225200001</v>
      </c>
      <c r="D314" s="29">
        <v>58281.747225200001</v>
      </c>
      <c r="E314" s="29"/>
      <c r="F314" s="29"/>
    </row>
    <row r="315" spans="1:10">
      <c r="A315" t="s">
        <v>2359</v>
      </c>
      <c r="B315" t="s">
        <v>1335</v>
      </c>
      <c r="C315">
        <f t="array" ref="C315">D315:F315</f>
        <v>89291.287670000005</v>
      </c>
      <c r="D315" s="29">
        <v>89291.287670000005</v>
      </c>
      <c r="E315" s="29">
        <v>0</v>
      </c>
      <c r="F315" s="29">
        <v>89291.287670000005</v>
      </c>
      <c r="G315" t="str">
        <f t="shared" ref="G315" si="157">MID(A315,FIND("*/",A315)+3,FIND(":",A315)-3 -FIND("*/",A315))</f>
        <v>TAILTHK7_TOTVOL_CLOSE_Q</v>
      </c>
      <c r="H315" t="str">
        <f t="shared" ref="H315" si="158">MID(A315,FIND("(",A315)+1,50)</f>
        <v>89291.28767, 0);</v>
      </c>
      <c r="I315" t="str">
        <f t="shared" ref="I315" si="159">MID(H315,1,FIND(",",H315)-1)</f>
        <v>89291.28767</v>
      </c>
      <c r="J315" t="str">
        <f t="shared" ref="J315" si="160">MID(H315,FIND(",",H315)+1,LEN(H315)-FIND(",",H315)-2)</f>
        <v xml:space="preserve"> 0</v>
      </c>
    </row>
    <row r="316" spans="1:10">
      <c r="A316"/>
      <c r="B316" t="s">
        <v>1336</v>
      </c>
      <c r="C316">
        <f t="array" ref="C316">D316:F316</f>
        <v>89291.287670000005</v>
      </c>
      <c r="D316" s="29">
        <v>89291.287670000005</v>
      </c>
      <c r="E316" s="29"/>
      <c r="F316" s="29"/>
    </row>
    <row r="317" spans="1:10">
      <c r="A317"/>
      <c r="B317" t="s">
        <v>1332</v>
      </c>
      <c r="C317">
        <f t="array" ref="C317">D317:F317</f>
        <v>2.9175E-3</v>
      </c>
      <c r="D317" s="29">
        <v>2.9175E-3</v>
      </c>
      <c r="E317" s="29"/>
      <c r="F317" s="29"/>
    </row>
    <row r="318" spans="1:10">
      <c r="A318" t="s">
        <v>2360</v>
      </c>
      <c r="B318" t="s">
        <v>1331</v>
      </c>
      <c r="C318">
        <f t="array" ref="C318">D318:F318</f>
        <v>27270.291529300001</v>
      </c>
      <c r="D318" s="29">
        <v>27270.291529300001</v>
      </c>
      <c r="E318" s="29">
        <v>10561.69</v>
      </c>
      <c r="F318" s="29">
        <v>52808.45</v>
      </c>
      <c r="G318" t="str">
        <f t="shared" ref="G318:G319" si="161">MID(A318,FIND("*/",A318)+3,FIND(":",A318)-3 -FIND("*/",A318))</f>
        <v>TAILTHK7_UNDERFLOW_Q</v>
      </c>
      <c r="H318" t="str">
        <f t="shared" ref="H318:H319" si="162">MID(A318,FIND("(",A318)+1,50)</f>
        <v>52808.45, 10561.69);</v>
      </c>
      <c r="I318" t="str">
        <f t="shared" ref="I318:I319" si="163">MID(H318,1,FIND(",",H318)-1)</f>
        <v>52808.45</v>
      </c>
      <c r="J318" t="str">
        <f t="shared" ref="J318:J319" si="164">MID(H318,FIND(",",H318)+1,LEN(H318)-FIND(",",H318)-2)</f>
        <v xml:space="preserve"> 10561.69</v>
      </c>
    </row>
    <row r="319" spans="1:10">
      <c r="A319" t="s">
        <v>2361</v>
      </c>
      <c r="B319" t="s">
        <v>1339</v>
      </c>
      <c r="C319">
        <f t="array" ref="C319">D319:F319</f>
        <v>0.77794269999999999</v>
      </c>
      <c r="D319" s="29">
        <v>0.77794269999999999</v>
      </c>
      <c r="E319" s="29">
        <v>0.14227999999999999</v>
      </c>
      <c r="F319" s="29">
        <v>0.71140000000000003</v>
      </c>
      <c r="G319" t="str">
        <f t="shared" si="161"/>
        <v>TAILTHK7_UNDERFLOW_WF</v>
      </c>
      <c r="H319" t="str">
        <f t="shared" si="162"/>
        <v>.7114, .14228);</v>
      </c>
      <c r="I319" t="str">
        <f t="shared" si="163"/>
        <v>.7114</v>
      </c>
      <c r="J319" t="str">
        <f t="shared" si="164"/>
        <v xml:space="preserve"> .14228</v>
      </c>
    </row>
    <row r="320" spans="1:10">
      <c r="A320"/>
      <c r="B320" t="s">
        <v>1342</v>
      </c>
      <c r="C320">
        <f t="array" ref="C320">D320:F320</f>
        <v>2.8701999999999998E-3</v>
      </c>
      <c r="D320" s="29">
        <v>2.8701999999999998E-3</v>
      </c>
      <c r="E320" s="29"/>
      <c r="F320" s="29"/>
    </row>
    <row r="321" spans="1:10">
      <c r="A321" t="s">
        <v>2362</v>
      </c>
      <c r="B321" t="s">
        <v>1341</v>
      </c>
      <c r="C321">
        <f t="array" ref="C321">D321:F321</f>
        <v>13626.386096300001</v>
      </c>
      <c r="D321" s="29">
        <v>13626.386096300001</v>
      </c>
      <c r="E321" s="29">
        <v>3370.056</v>
      </c>
      <c r="F321" s="29">
        <v>16850.28</v>
      </c>
      <c r="G321" t="str">
        <f t="shared" ref="G321" si="165">MID(A321,FIND("*/",A321)+3,FIND(":",A321)-3 -FIND("*/",A321))</f>
        <v>TAILTHK8_CLOSE_Q</v>
      </c>
      <c r="H321" t="str">
        <f t="shared" ref="H321" si="166">MID(A321,FIND("(",A321)+1,50)</f>
        <v>16850.28, 3370.056);</v>
      </c>
      <c r="I321" t="str">
        <f t="shared" ref="I321" si="167">MID(H321,1,FIND(",",H321)-1)</f>
        <v>16850.28</v>
      </c>
      <c r="J321" t="str">
        <f t="shared" ref="J321" si="168">MID(H321,FIND(",",H321)+1,LEN(H321)-FIND(",",H321)-2)</f>
        <v xml:space="preserve"> 3370.056</v>
      </c>
    </row>
    <row r="322" spans="1:10">
      <c r="A322"/>
      <c r="B322" t="s">
        <v>1349</v>
      </c>
      <c r="C322">
        <f t="array" ref="C322">D322:F322</f>
        <v>6.1883223999999997</v>
      </c>
      <c r="D322" s="29">
        <v>6.1883223999999997</v>
      </c>
      <c r="E322" s="29"/>
      <c r="F322" s="29"/>
    </row>
    <row r="323" spans="1:10">
      <c r="A323" t="s">
        <v>2363</v>
      </c>
      <c r="B323" t="s">
        <v>1346</v>
      </c>
      <c r="C323">
        <f t="array" ref="C323">D323:F323</f>
        <v>2.4009999999999999E-3</v>
      </c>
      <c r="D323" s="29">
        <v>2.4009999999999999E-3</v>
      </c>
      <c r="E323" s="29">
        <v>0</v>
      </c>
      <c r="F323" s="29">
        <v>2.4009999999999999E-3</v>
      </c>
      <c r="G323" t="str">
        <f t="shared" ref="G323:G325" si="169">MID(A323,FIND("*/",A323)+3,FIND(":",A323)-3 -FIND("*/",A323))</f>
        <v>TAILTHK8_OPEN_CF</v>
      </c>
      <c r="H323" t="str">
        <f t="shared" ref="H323:H325" si="170">MID(A323,FIND("(",A323)+1,50)</f>
        <v>.002401, 0);</v>
      </c>
      <c r="I323" t="str">
        <f t="shared" ref="I323:I325" si="171">MID(H323,1,FIND(",",H323)-1)</f>
        <v>.002401</v>
      </c>
      <c r="J323" t="str">
        <f t="shared" ref="J323:J325" si="172">MID(H323,FIND(",",H323)+1,LEN(H323)-FIND(",",H323)-2)</f>
        <v xml:space="preserve"> 0</v>
      </c>
    </row>
    <row r="324" spans="1:10">
      <c r="A324" t="s">
        <v>2364</v>
      </c>
      <c r="B324" t="s">
        <v>1345</v>
      </c>
      <c r="C324">
        <f t="array" ref="C324">D324:F324</f>
        <v>10768.248810999999</v>
      </c>
      <c r="D324" s="29">
        <v>10768.248810999999</v>
      </c>
      <c r="E324" s="29">
        <v>0</v>
      </c>
      <c r="F324" s="29">
        <v>10768.248810999999</v>
      </c>
      <c r="G324" t="str">
        <f t="shared" si="169"/>
        <v>TAILTHK8_OPEN_Q</v>
      </c>
      <c r="H324" t="str">
        <f t="shared" si="170"/>
        <v>10768.248811, 0);</v>
      </c>
      <c r="I324" t="str">
        <f t="shared" si="171"/>
        <v>10768.248811</v>
      </c>
      <c r="J324" t="str">
        <f t="shared" si="172"/>
        <v xml:space="preserve"> 0</v>
      </c>
    </row>
    <row r="325" spans="1:10">
      <c r="A325" t="s">
        <v>2365</v>
      </c>
      <c r="B325" t="s">
        <v>1352</v>
      </c>
      <c r="C325">
        <f t="array" ref="C325">D325:F325</f>
        <v>7.9275899000000001</v>
      </c>
      <c r="D325" s="29">
        <v>7.9275899000000001</v>
      </c>
      <c r="E325" s="29">
        <v>0</v>
      </c>
      <c r="F325" s="29">
        <v>7.9275899000000001</v>
      </c>
      <c r="G325" t="str">
        <f t="shared" si="169"/>
        <v>TAILTHK8_OPEN_WF</v>
      </c>
      <c r="H325" t="str">
        <f t="shared" si="170"/>
        <v>7.9275899, 0);</v>
      </c>
      <c r="I325" t="str">
        <f t="shared" si="171"/>
        <v>7.9275899</v>
      </c>
      <c r="J325" t="str">
        <f t="shared" si="172"/>
        <v xml:space="preserve"> 0</v>
      </c>
    </row>
    <row r="326" spans="1:10">
      <c r="A326"/>
      <c r="B326" t="s">
        <v>1350</v>
      </c>
      <c r="C326">
        <f t="array" ref="C326">D326:F326</f>
        <v>43519.808261300001</v>
      </c>
      <c r="D326" s="29">
        <v>43519.808261300001</v>
      </c>
      <c r="E326" s="29"/>
      <c r="F326" s="29"/>
    </row>
    <row r="327" spans="1:10">
      <c r="A327" t="s">
        <v>2366</v>
      </c>
      <c r="B327" t="s">
        <v>1347</v>
      </c>
      <c r="C327">
        <f t="array" ref="C327">D327:F327</f>
        <v>89291.287670000005</v>
      </c>
      <c r="D327" s="29">
        <v>89291.287670000005</v>
      </c>
      <c r="E327" s="29">
        <v>0</v>
      </c>
      <c r="F327" s="29">
        <v>89291.287670000005</v>
      </c>
      <c r="G327" t="str">
        <f t="shared" ref="G327" si="173">MID(A327,FIND("*/",A327)+3,FIND(":",A327)-3 -FIND("*/",A327))</f>
        <v>TAILTHK8_TOTVOL_CLOSE_Q</v>
      </c>
      <c r="H327" t="str">
        <f t="shared" ref="H327" si="174">MID(A327,FIND("(",A327)+1,50)</f>
        <v>89291.28767, 0);</v>
      </c>
      <c r="I327" t="str">
        <f t="shared" ref="I327" si="175">MID(H327,1,FIND(",",H327)-1)</f>
        <v>89291.28767</v>
      </c>
      <c r="J327" t="str">
        <f t="shared" ref="J327" si="176">MID(H327,FIND(",",H327)+1,LEN(H327)-FIND(",",H327)-2)</f>
        <v xml:space="preserve"> 0</v>
      </c>
    </row>
    <row r="328" spans="1:10">
      <c r="A328"/>
      <c r="B328" t="s">
        <v>1348</v>
      </c>
      <c r="C328">
        <f t="array" ref="C328">D328:F328</f>
        <v>89291.287670000005</v>
      </c>
      <c r="D328" s="29">
        <v>89291.287670000005</v>
      </c>
      <c r="E328" s="29"/>
      <c r="F328" s="29"/>
    </row>
    <row r="329" spans="1:10">
      <c r="A329" t="s">
        <v>2367</v>
      </c>
      <c r="B329" t="s">
        <v>1344</v>
      </c>
      <c r="C329">
        <f t="array" ref="C329">D329:F329</f>
        <v>2.8701999999999998E-3</v>
      </c>
      <c r="D329" s="29">
        <v>2.8701999999999998E-3</v>
      </c>
      <c r="E329" s="29">
        <v>4229.8819999999996</v>
      </c>
      <c r="F329" s="29">
        <v>21149.41</v>
      </c>
      <c r="G329" t="str">
        <f t="shared" ref="G329" si="177">MID(A329,FIND("*/",A329)+3,FIND(":",A329)-3 -FIND("*/",A329))</f>
        <v>TAILTHK8_UNDERFLOW_Q</v>
      </c>
      <c r="H329" t="str">
        <f t="shared" ref="H329" si="178">MID(A329,FIND("(",A329)+1,50)</f>
        <v>21149.41, 4229.882);</v>
      </c>
      <c r="I329" t="str">
        <f t="shared" ref="I329" si="179">MID(H329,1,FIND(",",H329)-1)</f>
        <v>21149.41</v>
      </c>
      <c r="J329" t="str">
        <f t="shared" ref="J329" si="180">MID(H329,FIND(",",H329)+1,LEN(H329)-FIND(",",H329)-2)</f>
        <v xml:space="preserve"> 4229.882</v>
      </c>
    </row>
    <row r="330" spans="1:10">
      <c r="A330"/>
      <c r="B330" t="s">
        <v>1343</v>
      </c>
      <c r="C330">
        <f t="array" ref="C330">D330:F330</f>
        <v>19181.383998900001</v>
      </c>
      <c r="D330" s="29">
        <v>19181.383998900001</v>
      </c>
      <c r="E330" s="29"/>
      <c r="F330" s="29"/>
    </row>
    <row r="331" spans="1:10">
      <c r="A331" t="s">
        <v>2368</v>
      </c>
      <c r="B331" t="s">
        <v>1351</v>
      </c>
      <c r="C331">
        <f t="array" ref="C331">D331:F331</f>
        <v>1.0779221000000001</v>
      </c>
      <c r="D331" s="29">
        <v>1.0779221000000001</v>
      </c>
      <c r="E331" s="29">
        <v>0.19753999999999999</v>
      </c>
      <c r="F331" s="29">
        <v>0.98770000000000002</v>
      </c>
      <c r="G331" t="str">
        <f t="shared" ref="G331" si="181">MID(A331,FIND("*/",A331)+3,FIND(":",A331)-3 -FIND("*/",A331))</f>
        <v>TAILTHK8_UNDERFLOW_WF</v>
      </c>
      <c r="H331" t="str">
        <f t="shared" ref="H331" si="182">MID(A331,FIND("(",A331)+1,50)</f>
        <v>.9877, .19754);</v>
      </c>
      <c r="I331" t="str">
        <f t="shared" ref="I331" si="183">MID(H331,1,FIND(",",H331)-1)</f>
        <v>.9877</v>
      </c>
      <c r="J331" t="str">
        <f t="shared" ref="J331" si="184">MID(H331,FIND(",",H331)+1,LEN(H331)-FIND(",",H331)-2)</f>
        <v xml:space="preserve"> .19754</v>
      </c>
    </row>
    <row r="332" spans="1:10">
      <c r="A332"/>
      <c r="B332" t="s">
        <v>1353</v>
      </c>
      <c r="C332">
        <f t="array" ref="C332">D332:F332</f>
        <v>110606.777883</v>
      </c>
      <c r="D332" s="29">
        <v>110606.777883</v>
      </c>
      <c r="E332" s="29"/>
      <c r="F332" s="29"/>
    </row>
    <row r="333" spans="1:10">
      <c r="A333" t="s">
        <v>2369</v>
      </c>
      <c r="B333" t="s">
        <v>1354</v>
      </c>
      <c r="C333">
        <f t="array" ref="C333">D333:F333</f>
        <v>54463.764163</v>
      </c>
      <c r="D333" s="29">
        <v>54463.764163</v>
      </c>
      <c r="E333" s="29">
        <v>1086.4297999999999</v>
      </c>
      <c r="F333" s="29">
        <v>54321.49</v>
      </c>
      <c r="G333" t="str">
        <f t="shared" ref="G333:G334" si="185">MID(A333,FIND("*/",A333)+3,FIND(":",A333)-3 -FIND("*/",A333))</f>
        <v>TANK_CLOSE_Q</v>
      </c>
      <c r="H333" t="str">
        <f t="shared" ref="H333:H334" si="186">MID(A333,FIND("(",A333)+1,50)</f>
        <v>54321.49, 1086.4298);</v>
      </c>
      <c r="I333" t="str">
        <f t="shared" ref="I333:I334" si="187">MID(H333,1,FIND(",",H333)-1)</f>
        <v>54321.49</v>
      </c>
      <c r="J333" t="str">
        <f t="shared" ref="J333:J334" si="188">MID(H333,FIND(",",H333)+1,LEN(H333)-FIND(",",H333)-2)</f>
        <v xml:space="preserve"> 1086.4298</v>
      </c>
    </row>
    <row r="334" spans="1:10">
      <c r="A334" t="s">
        <v>2370</v>
      </c>
      <c r="B334" t="s">
        <v>1356</v>
      </c>
      <c r="C334">
        <f t="array" ref="C334">D334:F334</f>
        <v>56675.082796800001</v>
      </c>
      <c r="D334" s="29">
        <v>56675.082796800001</v>
      </c>
      <c r="E334" s="29">
        <v>0</v>
      </c>
      <c r="F334" s="29">
        <v>56675.082796800001</v>
      </c>
      <c r="G334" t="str">
        <f t="shared" si="185"/>
        <v>TANK_OPEN_Q</v>
      </c>
      <c r="H334" t="str">
        <f t="shared" si="186"/>
        <v>56675.0827968, 0);</v>
      </c>
      <c r="I334" t="str">
        <f t="shared" si="187"/>
        <v>56675.0827968</v>
      </c>
      <c r="J334" t="str">
        <f t="shared" si="188"/>
        <v xml:space="preserve"> 0</v>
      </c>
    </row>
    <row r="335" spans="1:10">
      <c r="A335"/>
      <c r="B335" t="s">
        <v>1359</v>
      </c>
      <c r="C335">
        <f t="array" ref="C335">D335:F335</f>
        <v>25980.465189499999</v>
      </c>
      <c r="D335" s="29">
        <v>25980.465189499999</v>
      </c>
      <c r="E335" s="29"/>
      <c r="F335" s="29"/>
    </row>
    <row r="336" spans="1:10">
      <c r="A336"/>
      <c r="B336" t="s">
        <v>1362</v>
      </c>
      <c r="C336">
        <f t="array" ref="C336">D336:F336</f>
        <v>2.898E-3</v>
      </c>
      <c r="D336" s="29">
        <v>2.898E-3</v>
      </c>
      <c r="E336" s="29"/>
      <c r="F336" s="29"/>
    </row>
    <row r="337" spans="1:10">
      <c r="A337"/>
      <c r="B337" t="s">
        <v>1361</v>
      </c>
      <c r="C337">
        <f t="array" ref="C337">D337:F337</f>
        <v>46451.675528200001</v>
      </c>
      <c r="D337" s="29">
        <v>46451.675528200001</v>
      </c>
      <c r="E337" s="29"/>
      <c r="F337" s="29"/>
    </row>
    <row r="338" spans="1:10">
      <c r="A338"/>
      <c r="B338" t="s">
        <v>1363</v>
      </c>
      <c r="C338">
        <f t="array" ref="C338">D338:F338</f>
        <v>0.9018138</v>
      </c>
      <c r="D338" s="29">
        <v>0.9018138</v>
      </c>
      <c r="E338" s="29"/>
      <c r="F338" s="29"/>
    </row>
    <row r="339" spans="1:10">
      <c r="A339" t="s">
        <v>2371</v>
      </c>
      <c r="B339" t="s">
        <v>1368</v>
      </c>
      <c r="C339">
        <f t="array" ref="C339">D339:F339</f>
        <v>0.3216</v>
      </c>
      <c r="D339" s="29">
        <v>0.3216</v>
      </c>
      <c r="E339" s="29">
        <v>1.6080000000000001E-2</v>
      </c>
      <c r="F339" s="29">
        <v>0.3216</v>
      </c>
      <c r="G339" t="str">
        <f t="shared" ref="G339:G343" si="189">MID(A339,FIND("*/",A339)+3,FIND(":",A339)-3 -FIND("*/",A339))</f>
        <v>TK23_CLOSE_CF</v>
      </c>
      <c r="H339" t="str">
        <f t="shared" ref="H339:H343" si="190">MID(A339,FIND("(",A339)+1,50)</f>
        <v>.3216, .01608);</v>
      </c>
      <c r="I339" t="str">
        <f t="shared" ref="I339:I343" si="191">MID(H339,1,FIND(",",H339)-1)</f>
        <v>.3216</v>
      </c>
      <c r="J339" t="str">
        <f t="shared" ref="J339:J343" si="192">MID(H339,FIND(",",H339)+1,LEN(H339)-FIND(",",H339)-2)</f>
        <v xml:space="preserve"> .01608</v>
      </c>
    </row>
    <row r="340" spans="1:10">
      <c r="A340" t="s">
        <v>2372</v>
      </c>
      <c r="B340" t="s">
        <v>1367</v>
      </c>
      <c r="C340">
        <f t="array" ref="C340">D340:F340</f>
        <v>0</v>
      </c>
      <c r="D340" s="29">
        <v>0</v>
      </c>
      <c r="E340" s="29">
        <v>0</v>
      </c>
      <c r="F340" s="29">
        <v>0</v>
      </c>
      <c r="G340" t="str">
        <f t="shared" si="189"/>
        <v>TK23_CLOSE_Q</v>
      </c>
      <c r="H340" t="str">
        <f t="shared" si="190"/>
        <v>0, 0);</v>
      </c>
      <c r="I340" t="str">
        <f t="shared" si="191"/>
        <v>0</v>
      </c>
      <c r="J340" t="str">
        <f t="shared" si="192"/>
        <v xml:space="preserve"> 0</v>
      </c>
    </row>
    <row r="341" spans="1:10">
      <c r="A341" t="s">
        <v>2373</v>
      </c>
      <c r="B341" t="s">
        <v>1371</v>
      </c>
      <c r="C341">
        <f t="array" ref="C341">D341:F341</f>
        <v>0.53920000000000001</v>
      </c>
      <c r="D341" s="29">
        <v>0.53920000000000001</v>
      </c>
      <c r="E341" s="29">
        <v>5.3920000000000003E-2</v>
      </c>
      <c r="F341" s="29">
        <v>0.53920000000000001</v>
      </c>
      <c r="G341" t="str">
        <f t="shared" si="189"/>
        <v>TK23_CLOSE_WF</v>
      </c>
      <c r="H341" t="str">
        <f t="shared" si="190"/>
        <v>.5392, .05392);</v>
      </c>
      <c r="I341" t="str">
        <f t="shared" si="191"/>
        <v>.5392</v>
      </c>
      <c r="J341" t="str">
        <f t="shared" si="192"/>
        <v xml:space="preserve"> .05392</v>
      </c>
    </row>
    <row r="342" spans="1:10">
      <c r="A342" t="s">
        <v>2374</v>
      </c>
      <c r="B342" t="s">
        <v>1246</v>
      </c>
      <c r="C342">
        <f t="array" ref="C342">D342:F342</f>
        <v>0.3216</v>
      </c>
      <c r="D342" s="29">
        <v>0.3216</v>
      </c>
      <c r="E342" s="29">
        <v>3.2160000000000001E-2</v>
      </c>
      <c r="F342" s="29">
        <v>0.3216</v>
      </c>
      <c r="G342" t="str">
        <f t="shared" si="189"/>
        <v>TK23_DI105_CF</v>
      </c>
      <c r="H342" t="str">
        <f t="shared" si="190"/>
        <v>.3216, .03216);</v>
      </c>
      <c r="I342" t="str">
        <f t="shared" si="191"/>
        <v>.3216</v>
      </c>
      <c r="J342" t="str">
        <f t="shared" si="192"/>
        <v xml:space="preserve"> .03216</v>
      </c>
    </row>
    <row r="343" spans="1:10">
      <c r="A343" t="s">
        <v>2375</v>
      </c>
      <c r="B343" t="s">
        <v>1245</v>
      </c>
      <c r="C343">
        <f t="array" ref="C343">D343:F343</f>
        <v>0</v>
      </c>
      <c r="D343" s="29">
        <v>0</v>
      </c>
      <c r="E343" s="29">
        <v>0</v>
      </c>
      <c r="F343" s="29">
        <v>0</v>
      </c>
      <c r="G343" t="str">
        <f t="shared" si="189"/>
        <v>TK23_DI105_Q</v>
      </c>
      <c r="H343" t="str">
        <f t="shared" si="190"/>
        <v>0, 0);</v>
      </c>
      <c r="I343" t="str">
        <f t="shared" si="191"/>
        <v>0</v>
      </c>
      <c r="J343" t="str">
        <f t="shared" si="192"/>
        <v xml:space="preserve"> 0</v>
      </c>
    </row>
    <row r="344" spans="1:10">
      <c r="A344"/>
      <c r="B344" t="s">
        <v>1250</v>
      </c>
      <c r="C344">
        <f t="array" ref="C344">D344:F344</f>
        <v>0.53920000000000001</v>
      </c>
      <c r="D344" s="29">
        <v>0.53920000000000001</v>
      </c>
      <c r="E344" s="29"/>
      <c r="F344" s="29"/>
    </row>
    <row r="345" spans="1:10">
      <c r="A345" t="s">
        <v>2376</v>
      </c>
      <c r="B345" t="s">
        <v>1370</v>
      </c>
      <c r="C345">
        <f t="array" ref="C345">D345:F345</f>
        <v>0.3216</v>
      </c>
      <c r="D345" s="29">
        <v>0.3216</v>
      </c>
      <c r="E345" s="29">
        <v>0</v>
      </c>
      <c r="F345" s="29">
        <v>0.3216</v>
      </c>
      <c r="G345" t="str">
        <f t="shared" ref="G345:G352" si="193">MID(A345,FIND("*/",A345)+3,FIND(":",A345)-3 -FIND("*/",A345))</f>
        <v>TK23_OPEN_CF</v>
      </c>
      <c r="H345" t="str">
        <f t="shared" ref="H345:H352" si="194">MID(A345,FIND("(",A345)+1,50)</f>
        <v>.3216, 0);</v>
      </c>
      <c r="I345" t="str">
        <f t="shared" ref="I345:I352" si="195">MID(H345,1,FIND(",",H345)-1)</f>
        <v>.3216</v>
      </c>
      <c r="J345" t="str">
        <f t="shared" ref="J345:J352" si="196">MID(H345,FIND(",",H345)+1,LEN(H345)-FIND(",",H345)-2)</f>
        <v xml:space="preserve"> 0</v>
      </c>
    </row>
    <row r="346" spans="1:10">
      <c r="A346" t="s">
        <v>2377</v>
      </c>
      <c r="B346" t="s">
        <v>1369</v>
      </c>
      <c r="C346">
        <f t="array" ref="C346">D346:F346</f>
        <v>0</v>
      </c>
      <c r="D346" s="29">
        <v>0</v>
      </c>
      <c r="E346" s="29">
        <v>0</v>
      </c>
      <c r="F346" s="29">
        <v>0</v>
      </c>
      <c r="G346" t="str">
        <f t="shared" si="193"/>
        <v>TK23_OPEN_Q</v>
      </c>
      <c r="H346" t="str">
        <f t="shared" si="194"/>
        <v>0, 0);</v>
      </c>
      <c r="I346" t="str">
        <f t="shared" si="195"/>
        <v>0</v>
      </c>
      <c r="J346" t="str">
        <f t="shared" si="196"/>
        <v xml:space="preserve"> 0</v>
      </c>
    </row>
    <row r="347" spans="1:10">
      <c r="A347" t="s">
        <v>2378</v>
      </c>
      <c r="B347" t="s">
        <v>1372</v>
      </c>
      <c r="C347">
        <f t="array" ref="C347">D347:F347</f>
        <v>0.53920000000000001</v>
      </c>
      <c r="D347" s="29">
        <v>0.53920000000000001</v>
      </c>
      <c r="E347" s="29">
        <v>0</v>
      </c>
      <c r="F347" s="29">
        <v>0.53920000000000001</v>
      </c>
      <c r="G347" t="str">
        <f t="shared" si="193"/>
        <v>TK23_OPEN_WF</v>
      </c>
      <c r="H347" t="str">
        <f t="shared" si="194"/>
        <v>.5392, 0);</v>
      </c>
      <c r="I347" t="str">
        <f t="shared" si="195"/>
        <v>.5392</v>
      </c>
      <c r="J347" t="str">
        <f t="shared" si="196"/>
        <v xml:space="preserve"> 0</v>
      </c>
    </row>
    <row r="348" spans="1:10">
      <c r="A348" t="s">
        <v>2379</v>
      </c>
      <c r="B348" t="s">
        <v>1374</v>
      </c>
      <c r="C348">
        <f t="array" ref="C348">D348:F348</f>
        <v>0.30489260000000001</v>
      </c>
      <c r="D348" s="29">
        <v>0.30489260000000001</v>
      </c>
      <c r="E348" s="29">
        <v>1.4905E-2</v>
      </c>
      <c r="F348" s="29">
        <v>0.29809999999999998</v>
      </c>
      <c r="G348" t="str">
        <f t="shared" si="193"/>
        <v>TK24_CLOSE_CF</v>
      </c>
      <c r="H348" t="str">
        <f t="shared" si="194"/>
        <v>.2981, .014905);</v>
      </c>
      <c r="I348" t="str">
        <f t="shared" si="195"/>
        <v>.2981</v>
      </c>
      <c r="J348" t="str">
        <f t="shared" si="196"/>
        <v xml:space="preserve"> .014905</v>
      </c>
    </row>
    <row r="349" spans="1:10">
      <c r="A349" t="s">
        <v>2380</v>
      </c>
      <c r="B349" t="s">
        <v>1373</v>
      </c>
      <c r="C349">
        <f t="array" ref="C349">D349:F349</f>
        <v>0</v>
      </c>
      <c r="D349" s="29">
        <v>0</v>
      </c>
      <c r="E349" s="29">
        <v>0</v>
      </c>
      <c r="F349" s="29">
        <v>0</v>
      </c>
      <c r="G349" t="str">
        <f t="shared" si="193"/>
        <v>TK24_CLOSE_Q</v>
      </c>
      <c r="H349" t="str">
        <f t="shared" si="194"/>
        <v>0, 0);</v>
      </c>
      <c r="I349" t="str">
        <f t="shared" si="195"/>
        <v>0</v>
      </c>
      <c r="J349" t="str">
        <f t="shared" si="196"/>
        <v xml:space="preserve"> 0</v>
      </c>
    </row>
    <row r="350" spans="1:10">
      <c r="A350" t="s">
        <v>2381</v>
      </c>
      <c r="B350" t="s">
        <v>1377</v>
      </c>
      <c r="C350">
        <f t="array" ref="C350">D350:F350</f>
        <v>0.51060000000000005</v>
      </c>
      <c r="D350" s="29">
        <v>0.51060000000000005</v>
      </c>
      <c r="E350" s="29">
        <v>5.1060000000000001E-2</v>
      </c>
      <c r="F350" s="29">
        <v>0.51060000000000005</v>
      </c>
      <c r="G350" t="str">
        <f t="shared" si="193"/>
        <v>TK24_CLOSE_WF</v>
      </c>
      <c r="H350" t="str">
        <f t="shared" si="194"/>
        <v>.5106, .05106);</v>
      </c>
      <c r="I350" t="str">
        <f t="shared" si="195"/>
        <v>.5106</v>
      </c>
      <c r="J350" t="str">
        <f t="shared" si="196"/>
        <v xml:space="preserve"> .05106</v>
      </c>
    </row>
    <row r="351" spans="1:10">
      <c r="A351" t="s">
        <v>2382</v>
      </c>
      <c r="B351" t="s">
        <v>1242</v>
      </c>
      <c r="C351">
        <f t="array" ref="C351">D351:F351</f>
        <v>0.30489260000000001</v>
      </c>
      <c r="D351" s="29">
        <v>0.30489260000000001</v>
      </c>
      <c r="E351" s="29">
        <v>3.4029999999999998E-2</v>
      </c>
      <c r="F351" s="29">
        <v>0.34029999999999999</v>
      </c>
      <c r="G351" t="str">
        <f t="shared" si="193"/>
        <v>TK24_DI105_CF</v>
      </c>
      <c r="H351" t="str">
        <f t="shared" si="194"/>
        <v>.3403, .03403);</v>
      </c>
      <c r="I351" t="str">
        <f t="shared" si="195"/>
        <v>.3403</v>
      </c>
      <c r="J351" t="str">
        <f t="shared" si="196"/>
        <v xml:space="preserve"> .03403</v>
      </c>
    </row>
    <row r="352" spans="1:10">
      <c r="A352" t="s">
        <v>2383</v>
      </c>
      <c r="B352" t="s">
        <v>1241</v>
      </c>
      <c r="C352">
        <f t="array" ref="C352">D352:F352</f>
        <v>0</v>
      </c>
      <c r="D352" s="29">
        <v>0</v>
      </c>
      <c r="E352" s="29">
        <v>0</v>
      </c>
      <c r="F352" s="29">
        <v>0</v>
      </c>
      <c r="G352" t="str">
        <f t="shared" si="193"/>
        <v>TK24_DI105_Q</v>
      </c>
      <c r="H352" t="str">
        <f t="shared" si="194"/>
        <v>0, 0);</v>
      </c>
      <c r="I352" t="str">
        <f t="shared" si="195"/>
        <v>0</v>
      </c>
      <c r="J352" t="str">
        <f t="shared" si="196"/>
        <v xml:space="preserve"> 0</v>
      </c>
    </row>
    <row r="353" spans="1:10">
      <c r="A353"/>
      <c r="B353" t="s">
        <v>1252</v>
      </c>
      <c r="C353">
        <f t="array" ref="C353">D353:F353</f>
        <v>0.51060000000000005</v>
      </c>
      <c r="D353" s="29">
        <v>0.51060000000000005</v>
      </c>
      <c r="E353" s="29"/>
      <c r="F353" s="29"/>
    </row>
    <row r="354" spans="1:10">
      <c r="A354" t="s">
        <v>2384</v>
      </c>
      <c r="B354" t="s">
        <v>1376</v>
      </c>
      <c r="C354">
        <f t="array" ref="C354">D354:F354</f>
        <v>0.30489260000000001</v>
      </c>
      <c r="D354" s="29">
        <v>0.30489260000000001</v>
      </c>
      <c r="E354" s="29">
        <v>0</v>
      </c>
      <c r="F354" s="29">
        <v>0.30489260000000001</v>
      </c>
      <c r="G354" t="str">
        <f t="shared" ref="G354:G361" si="197">MID(A354,FIND("*/",A354)+3,FIND(":",A354)-3 -FIND("*/",A354))</f>
        <v>TK24_OPEN_CF</v>
      </c>
      <c r="H354" t="str">
        <f t="shared" ref="H354:H361" si="198">MID(A354,FIND("(",A354)+1,50)</f>
        <v>.3048926, 0);</v>
      </c>
      <c r="I354" t="str">
        <f t="shared" ref="I354:I361" si="199">MID(H354,1,FIND(",",H354)-1)</f>
        <v>.3048926</v>
      </c>
      <c r="J354" t="str">
        <f t="shared" ref="J354:J361" si="200">MID(H354,FIND(",",H354)+1,LEN(H354)-FIND(",",H354)-2)</f>
        <v xml:space="preserve"> 0</v>
      </c>
    </row>
    <row r="355" spans="1:10">
      <c r="A355" t="s">
        <v>2385</v>
      </c>
      <c r="B355" t="s">
        <v>1375</v>
      </c>
      <c r="C355">
        <f t="array" ref="C355">D355:F355</f>
        <v>0</v>
      </c>
      <c r="D355" s="29">
        <v>0</v>
      </c>
      <c r="E355" s="29">
        <v>0</v>
      </c>
      <c r="F355" s="29">
        <v>0</v>
      </c>
      <c r="G355" t="str">
        <f t="shared" si="197"/>
        <v>TK24_OPEN_Q</v>
      </c>
      <c r="H355" t="str">
        <f t="shared" si="198"/>
        <v>0, 0);</v>
      </c>
      <c r="I355" t="str">
        <f t="shared" si="199"/>
        <v>0</v>
      </c>
      <c r="J355" t="str">
        <f t="shared" si="200"/>
        <v xml:space="preserve"> 0</v>
      </c>
    </row>
    <row r="356" spans="1:10">
      <c r="A356" t="s">
        <v>2386</v>
      </c>
      <c r="B356" t="s">
        <v>1378</v>
      </c>
      <c r="C356">
        <f t="array" ref="C356">D356:F356</f>
        <v>0.51060000000000005</v>
      </c>
      <c r="D356" s="29">
        <v>0.51060000000000005</v>
      </c>
      <c r="E356" s="29">
        <v>0</v>
      </c>
      <c r="F356" s="29">
        <v>0.51060000000000005</v>
      </c>
      <c r="G356" t="str">
        <f t="shared" si="197"/>
        <v>TK24_OPEN_WF</v>
      </c>
      <c r="H356" t="str">
        <f t="shared" si="198"/>
        <v>.5106, 0);</v>
      </c>
      <c r="I356" t="str">
        <f t="shared" si="199"/>
        <v>.5106</v>
      </c>
      <c r="J356" t="str">
        <f t="shared" si="200"/>
        <v xml:space="preserve"> 0</v>
      </c>
    </row>
    <row r="357" spans="1:10">
      <c r="A357" t="s">
        <v>2387</v>
      </c>
      <c r="B357" t="s">
        <v>1380</v>
      </c>
      <c r="C357">
        <f t="array" ref="C357">D357:F357</f>
        <v>0.37367430000000001</v>
      </c>
      <c r="D357" s="29">
        <v>0.37367430000000001</v>
      </c>
      <c r="E357" s="29">
        <v>1.7014999999999999E-2</v>
      </c>
      <c r="F357" s="29">
        <v>0.34029999999999999</v>
      </c>
      <c r="G357" t="str">
        <f t="shared" si="197"/>
        <v>TK25_CLOSE_CF</v>
      </c>
      <c r="H357" t="str">
        <f t="shared" si="198"/>
        <v>.3403, .017015);</v>
      </c>
      <c r="I357" t="str">
        <f t="shared" si="199"/>
        <v>.3403</v>
      </c>
      <c r="J357" t="str">
        <f t="shared" si="200"/>
        <v xml:space="preserve"> .017015</v>
      </c>
    </row>
    <row r="358" spans="1:10">
      <c r="A358" t="s">
        <v>2388</v>
      </c>
      <c r="B358" t="s">
        <v>1379</v>
      </c>
      <c r="C358">
        <f t="array" ref="C358">D358:F358</f>
        <v>1558.6002658</v>
      </c>
      <c r="D358" s="29">
        <v>1558.6002658</v>
      </c>
      <c r="E358" s="29">
        <v>31.154900000000001</v>
      </c>
      <c r="F358" s="29">
        <v>1557.7449999999999</v>
      </c>
      <c r="G358" t="str">
        <f t="shared" si="197"/>
        <v>TK25_CLOSE_Q</v>
      </c>
      <c r="H358" t="str">
        <f t="shared" si="198"/>
        <v>1557.745, 31.1549);</v>
      </c>
      <c r="I358" t="str">
        <f t="shared" si="199"/>
        <v>1557.745</v>
      </c>
      <c r="J358" t="str">
        <f t="shared" si="200"/>
        <v xml:space="preserve"> 31.1549</v>
      </c>
    </row>
    <row r="359" spans="1:10">
      <c r="A359" t="s">
        <v>2389</v>
      </c>
      <c r="B359" t="s">
        <v>1383</v>
      </c>
      <c r="C359">
        <f t="array" ref="C359">D359:F359</f>
        <v>0.45278770000000002</v>
      </c>
      <c r="D359" s="29">
        <v>0.45278770000000002</v>
      </c>
      <c r="E359" s="29">
        <v>4.793E-2</v>
      </c>
      <c r="F359" s="29">
        <v>0.4793</v>
      </c>
      <c r="G359" t="str">
        <f t="shared" si="197"/>
        <v>TK25_CLOSE_WF</v>
      </c>
      <c r="H359" t="str">
        <f t="shared" si="198"/>
        <v>.4793, .04793);</v>
      </c>
      <c r="I359" t="str">
        <f t="shared" si="199"/>
        <v>.4793</v>
      </c>
      <c r="J359" t="str">
        <f t="shared" si="200"/>
        <v xml:space="preserve"> .04793</v>
      </c>
    </row>
    <row r="360" spans="1:10">
      <c r="A360" t="s">
        <v>2390</v>
      </c>
      <c r="B360" t="s">
        <v>1244</v>
      </c>
      <c r="C360">
        <f t="array" ref="C360">D360:F360</f>
        <v>0.37367430000000001</v>
      </c>
      <c r="D360" s="29">
        <v>0.37367430000000001</v>
      </c>
      <c r="E360" s="29">
        <v>2.981E-2</v>
      </c>
      <c r="F360" s="29">
        <v>0.29810009999999998</v>
      </c>
      <c r="G360" t="str">
        <f t="shared" si="197"/>
        <v>TK25_DI105_CF</v>
      </c>
      <c r="H360" t="str">
        <f t="shared" si="198"/>
        <v>.2981001, .02981);</v>
      </c>
      <c r="I360" t="str">
        <f t="shared" si="199"/>
        <v>.2981001</v>
      </c>
      <c r="J360" t="str">
        <f t="shared" si="200"/>
        <v xml:space="preserve"> .02981</v>
      </c>
    </row>
    <row r="361" spans="1:10">
      <c r="A361" t="s">
        <v>2391</v>
      </c>
      <c r="B361" t="s">
        <v>1243</v>
      </c>
      <c r="C361">
        <f t="array" ref="C361">D361:F361</f>
        <v>1771.3037405</v>
      </c>
      <c r="D361" s="29">
        <v>1771.3037405</v>
      </c>
      <c r="E361" s="29">
        <v>351.80340000000001</v>
      </c>
      <c r="F361" s="29">
        <v>1759.0170000000001</v>
      </c>
      <c r="G361" t="str">
        <f t="shared" si="197"/>
        <v>TK25_DI105_Q</v>
      </c>
      <c r="H361" t="str">
        <f t="shared" si="198"/>
        <v>1759.017, 351.8034);</v>
      </c>
      <c r="I361" t="str">
        <f t="shared" si="199"/>
        <v>1759.017</v>
      </c>
      <c r="J361" t="str">
        <f t="shared" si="200"/>
        <v xml:space="preserve"> 351.8034</v>
      </c>
    </row>
    <row r="362" spans="1:10">
      <c r="A362"/>
      <c r="B362" t="s">
        <v>1253</v>
      </c>
      <c r="C362">
        <f t="array" ref="C362">D362:F362</f>
        <v>0.45278770000000002</v>
      </c>
      <c r="D362" s="29">
        <v>0.45278770000000002</v>
      </c>
      <c r="E362" s="29"/>
      <c r="F362" s="29"/>
    </row>
    <row r="363" spans="1:10">
      <c r="A363" t="s">
        <v>2392</v>
      </c>
      <c r="B363" t="s">
        <v>1382</v>
      </c>
      <c r="C363">
        <f t="array" ref="C363">D363:F363</f>
        <v>0.37265589999999998</v>
      </c>
      <c r="D363" s="29">
        <v>0.37265589999999998</v>
      </c>
      <c r="E363" s="29">
        <v>0</v>
      </c>
      <c r="F363" s="29">
        <v>0.37265589999999998</v>
      </c>
      <c r="G363" t="str">
        <f t="shared" ref="G363:G370" si="201">MID(A363,FIND("*/",A363)+3,FIND(":",A363)-3 -FIND("*/",A363))</f>
        <v>TK25_OPEN_CF</v>
      </c>
      <c r="H363" t="str">
        <f t="shared" ref="H363:H370" si="202">MID(A363,FIND("(",A363)+1,50)</f>
        <v>.3726559, 0);</v>
      </c>
      <c r="I363" t="str">
        <f t="shared" ref="I363:I370" si="203">MID(H363,1,FIND(",",H363)-1)</f>
        <v>.3726559</v>
      </c>
      <c r="J363" t="str">
        <f t="shared" ref="J363:J370" si="204">MID(H363,FIND(",",H363)+1,LEN(H363)-FIND(",",H363)-2)</f>
        <v xml:space="preserve"> 0</v>
      </c>
    </row>
    <row r="364" spans="1:10">
      <c r="A364" t="s">
        <v>2393</v>
      </c>
      <c r="B364" t="s">
        <v>1381</v>
      </c>
      <c r="C364">
        <f t="array" ref="C364">D364:F364</f>
        <v>2662.5930512999998</v>
      </c>
      <c r="D364" s="29">
        <v>2662.5930512999998</v>
      </c>
      <c r="E364" s="29">
        <v>0</v>
      </c>
      <c r="F364" s="29">
        <v>2662.5930512999998</v>
      </c>
      <c r="G364" t="str">
        <f t="shared" si="201"/>
        <v>TK25_OPEN_Q</v>
      </c>
      <c r="H364" t="str">
        <f t="shared" si="202"/>
        <v>2662.5930513, 0);</v>
      </c>
      <c r="I364" t="str">
        <f t="shared" si="203"/>
        <v>2662.5930513</v>
      </c>
      <c r="J364" t="str">
        <f t="shared" si="204"/>
        <v xml:space="preserve"> 0</v>
      </c>
    </row>
    <row r="365" spans="1:10">
      <c r="A365" t="s">
        <v>2394</v>
      </c>
      <c r="B365" t="s">
        <v>1384</v>
      </c>
      <c r="C365">
        <f t="array" ref="C365">D365:F365</f>
        <v>0.4571559</v>
      </c>
      <c r="D365" s="29">
        <v>0.4571559</v>
      </c>
      <c r="E365" s="29">
        <v>0</v>
      </c>
      <c r="F365" s="29">
        <v>0.4571559</v>
      </c>
      <c r="G365" t="str">
        <f t="shared" si="201"/>
        <v>TK25_OPEN_WF</v>
      </c>
      <c r="H365" t="str">
        <f t="shared" si="202"/>
        <v>.4571559, 0);</v>
      </c>
      <c r="I365" t="str">
        <f t="shared" si="203"/>
        <v>.4571559</v>
      </c>
      <c r="J365" t="str">
        <f t="shared" si="204"/>
        <v xml:space="preserve"> 0</v>
      </c>
    </row>
    <row r="366" spans="1:10">
      <c r="A366" t="s">
        <v>2395</v>
      </c>
      <c r="B366" t="s">
        <v>1386</v>
      </c>
      <c r="C366">
        <f t="array" ref="C366">D366:F366</f>
        <v>0.37247659999999999</v>
      </c>
      <c r="D366" s="29">
        <v>0.37247659999999999</v>
      </c>
      <c r="E366" s="29">
        <v>1.6310000000000002E-2</v>
      </c>
      <c r="F366" s="29">
        <v>0.32619999999999999</v>
      </c>
      <c r="G366" t="str">
        <f t="shared" si="201"/>
        <v>TK26_CLOSE_CF</v>
      </c>
      <c r="H366" t="str">
        <f t="shared" si="202"/>
        <v>.3262, .01631);</v>
      </c>
      <c r="I366" t="str">
        <f t="shared" si="203"/>
        <v>.3262</v>
      </c>
      <c r="J366" t="str">
        <f t="shared" si="204"/>
        <v xml:space="preserve"> .01631</v>
      </c>
    </row>
    <row r="367" spans="1:10">
      <c r="A367" t="s">
        <v>2396</v>
      </c>
      <c r="B367" t="s">
        <v>1385</v>
      </c>
      <c r="C367">
        <f t="array" ref="C367">D367:F367</f>
        <v>2662.8927263999999</v>
      </c>
      <c r="D367" s="29">
        <v>2662.8927263999999</v>
      </c>
      <c r="E367" s="29">
        <v>53.191400000000002</v>
      </c>
      <c r="F367" s="29">
        <v>2659.57</v>
      </c>
      <c r="G367" t="str">
        <f t="shared" si="201"/>
        <v>TK26_CLOSE_Q</v>
      </c>
      <c r="H367" t="str">
        <f t="shared" si="202"/>
        <v>2659.57, 53.1914);</v>
      </c>
      <c r="I367" t="str">
        <f t="shared" si="203"/>
        <v>2659.57</v>
      </c>
      <c r="J367" t="str">
        <f t="shared" si="204"/>
        <v xml:space="preserve"> 53.1914</v>
      </c>
    </row>
    <row r="368" spans="1:10">
      <c r="A368" t="s">
        <v>2397</v>
      </c>
      <c r="B368" t="s">
        <v>1389</v>
      </c>
      <c r="C368">
        <f t="array" ref="C368">D368:F368</f>
        <v>0.44257859999999999</v>
      </c>
      <c r="D368" s="29">
        <v>0.44257859999999999</v>
      </c>
      <c r="E368" s="29">
        <v>5.314E-2</v>
      </c>
      <c r="F368" s="29">
        <v>0.53139999999999998</v>
      </c>
      <c r="G368" t="str">
        <f t="shared" si="201"/>
        <v>TK26_CLOSE_WF</v>
      </c>
      <c r="H368" t="str">
        <f t="shared" si="202"/>
        <v>.5314, .05314);</v>
      </c>
      <c r="I368" t="str">
        <f t="shared" si="203"/>
        <v>.5314</v>
      </c>
      <c r="J368" t="str">
        <f t="shared" si="204"/>
        <v xml:space="preserve"> .05314</v>
      </c>
    </row>
    <row r="369" spans="1:10">
      <c r="A369" t="s">
        <v>2398</v>
      </c>
      <c r="B369" t="s">
        <v>1248</v>
      </c>
      <c r="C369">
        <f t="array" ref="C369">D369:F369</f>
        <v>0.37247659999999999</v>
      </c>
      <c r="D369" s="29">
        <v>0.37247659999999999</v>
      </c>
      <c r="E369" s="29">
        <v>3.2620000000000003E-2</v>
      </c>
      <c r="F369" s="29">
        <v>0.32619999999999999</v>
      </c>
      <c r="G369" t="str">
        <f t="shared" si="201"/>
        <v>TK26_DI105_CF</v>
      </c>
      <c r="H369" t="str">
        <f t="shared" si="202"/>
        <v>.3262, .03262);</v>
      </c>
      <c r="I369" t="str">
        <f t="shared" si="203"/>
        <v>.3262</v>
      </c>
      <c r="J369" t="str">
        <f t="shared" si="204"/>
        <v xml:space="preserve"> .03262</v>
      </c>
    </row>
    <row r="370" spans="1:10">
      <c r="A370" t="s">
        <v>2399</v>
      </c>
      <c r="B370" t="s">
        <v>1247</v>
      </c>
      <c r="C370">
        <f t="array" ref="C370">D370:F370</f>
        <v>0</v>
      </c>
      <c r="D370" s="29">
        <v>0</v>
      </c>
      <c r="E370" s="29">
        <v>0</v>
      </c>
      <c r="F370" s="29">
        <v>0</v>
      </c>
      <c r="G370" t="str">
        <f t="shared" si="201"/>
        <v>TK26_DI105_Q</v>
      </c>
      <c r="H370" t="str">
        <f t="shared" si="202"/>
        <v>0, 0);</v>
      </c>
      <c r="I370" t="str">
        <f t="shared" si="203"/>
        <v>0</v>
      </c>
      <c r="J370" t="str">
        <f t="shared" si="204"/>
        <v xml:space="preserve"> 0</v>
      </c>
    </row>
    <row r="371" spans="1:10">
      <c r="A371"/>
      <c r="B371" t="s">
        <v>1251</v>
      </c>
      <c r="C371">
        <f t="array" ref="C371">D371:F371</f>
        <v>0.44257859999999999</v>
      </c>
      <c r="D371" s="29">
        <v>0.44257859999999999</v>
      </c>
      <c r="E371" s="29"/>
      <c r="F371" s="29"/>
    </row>
    <row r="372" spans="1:10">
      <c r="A372" t="s">
        <v>2400</v>
      </c>
      <c r="B372" t="s">
        <v>1388</v>
      </c>
      <c r="C372">
        <f t="array" ref="C372">D372:F372</f>
        <v>0.36751499999999998</v>
      </c>
      <c r="D372" s="29">
        <v>0.36751499999999998</v>
      </c>
      <c r="E372" s="29">
        <v>0</v>
      </c>
      <c r="F372" s="29">
        <v>0.36751499999999998</v>
      </c>
      <c r="G372" t="str">
        <f t="shared" ref="G372:G376" si="205">MID(A372,FIND("*/",A372)+3,FIND(":",A372)-3 -FIND("*/",A372))</f>
        <v>TK26_OPEN_CF</v>
      </c>
      <c r="H372" t="str">
        <f t="shared" ref="H372:H376" si="206">MID(A372,FIND("(",A372)+1,50)</f>
        <v>.367515, 0);</v>
      </c>
      <c r="I372" t="str">
        <f t="shared" ref="I372:I376" si="207">MID(H372,1,FIND(",",H372)-1)</f>
        <v>.367515</v>
      </c>
      <c r="J372" t="str">
        <f t="shared" ref="J372:J376" si="208">MID(H372,FIND(",",H372)+1,LEN(H372)-FIND(",",H372)-2)</f>
        <v xml:space="preserve"> 0</v>
      </c>
    </row>
    <row r="373" spans="1:10">
      <c r="A373" t="s">
        <v>2401</v>
      </c>
      <c r="B373" t="s">
        <v>1387</v>
      </c>
      <c r="C373">
        <f t="array" ref="C373">D373:F373</f>
        <v>1370.4528453</v>
      </c>
      <c r="D373" s="29">
        <v>1370.4528453</v>
      </c>
      <c r="E373" s="29">
        <v>0</v>
      </c>
      <c r="F373" s="29">
        <v>1370.4528453</v>
      </c>
      <c r="G373" t="str">
        <f t="shared" si="205"/>
        <v>TK26_OPEN_Q</v>
      </c>
      <c r="H373" t="str">
        <f t="shared" si="206"/>
        <v>1370.4528453, 0);</v>
      </c>
      <c r="I373" t="str">
        <f t="shared" si="207"/>
        <v>1370.4528453</v>
      </c>
      <c r="J373" t="str">
        <f t="shared" si="208"/>
        <v xml:space="preserve"> 0</v>
      </c>
    </row>
    <row r="374" spans="1:10">
      <c r="A374" t="s">
        <v>2402</v>
      </c>
      <c r="B374" t="s">
        <v>1390</v>
      </c>
      <c r="C374">
        <f t="array" ref="C374">D374:F374</f>
        <v>0.4493876</v>
      </c>
      <c r="D374" s="29">
        <v>0.4493876</v>
      </c>
      <c r="E374" s="29">
        <v>0</v>
      </c>
      <c r="F374" s="29">
        <v>0.4493876</v>
      </c>
      <c r="G374" t="str">
        <f t="shared" si="205"/>
        <v>TK26_OPEN_WF</v>
      </c>
      <c r="H374" t="str">
        <f t="shared" si="206"/>
        <v>.4493876, 0);</v>
      </c>
      <c r="I374" t="str">
        <f t="shared" si="207"/>
        <v>.4493876</v>
      </c>
      <c r="J374" t="str">
        <f t="shared" si="208"/>
        <v xml:space="preserve"> 0</v>
      </c>
    </row>
    <row r="375" spans="1:10">
      <c r="A375" t="s">
        <v>2403</v>
      </c>
      <c r="B375" t="s">
        <v>1393</v>
      </c>
      <c r="C375">
        <f t="array" ref="C375">D375:F375</f>
        <v>792.75598909999997</v>
      </c>
      <c r="D375" s="29">
        <v>792.75598909999997</v>
      </c>
      <c r="E375" s="29">
        <v>79.19999</v>
      </c>
      <c r="F375" s="29">
        <v>791.99990000000003</v>
      </c>
      <c r="G375" t="str">
        <f t="shared" si="205"/>
        <v>TK83_CHIL_Q</v>
      </c>
      <c r="H375" t="str">
        <f t="shared" si="206"/>
        <v>791.9999, 79.19999);</v>
      </c>
      <c r="I375" t="str">
        <f t="shared" si="207"/>
        <v>791.9999</v>
      </c>
      <c r="J375" t="str">
        <f t="shared" si="208"/>
        <v xml:space="preserve"> 79.19999</v>
      </c>
    </row>
    <row r="376" spans="1:10">
      <c r="A376" t="s">
        <v>2404</v>
      </c>
      <c r="B376" t="s">
        <v>1392</v>
      </c>
      <c r="C376">
        <f t="array" ref="C376">D376:F376</f>
        <v>3111.3005910000002</v>
      </c>
      <c r="D376" s="29">
        <v>3111.3005910000002</v>
      </c>
      <c r="E376" s="29">
        <v>62.216679999999997</v>
      </c>
      <c r="F376" s="29">
        <v>3110.8339999999998</v>
      </c>
      <c r="G376" t="str">
        <f t="shared" si="205"/>
        <v>TK83_CLOSE_Q</v>
      </c>
      <c r="H376" t="str">
        <f t="shared" si="206"/>
        <v>3110.834, 62.21668);</v>
      </c>
      <c r="I376" t="str">
        <f t="shared" si="207"/>
        <v>3110.834</v>
      </c>
      <c r="J376" t="str">
        <f t="shared" si="208"/>
        <v xml:space="preserve"> 62.21668</v>
      </c>
    </row>
    <row r="377" spans="1:10">
      <c r="A377"/>
      <c r="B377" t="s">
        <v>1300</v>
      </c>
      <c r="C377">
        <f t="array" ref="C377">D377:F377</f>
        <v>-84.795708200000007</v>
      </c>
      <c r="D377" s="29">
        <v>-84.795708200000007</v>
      </c>
      <c r="E377" s="29"/>
      <c r="F377" s="29"/>
    </row>
    <row r="378" spans="1:10">
      <c r="A378" t="s">
        <v>2405</v>
      </c>
      <c r="B378" t="s">
        <v>1296</v>
      </c>
      <c r="C378">
        <f t="array" ref="C378">D378:F378</f>
        <v>194.48565400000001</v>
      </c>
      <c r="D378" s="29">
        <v>194.48565400000001</v>
      </c>
      <c r="E378" s="29">
        <v>19.448070000000001</v>
      </c>
      <c r="F378" s="29">
        <v>194.48070000000001</v>
      </c>
      <c r="G378" t="str">
        <f t="shared" ref="G378:G382" si="209">MID(A378,FIND("*/",A378)+3,FIND(":",A378)-3 -FIND("*/",A378))</f>
        <v>TK83_D25_Q</v>
      </c>
      <c r="H378" t="str">
        <f t="shared" ref="H378:H382" si="210">MID(A378,FIND("(",A378)+1,50)</f>
        <v>194.4807, 19.44807);</v>
      </c>
      <c r="I378" t="str">
        <f t="shared" ref="I378:I382" si="211">MID(H378,1,FIND(",",H378)-1)</f>
        <v>194.4807</v>
      </c>
      <c r="J378" t="str">
        <f t="shared" ref="J378:J382" si="212">MID(H378,FIND(",",H378)+1,LEN(H378)-FIND(",",H378)-2)</f>
        <v xml:space="preserve"> 19.44807</v>
      </c>
    </row>
    <row r="379" spans="1:10">
      <c r="A379" t="s">
        <v>2406</v>
      </c>
      <c r="B379" t="s">
        <v>1294</v>
      </c>
      <c r="C379">
        <f t="array" ref="C379">D379:F379</f>
        <v>266.7622202</v>
      </c>
      <c r="D379" s="29">
        <v>266.7622202</v>
      </c>
      <c r="E379" s="29">
        <v>26.67529</v>
      </c>
      <c r="F379" s="29">
        <v>266.75290000000001</v>
      </c>
      <c r="G379" t="str">
        <f t="shared" si="209"/>
        <v>TK83_MB1_Q</v>
      </c>
      <c r="H379" t="str">
        <f t="shared" si="210"/>
        <v>266.7529, 26.67529);</v>
      </c>
      <c r="I379" t="str">
        <f t="shared" si="211"/>
        <v>266.7529</v>
      </c>
      <c r="J379" t="str">
        <f t="shared" si="212"/>
        <v xml:space="preserve"> 26.67529</v>
      </c>
    </row>
    <row r="380" spans="1:10">
      <c r="A380" t="s">
        <v>2407</v>
      </c>
      <c r="B380" t="s">
        <v>1299</v>
      </c>
      <c r="C380">
        <f t="array" ref="C380">D380:F380</f>
        <v>189.0331802</v>
      </c>
      <c r="D380" s="29">
        <v>189.0331802</v>
      </c>
      <c r="E380" s="29">
        <v>18.902850000000001</v>
      </c>
      <c r="F380" s="29">
        <v>189.02850000000001</v>
      </c>
      <c r="G380" t="str">
        <f t="shared" si="209"/>
        <v>TK83_MB2_Q</v>
      </c>
      <c r="H380" t="str">
        <f t="shared" si="210"/>
        <v>189.0285, 18.90285);</v>
      </c>
      <c r="I380" t="str">
        <f t="shared" si="211"/>
        <v>189.0285</v>
      </c>
      <c r="J380" t="str">
        <f t="shared" si="212"/>
        <v xml:space="preserve"> 18.90285</v>
      </c>
    </row>
    <row r="381" spans="1:10">
      <c r="A381" t="s">
        <v>2408</v>
      </c>
      <c r="B381" t="s">
        <v>1297</v>
      </c>
      <c r="C381">
        <f t="array" ref="C381">D381:F381</f>
        <v>189.0331802</v>
      </c>
      <c r="D381" s="29">
        <v>189.0331802</v>
      </c>
      <c r="E381" s="29">
        <v>18.902850000000001</v>
      </c>
      <c r="F381" s="29">
        <v>189.02850000000001</v>
      </c>
      <c r="G381" t="str">
        <f t="shared" si="209"/>
        <v>TK83_MB3_Q</v>
      </c>
      <c r="H381" t="str">
        <f t="shared" si="210"/>
        <v>189.0285, 18.90285);</v>
      </c>
      <c r="I381" t="str">
        <f t="shared" si="211"/>
        <v>189.0285</v>
      </c>
      <c r="J381" t="str">
        <f t="shared" si="212"/>
        <v xml:space="preserve"> 18.90285</v>
      </c>
    </row>
    <row r="382" spans="1:10">
      <c r="A382" t="s">
        <v>2409</v>
      </c>
      <c r="B382" t="s">
        <v>1394</v>
      </c>
      <c r="C382">
        <f t="array" ref="C382">D382:F382</f>
        <v>2453.5346378999998</v>
      </c>
      <c r="D382" s="29">
        <v>2453.5346378999998</v>
      </c>
      <c r="E382" s="29">
        <v>0</v>
      </c>
      <c r="F382" s="29">
        <v>2453.5346378999998</v>
      </c>
      <c r="G382" t="str">
        <f t="shared" si="209"/>
        <v>TK83_OPEN_Q</v>
      </c>
      <c r="H382" t="str">
        <f t="shared" si="210"/>
        <v>2453.5346379, 0);</v>
      </c>
      <c r="I382" t="str">
        <f t="shared" si="211"/>
        <v>2453.5346379</v>
      </c>
      <c r="J382" t="str">
        <f t="shared" si="212"/>
        <v xml:space="preserve"> 0</v>
      </c>
    </row>
    <row r="383" spans="1:10">
      <c r="A383"/>
      <c r="B383" t="s">
        <v>1358</v>
      </c>
      <c r="C383">
        <f t="array" ref="C383">D383:F383</f>
        <v>19033.679198500002</v>
      </c>
      <c r="D383" s="29">
        <v>19033.679198500002</v>
      </c>
      <c r="E383" s="29"/>
      <c r="F383" s="29"/>
    </row>
    <row r="384" spans="1:10">
      <c r="A384" t="s">
        <v>2410</v>
      </c>
      <c r="B384" t="s">
        <v>1240</v>
      </c>
      <c r="C384">
        <f t="array" ref="C384">D384:F384</f>
        <v>0.37367430000000001</v>
      </c>
      <c r="D384" s="29">
        <v>0.37367430000000001</v>
      </c>
      <c r="E384" s="29">
        <v>2.981E-2</v>
      </c>
      <c r="F384" s="29">
        <v>0.29810009999999998</v>
      </c>
      <c r="G384" t="str">
        <f t="shared" ref="G384:G386" si="213">MID(A384,FIND("*/",A384)+3,FIND(":",A384)-3 -FIND("*/",A384))</f>
        <v>TKC_PIPE_CF</v>
      </c>
      <c r="H384" t="str">
        <f t="shared" ref="H384:H386" si="214">MID(A384,FIND("(",A384)+1,50)</f>
        <v>.2981001, .02981);</v>
      </c>
      <c r="I384" t="str">
        <f t="shared" ref="I384:I386" si="215">MID(H384,1,FIND(",",H384)-1)</f>
        <v>.2981001</v>
      </c>
      <c r="J384" t="str">
        <f t="shared" ref="J384:J386" si="216">MID(H384,FIND(",",H384)+1,LEN(H384)-FIND(",",H384)-2)</f>
        <v xml:space="preserve"> .02981</v>
      </c>
    </row>
    <row r="385" spans="1:10">
      <c r="A385" t="s">
        <v>2411</v>
      </c>
      <c r="B385" t="s">
        <v>1239</v>
      </c>
      <c r="C385">
        <f t="array" ref="C385">D385:F385</f>
        <v>1771.3037405</v>
      </c>
      <c r="D385" s="29">
        <v>1771.3037405</v>
      </c>
      <c r="E385" s="29">
        <v>307.17435999999998</v>
      </c>
      <c r="F385" s="29">
        <v>1806.9079999999999</v>
      </c>
      <c r="G385" t="str">
        <f t="shared" si="213"/>
        <v>TKC_PIPE_Q</v>
      </c>
      <c r="H385" t="str">
        <f t="shared" si="214"/>
        <v>1806.908, 307.17436);</v>
      </c>
      <c r="I385" t="str">
        <f t="shared" si="215"/>
        <v>1806.908</v>
      </c>
      <c r="J385" t="str">
        <f t="shared" si="216"/>
        <v xml:space="preserve"> 307.17436</v>
      </c>
    </row>
    <row r="386" spans="1:10">
      <c r="A386" t="s">
        <v>2412</v>
      </c>
      <c r="B386" t="s">
        <v>1249</v>
      </c>
      <c r="C386">
        <f t="array" ref="C386">D386:F386</f>
        <v>0.45278770000000002</v>
      </c>
      <c r="D386" s="29">
        <v>0.45278770000000002</v>
      </c>
      <c r="E386" s="29">
        <v>8.9980000000000004E-2</v>
      </c>
      <c r="F386" s="29">
        <v>0.44990000000000002</v>
      </c>
      <c r="G386" t="str">
        <f t="shared" si="213"/>
        <v>TKC_PIPE_WF</v>
      </c>
      <c r="H386" t="str">
        <f t="shared" si="214"/>
        <v>.4499, .08998);</v>
      </c>
      <c r="I386" t="str">
        <f t="shared" si="215"/>
        <v>.4499</v>
      </c>
      <c r="J386" t="str">
        <f t="shared" si="216"/>
        <v xml:space="preserve"> .08998</v>
      </c>
    </row>
    <row r="387" spans="1:10">
      <c r="A387" s="49"/>
    </row>
    <row r="388" spans="1:10">
      <c r="A388" s="49"/>
    </row>
    <row r="389" spans="1:10">
      <c r="A389" s="49"/>
    </row>
    <row r="390" spans="1:10">
      <c r="A390" s="49"/>
    </row>
    <row r="391" spans="1:10">
      <c r="A391" s="49"/>
    </row>
    <row r="392" spans="1:10">
      <c r="A392" s="49"/>
    </row>
    <row r="393" spans="1:10">
      <c r="A393" s="49"/>
    </row>
    <row r="394" spans="1:10">
      <c r="A394" s="49"/>
    </row>
    <row r="395" spans="1:10">
      <c r="A395" s="49"/>
    </row>
    <row r="396" spans="1:10">
      <c r="A396" s="49"/>
    </row>
    <row r="397" spans="1:10">
      <c r="A397" s="49"/>
    </row>
    <row r="398" spans="1:10">
      <c r="A398" s="49"/>
    </row>
    <row r="399" spans="1:10">
      <c r="A399" s="49"/>
    </row>
    <row r="400" spans="1:10">
      <c r="A400" s="49"/>
    </row>
    <row r="401" spans="1:1">
      <c r="A401" s="49"/>
    </row>
    <row r="402" spans="1:1">
      <c r="A402" s="49"/>
    </row>
    <row r="403" spans="1:1">
      <c r="A403" s="49"/>
    </row>
    <row r="404" spans="1:1">
      <c r="A404" s="49"/>
    </row>
    <row r="405" spans="1:1">
      <c r="A405" s="49"/>
    </row>
    <row r="406" spans="1:1">
      <c r="A406" s="49"/>
    </row>
    <row r="407" spans="1:1">
      <c r="A407" s="49"/>
    </row>
    <row r="408" spans="1:1">
      <c r="A408" s="49"/>
    </row>
    <row r="409" spans="1:1">
      <c r="A409" s="49"/>
    </row>
    <row r="410" spans="1:1">
      <c r="A410" s="49"/>
    </row>
    <row r="411" spans="1:1">
      <c r="A411" s="49"/>
    </row>
    <row r="412" spans="1:1">
      <c r="A412" s="49"/>
    </row>
    <row r="413" spans="1:1">
      <c r="A413" s="49"/>
    </row>
    <row r="414" spans="1:1">
      <c r="A414" s="49"/>
    </row>
    <row r="415" spans="1:1">
      <c r="A415" s="49"/>
    </row>
    <row r="416" spans="1:1">
      <c r="A416" s="49"/>
    </row>
    <row r="417" spans="1:1">
      <c r="A417" s="49"/>
    </row>
    <row r="418" spans="1:1">
      <c r="A418" s="49"/>
    </row>
    <row r="419" spans="1:1">
      <c r="A419" s="49"/>
    </row>
    <row r="420" spans="1:1">
      <c r="A420" s="49"/>
    </row>
    <row r="421" spans="1:1">
      <c r="A421" s="49"/>
    </row>
    <row r="422" spans="1:1">
      <c r="A422" s="49"/>
    </row>
    <row r="423" spans="1:1">
      <c r="A423" s="49"/>
    </row>
    <row r="424" spans="1:1">
      <c r="A424" s="49"/>
    </row>
    <row r="425" spans="1:1">
      <c r="A425" s="49"/>
    </row>
    <row r="426" spans="1:1">
      <c r="A426" s="49"/>
    </row>
    <row r="427" spans="1:1">
      <c r="A427" s="49"/>
    </row>
    <row r="428" spans="1:1">
      <c r="A428" s="49"/>
    </row>
    <row r="429" spans="1:1">
      <c r="A429" s="49"/>
    </row>
    <row r="430" spans="1:1">
      <c r="A430" s="49"/>
    </row>
    <row r="431" spans="1:1">
      <c r="A431" s="49"/>
    </row>
    <row r="432" spans="1:1">
      <c r="A432" s="49"/>
    </row>
    <row r="433" spans="1:1">
      <c r="A433" s="49"/>
    </row>
    <row r="434" spans="1:1">
      <c r="A434" s="49"/>
    </row>
    <row r="435" spans="1:1">
      <c r="A435" s="49"/>
    </row>
    <row r="436" spans="1:1">
      <c r="A436" s="49"/>
    </row>
    <row r="437" spans="1:1">
      <c r="A437" s="49"/>
    </row>
    <row r="438" spans="1:1">
      <c r="A438" s="49"/>
    </row>
    <row r="439" spans="1:1">
      <c r="A439" s="49"/>
    </row>
    <row r="440" spans="1:1">
      <c r="A440" s="49"/>
    </row>
    <row r="441" spans="1:1">
      <c r="A441" s="49"/>
    </row>
    <row r="442" spans="1:1">
      <c r="A442" s="49"/>
    </row>
    <row r="443" spans="1:1">
      <c r="A443" s="49"/>
    </row>
    <row r="444" spans="1:1">
      <c r="A444" s="49"/>
    </row>
    <row r="445" spans="1:1">
      <c r="A445" s="49"/>
    </row>
    <row r="446" spans="1:1">
      <c r="A446" s="49"/>
    </row>
    <row r="447" spans="1:1">
      <c r="A447" s="49"/>
    </row>
    <row r="448" spans="1:1">
      <c r="A448" s="49"/>
    </row>
    <row r="449" spans="1:1">
      <c r="A449" s="49"/>
    </row>
    <row r="450" spans="1:1">
      <c r="A450" s="49"/>
    </row>
    <row r="451" spans="1:1">
      <c r="A451" s="49"/>
    </row>
    <row r="452" spans="1:1">
      <c r="A452" s="49"/>
    </row>
    <row r="453" spans="1:1">
      <c r="A453" s="49"/>
    </row>
    <row r="454" spans="1:1">
      <c r="A454" s="49"/>
    </row>
    <row r="455" spans="1:1">
      <c r="A455" s="49"/>
    </row>
    <row r="456" spans="1:1">
      <c r="A456" s="49"/>
    </row>
    <row r="457" spans="1:1">
      <c r="A457" s="49"/>
    </row>
    <row r="458" spans="1:1">
      <c r="A458" s="49"/>
    </row>
    <row r="459" spans="1:1">
      <c r="A459" s="49"/>
    </row>
    <row r="460" spans="1:1">
      <c r="A460" s="49"/>
    </row>
    <row r="461" spans="1:1">
      <c r="A461" s="49"/>
    </row>
    <row r="462" spans="1:1">
      <c r="A462" s="49"/>
    </row>
    <row r="463" spans="1:1">
      <c r="A463" s="49"/>
    </row>
    <row r="464" spans="1:1">
      <c r="A464" s="49"/>
    </row>
    <row r="465" spans="1:1">
      <c r="A465" s="49"/>
    </row>
    <row r="466" spans="1:1">
      <c r="A466" s="49"/>
    </row>
    <row r="467" spans="1:1">
      <c r="A467" s="49"/>
    </row>
    <row r="468" spans="1:1">
      <c r="A468" s="49"/>
    </row>
    <row r="469" spans="1:1">
      <c r="A469" s="49"/>
    </row>
    <row r="470" spans="1:1">
      <c r="A470" s="49"/>
    </row>
    <row r="471" spans="1:1">
      <c r="A471" s="49"/>
    </row>
    <row r="472" spans="1:1">
      <c r="A472" s="49"/>
    </row>
    <row r="473" spans="1:1">
      <c r="A473" s="49"/>
    </row>
    <row r="474" spans="1:1">
      <c r="A474" s="49"/>
    </row>
    <row r="475" spans="1:1">
      <c r="A475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574</vt:i4>
      </vt:variant>
    </vt:vector>
  </HeadingPairs>
  <TitlesOfParts>
    <vt:vector size="586" baseType="lpstr">
      <vt:lpstr>ResolverReservedData</vt:lpstr>
      <vt:lpstr>Ammonia Reconciliation Problem</vt:lpstr>
      <vt:lpstr>Test1 Problem</vt:lpstr>
      <vt:lpstr>Large Nonlinear Problem</vt:lpstr>
      <vt:lpstr>Simple Linear Problem</vt:lpstr>
      <vt:lpstr>Reconciliation Report 3</vt:lpstr>
      <vt:lpstr>TestNL4 Problem</vt:lpstr>
      <vt:lpstr>Simple  Mass Volume Problem</vt:lpstr>
      <vt:lpstr>Reconciliation Report 1</vt:lpstr>
      <vt:lpstr>Reconciliation Report 2</vt:lpstr>
      <vt:lpstr>Bilinear</vt:lpstr>
      <vt:lpstr>Bilinear(raw)</vt:lpstr>
      <vt:lpstr>_xx1</vt:lpstr>
      <vt:lpstr>_xx2</vt:lpstr>
      <vt:lpstr>_xx3</vt:lpstr>
      <vt:lpstr>_xx4</vt:lpstr>
      <vt:lpstr>_xx5</vt:lpstr>
      <vt:lpstr>_yy1</vt:lpstr>
      <vt:lpstr>_yy2</vt:lpstr>
      <vt:lpstr>_yy3</vt:lpstr>
      <vt:lpstr>'Simple Linear Problem'!abs_btm</vt:lpstr>
      <vt:lpstr>abs_btm</vt:lpstr>
      <vt:lpstr>abs_btm_dens</vt:lpstr>
      <vt:lpstr>abs_btm_mass</vt:lpstr>
      <vt:lpstr>abs_btm_vol</vt:lpstr>
      <vt:lpstr>'Simple Linear Problem'!abs_ovhd</vt:lpstr>
      <vt:lpstr>abs_ovhd</vt:lpstr>
      <vt:lpstr>abs_ovhd_dens</vt:lpstr>
      <vt:lpstr>abs_ovhd_mass</vt:lpstr>
      <vt:lpstr>abs_ovhd_vol</vt:lpstr>
      <vt:lpstr>'Simple Linear Problem'!acid_gas</vt:lpstr>
      <vt:lpstr>acid_gas</vt:lpstr>
      <vt:lpstr>acid_gas_dens</vt:lpstr>
      <vt:lpstr>acid_gas_mass</vt:lpstr>
      <vt:lpstr>acid_gas_vol</vt:lpstr>
      <vt:lpstr>Bilinear!BOREWATER_Q</vt:lpstr>
      <vt:lpstr>'Simple Linear Problem'!bypass</vt:lpstr>
      <vt:lpstr>bypass</vt:lpstr>
      <vt:lpstr>bypass_dens</vt:lpstr>
      <vt:lpstr>bypass_mass</vt:lpstr>
      <vt:lpstr>bypass_vol</vt:lpstr>
      <vt:lpstr>'Large Nonlinear Problem'!CCLASStreamConcThickenerFeedStream_Ag</vt:lpstr>
      <vt:lpstr>'Large Nonlinear Problem'!CCLASStreamConcThickenerFeedStream_Au</vt:lpstr>
      <vt:lpstr>'Large Nonlinear Problem'!CCLASStreamConcThickenerFeedStream_Cu</vt:lpstr>
      <vt:lpstr>'Large Nonlinear Problem'!CCLASStreamConcThickenerFeedStream_F</vt:lpstr>
      <vt:lpstr>'Large Nonlinear Problem'!CCLASStreamConcThickenerFeedStream_Fe</vt:lpstr>
      <vt:lpstr>'Large Nonlinear Problem'!CCLASStreamConcThickenerFeedStream_Mass</vt:lpstr>
      <vt:lpstr>'Large Nonlinear Problem'!CCLASStreamConcThickenerFeedStream_S</vt:lpstr>
      <vt:lpstr>'Large Nonlinear Problem'!CCLASStreamConcThickenerFeedStream_U</vt:lpstr>
      <vt:lpstr>'Large Nonlinear Problem'!CCLASStreamFlotationTailsStream_Ag</vt:lpstr>
      <vt:lpstr>'Large Nonlinear Problem'!CCLASStreamFlotationTailsStream_Au</vt:lpstr>
      <vt:lpstr>'Large Nonlinear Problem'!CCLASStreamFlotationTailsStream_Cu</vt:lpstr>
      <vt:lpstr>'Large Nonlinear Problem'!CCLASStreamFlotationTailsStream_F</vt:lpstr>
      <vt:lpstr>'Large Nonlinear Problem'!CCLASStreamFlotationTailsStream_Fe</vt:lpstr>
      <vt:lpstr>'Large Nonlinear Problem'!CCLASStreamFlotationTailsStream_Mass</vt:lpstr>
      <vt:lpstr>'Large Nonlinear Problem'!CCLASStreamFlotationTailsStream_S</vt:lpstr>
      <vt:lpstr>'Large Nonlinear Problem'!CCLASStreamFlotationTailsStream_U</vt:lpstr>
      <vt:lpstr>'Large Nonlinear Problem'!CCLASStreamRougherFeedStream_Ag</vt:lpstr>
      <vt:lpstr>'Large Nonlinear Problem'!CCLASStreamRougherFeedStream_Au</vt:lpstr>
      <vt:lpstr>'Large Nonlinear Problem'!CCLASStreamRougherFeedStream_Cu</vt:lpstr>
      <vt:lpstr>'Large Nonlinear Problem'!CCLASStreamRougherFeedStream_F</vt:lpstr>
      <vt:lpstr>'Large Nonlinear Problem'!CCLASStreamRougherFeedStream_Fe</vt:lpstr>
      <vt:lpstr>'Large Nonlinear Problem'!CCLASStreamRougherFeedStream_Mass</vt:lpstr>
      <vt:lpstr>'Large Nonlinear Problem'!CCLASStreamRougherFeedStream_S</vt:lpstr>
      <vt:lpstr>'Large Nonlinear Problem'!CCLASStreamRougherFeedStream_U</vt:lpstr>
      <vt:lpstr>'Large Nonlinear Problem'!ConcStorageTank1_close_Ag</vt:lpstr>
      <vt:lpstr>'Large Nonlinear Problem'!ConcStorageTank1_close_Au</vt:lpstr>
      <vt:lpstr>'Large Nonlinear Problem'!ConcStorageTank1_close_Cu</vt:lpstr>
      <vt:lpstr>'Large Nonlinear Problem'!ConcStorageTank1_close_F</vt:lpstr>
      <vt:lpstr>'Large Nonlinear Problem'!ConcStorageTank1_close_Fe</vt:lpstr>
      <vt:lpstr>'Large Nonlinear Problem'!ConcStorageTank1_close_Mass</vt:lpstr>
      <vt:lpstr>'Large Nonlinear Problem'!ConcStorageTank1_close_S</vt:lpstr>
      <vt:lpstr>'Large Nonlinear Problem'!ConcStorageTank1_close_U</vt:lpstr>
      <vt:lpstr>'Large Nonlinear Problem'!ConcStorageTank1_open_Ag</vt:lpstr>
      <vt:lpstr>'Large Nonlinear Problem'!ConcStorageTank1_open_Au</vt:lpstr>
      <vt:lpstr>'Large Nonlinear Problem'!ConcStorageTank1_open_Cu</vt:lpstr>
      <vt:lpstr>'Large Nonlinear Problem'!ConcStorageTank1_open_F</vt:lpstr>
      <vt:lpstr>'Large Nonlinear Problem'!ConcStorageTank1_open_Fe</vt:lpstr>
      <vt:lpstr>'Large Nonlinear Problem'!ConcStorageTank1_open_Mass</vt:lpstr>
      <vt:lpstr>'Large Nonlinear Problem'!ConcStorageTank1_open_S</vt:lpstr>
      <vt:lpstr>'Large Nonlinear Problem'!ConcStorageTank1_open_U</vt:lpstr>
      <vt:lpstr>'Large Nonlinear Problem'!ConcStorageTank1FeedStream_Ag</vt:lpstr>
      <vt:lpstr>'Large Nonlinear Problem'!ConcStorageTank1FeedStream_Au</vt:lpstr>
      <vt:lpstr>'Large Nonlinear Problem'!ConcStorageTank1FeedStream_Cu</vt:lpstr>
      <vt:lpstr>'Large Nonlinear Problem'!ConcStorageTank1FeedStream_F</vt:lpstr>
      <vt:lpstr>'Large Nonlinear Problem'!ConcStorageTank1FeedStream_Fe</vt:lpstr>
      <vt:lpstr>'Large Nonlinear Problem'!ConcStorageTank1FeedStream_Mass</vt:lpstr>
      <vt:lpstr>'Large Nonlinear Problem'!ConcStorageTank1FeedStream_S</vt:lpstr>
      <vt:lpstr>'Large Nonlinear Problem'!ConcStorageTank1FeedStream_U</vt:lpstr>
      <vt:lpstr>'Large Nonlinear Problem'!ConcStorageTank1UnderflowStream_Ag</vt:lpstr>
      <vt:lpstr>'Large Nonlinear Problem'!ConcStorageTank1UnderflowStream_Au</vt:lpstr>
      <vt:lpstr>'Large Nonlinear Problem'!ConcStorageTank1UnderflowStream_Cu</vt:lpstr>
      <vt:lpstr>'Large Nonlinear Problem'!ConcStorageTank1UnderflowStream_F</vt:lpstr>
      <vt:lpstr>'Large Nonlinear Problem'!ConcStorageTank1UnderflowStream_Fe</vt:lpstr>
      <vt:lpstr>'Large Nonlinear Problem'!ConcStorageTank1UnderflowStream_Mass</vt:lpstr>
      <vt:lpstr>'Large Nonlinear Problem'!ConcStorageTank1UnderflowStream_S</vt:lpstr>
      <vt:lpstr>'Large Nonlinear Problem'!ConcStorageTank1UnderflowStream_U</vt:lpstr>
      <vt:lpstr>'Large Nonlinear Problem'!ConcStorageTank2_close_Ag</vt:lpstr>
      <vt:lpstr>'Large Nonlinear Problem'!ConcStorageTank2_close_Au</vt:lpstr>
      <vt:lpstr>'Large Nonlinear Problem'!ConcStorageTank2_close_Cu</vt:lpstr>
      <vt:lpstr>'Large Nonlinear Problem'!ConcStorageTank2_close_F</vt:lpstr>
      <vt:lpstr>'Large Nonlinear Problem'!ConcStorageTank2_close_Fe</vt:lpstr>
      <vt:lpstr>'Large Nonlinear Problem'!ConcStorageTank2_close_Mass</vt:lpstr>
      <vt:lpstr>'Large Nonlinear Problem'!ConcStorageTank2_close_S</vt:lpstr>
      <vt:lpstr>'Large Nonlinear Problem'!ConcStorageTank2_close_U</vt:lpstr>
      <vt:lpstr>'Large Nonlinear Problem'!ConcStorageTank2_open_Ag</vt:lpstr>
      <vt:lpstr>'Large Nonlinear Problem'!ConcStorageTank2_open_Au</vt:lpstr>
      <vt:lpstr>'Large Nonlinear Problem'!ConcStorageTank2_open_Cu</vt:lpstr>
      <vt:lpstr>'Large Nonlinear Problem'!ConcStorageTank2_open_F</vt:lpstr>
      <vt:lpstr>'Large Nonlinear Problem'!ConcStorageTank2_open_Fe</vt:lpstr>
      <vt:lpstr>'Large Nonlinear Problem'!ConcStorageTank2_open_Mass</vt:lpstr>
      <vt:lpstr>'Large Nonlinear Problem'!ConcStorageTank2_open_S</vt:lpstr>
      <vt:lpstr>'Large Nonlinear Problem'!ConcStorageTank2_open_U</vt:lpstr>
      <vt:lpstr>'Large Nonlinear Problem'!ConcStorageTank2FeedStream_Ag</vt:lpstr>
      <vt:lpstr>'Large Nonlinear Problem'!ConcStorageTank2FeedStream_Au</vt:lpstr>
      <vt:lpstr>'Large Nonlinear Problem'!ConcStorageTank2FeedStream_Cu</vt:lpstr>
      <vt:lpstr>'Large Nonlinear Problem'!ConcStorageTank2FeedStream_F</vt:lpstr>
      <vt:lpstr>'Large Nonlinear Problem'!ConcStorageTank2FeedStream_Fe</vt:lpstr>
      <vt:lpstr>'Large Nonlinear Problem'!ConcStorageTank2FeedStream_Mass</vt:lpstr>
      <vt:lpstr>'Large Nonlinear Problem'!ConcStorageTank2FeedStream_S</vt:lpstr>
      <vt:lpstr>'Large Nonlinear Problem'!ConcStorageTank2FeedStream_U</vt:lpstr>
      <vt:lpstr>'Large Nonlinear Problem'!ConcStorageTank2UnderflowStream_Ag</vt:lpstr>
      <vt:lpstr>'Large Nonlinear Problem'!ConcStorageTank2UnderflowStream_Au</vt:lpstr>
      <vt:lpstr>'Large Nonlinear Problem'!ConcStorageTank2UnderflowStream_Cu</vt:lpstr>
      <vt:lpstr>'Large Nonlinear Problem'!ConcStorageTank2UnderflowStream_F</vt:lpstr>
      <vt:lpstr>'Large Nonlinear Problem'!ConcStorageTank2UnderflowStream_Fe</vt:lpstr>
      <vt:lpstr>'Large Nonlinear Problem'!ConcStorageTank2UnderflowStream_Mass</vt:lpstr>
      <vt:lpstr>'Large Nonlinear Problem'!ConcStorageTank2UnderflowStream_S</vt:lpstr>
      <vt:lpstr>'Large Nonlinear Problem'!ConcStorageTank2UnderflowStream_U</vt:lpstr>
      <vt:lpstr>'Large Nonlinear Problem'!ConcThickener_close_Ag</vt:lpstr>
      <vt:lpstr>'Large Nonlinear Problem'!ConcThickener_close_Au</vt:lpstr>
      <vt:lpstr>'Large Nonlinear Problem'!ConcThickener_close_Cu</vt:lpstr>
      <vt:lpstr>'Large Nonlinear Problem'!ConcThickener_close_F</vt:lpstr>
      <vt:lpstr>'Large Nonlinear Problem'!ConcThickener_close_Fe</vt:lpstr>
      <vt:lpstr>'Large Nonlinear Problem'!ConcThickener_close_Mass</vt:lpstr>
      <vt:lpstr>'Large Nonlinear Problem'!ConcThickener_close_S</vt:lpstr>
      <vt:lpstr>'Large Nonlinear Problem'!ConcThickener_close_U</vt:lpstr>
      <vt:lpstr>'Large Nonlinear Problem'!ConcThickener_open_Ag</vt:lpstr>
      <vt:lpstr>'Large Nonlinear Problem'!ConcThickener_open_Au</vt:lpstr>
      <vt:lpstr>'Large Nonlinear Problem'!ConcThickener_open_Cu</vt:lpstr>
      <vt:lpstr>'Large Nonlinear Problem'!ConcThickener_open_F</vt:lpstr>
      <vt:lpstr>'Large Nonlinear Problem'!ConcThickener_open_Fe</vt:lpstr>
      <vt:lpstr>'Large Nonlinear Problem'!ConcThickener_open_Mass</vt:lpstr>
      <vt:lpstr>'Large Nonlinear Problem'!ConcThickener_open_S</vt:lpstr>
      <vt:lpstr>'Large Nonlinear Problem'!ConcThickener_open_U</vt:lpstr>
      <vt:lpstr>'Large Nonlinear Problem'!ConcThickenerUnderflowStream_Ag</vt:lpstr>
      <vt:lpstr>'Large Nonlinear Problem'!ConcThickenerUnderflowStream_Au</vt:lpstr>
      <vt:lpstr>'Large Nonlinear Problem'!ConcThickenerUnderflowStream_Cu</vt:lpstr>
      <vt:lpstr>'Large Nonlinear Problem'!ConcThickenerUnderflowStream_F</vt:lpstr>
      <vt:lpstr>'Large Nonlinear Problem'!ConcThickenerUnderflowStream_Fe</vt:lpstr>
      <vt:lpstr>'Large Nonlinear Problem'!ConcThickenerUnderflowStream_Mass</vt:lpstr>
      <vt:lpstr>'Large Nonlinear Problem'!ConcThickenerUnderflowStream_S</vt:lpstr>
      <vt:lpstr>'Large Nonlinear Problem'!ConcThickenerUnderflowStream_U</vt:lpstr>
      <vt:lpstr>Bilinear!CONCTHK_OVERFLOW_Q</vt:lpstr>
      <vt:lpstr>Bilinear!CONCTHK_TK23_CF</vt:lpstr>
      <vt:lpstr>Bilinear!CONCTHK_TK23_Q</vt:lpstr>
      <vt:lpstr>Bilinear!CONCTHK_TK23_WF</vt:lpstr>
      <vt:lpstr>Bilinear!CONCTHK_TK24_CF</vt:lpstr>
      <vt:lpstr>Bilinear!CONCTHK_TK24_Q</vt:lpstr>
      <vt:lpstr>Bilinear!CONCTHK_TK24_WF</vt:lpstr>
      <vt:lpstr>Bilinear!CONCTHK_TK25_CF</vt:lpstr>
      <vt:lpstr>Bilinear!CONCTHK_TK25_Q</vt:lpstr>
      <vt:lpstr>Bilinear!CONCTHK_TK25_WF</vt:lpstr>
      <vt:lpstr>Bilinear!CONCTHK_TK26_CF</vt:lpstr>
      <vt:lpstr>Bilinear!CONCTHK_TK26_Q</vt:lpstr>
      <vt:lpstr>Bilinear!CONCTHK_TK26_WF</vt:lpstr>
      <vt:lpstr>Bilinear!CONCTHK_TKC_CF</vt:lpstr>
      <vt:lpstr>Bilinear!CONCTHK_TKC_Q</vt:lpstr>
      <vt:lpstr>Bilinear!CONCTHK_TKC_WF</vt:lpstr>
      <vt:lpstr>Bilinear!CONCTHK1_OVERFLOW_Q</vt:lpstr>
      <vt:lpstr>Bilinear!CONCTHK2_OVERFLOW_Q</vt:lpstr>
      <vt:lpstr>Bilinear!CONCTHK21_CLOSE_CF</vt:lpstr>
      <vt:lpstr>Bilinear!CONCTHK21_CLOSE_Q</vt:lpstr>
      <vt:lpstr>Bilinear!CONCTHK21_CLOSE_WF</vt:lpstr>
      <vt:lpstr>Bilinear!CONCTHK21_OPEN_CF</vt:lpstr>
      <vt:lpstr>Bilinear!CONCTHK21_OPEN_Q</vt:lpstr>
      <vt:lpstr>Bilinear!CONCTHK21_OPEN_WF</vt:lpstr>
      <vt:lpstr>Bilinear!CONCTHK21_PP51_CF</vt:lpstr>
      <vt:lpstr>Bilinear!CONCTHK21_PP51_Q</vt:lpstr>
      <vt:lpstr>Bilinear!CONCTHK21_PP51_WF</vt:lpstr>
      <vt:lpstr>Bilinear!CONCTHK21_PP52_CF</vt:lpstr>
      <vt:lpstr>Bilinear!CONCTHK21_PP52_Q</vt:lpstr>
      <vt:lpstr>Bilinear!CONCTHK21_PP52_WF</vt:lpstr>
      <vt:lpstr>Bilinear!CONCTHK21_TOTVOL_CLOSE_Q</vt:lpstr>
      <vt:lpstr>Bilinear!CONCTHK21_TOTVOL_OPEN_Q</vt:lpstr>
      <vt:lpstr>Bilinear!CONCTHK22_CLOSE_CF</vt:lpstr>
      <vt:lpstr>Bilinear!CONCTHK22_CLOSE_Q</vt:lpstr>
      <vt:lpstr>Bilinear!CONCTHK22_CLOSE_WF</vt:lpstr>
      <vt:lpstr>Bilinear!CONCTHK22_OPEN_CF</vt:lpstr>
      <vt:lpstr>Bilinear!CONCTHK22_OPEN_Q</vt:lpstr>
      <vt:lpstr>Bilinear!CONCTHK22_OPEN_WF</vt:lpstr>
      <vt:lpstr>Bilinear!CONCTHK22_PP53_CF</vt:lpstr>
      <vt:lpstr>Bilinear!CONCTHK22_PP53_Q</vt:lpstr>
      <vt:lpstr>Bilinear!CONCTHK22_PP53_WF</vt:lpstr>
      <vt:lpstr>Bilinear!CONCTHK22_PP54_CF</vt:lpstr>
      <vt:lpstr>Bilinear!CONCTHK22_PP54_Q</vt:lpstr>
      <vt:lpstr>Bilinear!CONCTHK22_PP54_WF</vt:lpstr>
      <vt:lpstr>Bilinear!CONCTHK22_TOTVOL_CLOSE_Q</vt:lpstr>
      <vt:lpstr>Bilinear!CONCTHK22_TOTVOL_OPEN_Q</vt:lpstr>
      <vt:lpstr>'Simple Linear Problem'!condensate</vt:lpstr>
      <vt:lpstr>condensate</vt:lpstr>
      <vt:lpstr>condensate_dens</vt:lpstr>
      <vt:lpstr>condensate_mass</vt:lpstr>
      <vt:lpstr>condensate_vol</vt:lpstr>
      <vt:lpstr>'Large Nonlinear Problem'!CrushedOreStream_Ag</vt:lpstr>
      <vt:lpstr>'Large Nonlinear Problem'!CrushedOreStream_Au</vt:lpstr>
      <vt:lpstr>'Large Nonlinear Problem'!CrushedOreStream_Cu</vt:lpstr>
      <vt:lpstr>'Large Nonlinear Problem'!CrushedOreStream_F</vt:lpstr>
      <vt:lpstr>'Large Nonlinear Problem'!CrushedOreStream_Fe</vt:lpstr>
      <vt:lpstr>'Large Nonlinear Problem'!CrushedOreStream_S</vt:lpstr>
      <vt:lpstr>'Large Nonlinear Problem'!CrushedOreStream_U</vt:lpstr>
      <vt:lpstr>'Simple  Mass Volume Problem'!D_4_Feed</vt:lpstr>
      <vt:lpstr>'Simple Linear Problem'!D_4_Feed</vt:lpstr>
      <vt:lpstr>D_4_Feed</vt:lpstr>
      <vt:lpstr>'Simple  Mass Volume Problem'!D_4_Product</vt:lpstr>
      <vt:lpstr>'Simple Linear Problem'!D_4_Product</vt:lpstr>
      <vt:lpstr>D_4_Product</vt:lpstr>
      <vt:lpstr>'Simple  Mass Volume Problem'!D_7_Feed</vt:lpstr>
      <vt:lpstr>'Simple Linear Problem'!D_7_Feed</vt:lpstr>
      <vt:lpstr>D_7_Feed</vt:lpstr>
      <vt:lpstr>'Simple  Mass Volume Problem'!D_7_Product</vt:lpstr>
      <vt:lpstr>'Simple Linear Problem'!D_7_Product</vt:lpstr>
      <vt:lpstr>D_7_Product</vt:lpstr>
      <vt:lpstr>Bilinear!DI101_CONCTHK21_CF</vt:lpstr>
      <vt:lpstr>Bilinear!DI101_CONCTHK21_Q</vt:lpstr>
      <vt:lpstr>Bilinear!DI101_CONCTHK21_WF</vt:lpstr>
      <vt:lpstr>Bilinear!DI101_CONCTHK22_CF</vt:lpstr>
      <vt:lpstr>Bilinear!DI101_CONCTHK22_Q</vt:lpstr>
      <vt:lpstr>Bilinear!DI101_CONCTHK22_WF</vt:lpstr>
      <vt:lpstr>Bilinear!DI101_TOTAL_CF</vt:lpstr>
      <vt:lpstr>Bilinear!DI101_TOTAL_Q</vt:lpstr>
      <vt:lpstr>Bilinear!DI101_TOTAL_WF</vt:lpstr>
      <vt:lpstr>Bilinear!DI150_TAILTHK6_CF</vt:lpstr>
      <vt:lpstr>Bilinear!DI150_TAILTHK6_Q</vt:lpstr>
      <vt:lpstr>Bilinear!DI150_TAILTHK6_WF</vt:lpstr>
      <vt:lpstr>Bilinear!DI150_TAILTHK7_CF</vt:lpstr>
      <vt:lpstr>Bilinear!DI150_TAILTHK7_Q</vt:lpstr>
      <vt:lpstr>Bilinear!DI150_TAILTHK7_WF</vt:lpstr>
      <vt:lpstr>Bilinear!DI150_TAILTHK8_CF</vt:lpstr>
      <vt:lpstr>Bilinear!DI150_TAILTHK8_Q</vt:lpstr>
      <vt:lpstr>Bilinear!DI150_TAILTHK8_WF</vt:lpstr>
      <vt:lpstr>'Simple Linear Problem'!fat_oil</vt:lpstr>
      <vt:lpstr>fat_oil</vt:lpstr>
      <vt:lpstr>fat_oil_dens</vt:lpstr>
      <vt:lpstr>fat_oil_mass</vt:lpstr>
      <vt:lpstr>fat_oil_vol</vt:lpstr>
      <vt:lpstr>Bilinear!FEED_CF</vt:lpstr>
      <vt:lpstr>Bilinear!FEED_Q</vt:lpstr>
      <vt:lpstr>Bilinear!FEED_WF</vt:lpstr>
      <vt:lpstr>Bilinear!FINALCONC_CF</vt:lpstr>
      <vt:lpstr>Bilinear!FINALCONC_Q</vt:lpstr>
      <vt:lpstr>Bilinear!FINALCONC_WF</vt:lpstr>
      <vt:lpstr>'Simple Linear Problem'!fuel_gas</vt:lpstr>
      <vt:lpstr>fuel_gas</vt:lpstr>
      <vt:lpstr>fuel_gas_dens</vt:lpstr>
      <vt:lpstr>fuel_gas_mass</vt:lpstr>
      <vt:lpstr>fuel_gas_vol</vt:lpstr>
      <vt:lpstr>Bilinear!H2O_RECOVERED_Q</vt:lpstr>
      <vt:lpstr>Bilinear!H2ODISCHARGE_Q</vt:lpstr>
      <vt:lpstr>Bilinear!H2OFRESH_TK83_Q</vt:lpstr>
      <vt:lpstr>Bilinear!H2OPROCESSTOTAL_Q</vt:lpstr>
      <vt:lpstr>Bilinear!H2OSEAL_1CLN_Q</vt:lpstr>
      <vt:lpstr>Bilinear!H2OSEAL_DI30_Q</vt:lpstr>
      <vt:lpstr>Bilinear!H2OSEAL_Q</vt:lpstr>
      <vt:lpstr>Bilinear!H2OSEAL_REM_1_Q</vt:lpstr>
      <vt:lpstr>Bilinear!H2OSEAL_REM_2_Q</vt:lpstr>
      <vt:lpstr>'Simple  Mass Volume Problem'!J_4_Feed</vt:lpstr>
      <vt:lpstr>'Simple Linear Problem'!J_4_Feed</vt:lpstr>
      <vt:lpstr>J_4_Feed</vt:lpstr>
      <vt:lpstr>'Simple  Mass Volume Problem'!J_4_Product</vt:lpstr>
      <vt:lpstr>'Simple Linear Problem'!J_4_Product</vt:lpstr>
      <vt:lpstr>J_4_Product</vt:lpstr>
      <vt:lpstr>'Simple  Mass Volume Problem'!J_6_Feed</vt:lpstr>
      <vt:lpstr>'Simple Linear Problem'!J_6_Feed</vt:lpstr>
      <vt:lpstr>J_6_Feed</vt:lpstr>
      <vt:lpstr>'Simple  Mass Volume Problem'!J_6_Product</vt:lpstr>
      <vt:lpstr>'Simple Linear Problem'!J_6_Product</vt:lpstr>
      <vt:lpstr>J_6_Product</vt:lpstr>
      <vt:lpstr>'Simple Linear Problem'!lean_oil</vt:lpstr>
      <vt:lpstr>lean_oil</vt:lpstr>
      <vt:lpstr>lean_oil_dens</vt:lpstr>
      <vt:lpstr>lean_oil_mass</vt:lpstr>
      <vt:lpstr>lean_oil_vol</vt:lpstr>
      <vt:lpstr>Bilinear!MILL_MIXER_CF</vt:lpstr>
      <vt:lpstr>Bilinear!MILL_MIXER_Q</vt:lpstr>
      <vt:lpstr>Bilinear!MILL_MIXER_WF</vt:lpstr>
      <vt:lpstr>'Large Nonlinear Problem'!OSAStreamConcThickenerFeedStream_Ag</vt:lpstr>
      <vt:lpstr>'Large Nonlinear Problem'!OSAStreamConcThickenerFeedStream_Au</vt:lpstr>
      <vt:lpstr>'Large Nonlinear Problem'!OSAStreamConcThickenerFeedStream_Cu</vt:lpstr>
      <vt:lpstr>'Large Nonlinear Problem'!OSAStreamConcThickenerFeedStream_F</vt:lpstr>
      <vt:lpstr>'Large Nonlinear Problem'!OSAStreamConcThickenerFeedStream_Fe</vt:lpstr>
      <vt:lpstr>'Large Nonlinear Problem'!OSAStreamConcThickenerFeedStream_Mass</vt:lpstr>
      <vt:lpstr>'Large Nonlinear Problem'!OSAStreamConcThickenerFeedStream_S</vt:lpstr>
      <vt:lpstr>'Large Nonlinear Problem'!OSAStreamConcThickenerFeedStream_U</vt:lpstr>
      <vt:lpstr>'Large Nonlinear Problem'!OSAStreamFlotationTailsStream_Ag</vt:lpstr>
      <vt:lpstr>'Large Nonlinear Problem'!OSAStreamFlotationTailsStream_Au</vt:lpstr>
      <vt:lpstr>'Large Nonlinear Problem'!OSAStreamFlotationTailsStream_Cu</vt:lpstr>
      <vt:lpstr>'Large Nonlinear Problem'!OSAStreamFlotationTailsStream_F</vt:lpstr>
      <vt:lpstr>'Large Nonlinear Problem'!OSAStreamFlotationTailsStream_Fe</vt:lpstr>
      <vt:lpstr>'Large Nonlinear Problem'!OSAStreamFlotationTailsStream_Mass</vt:lpstr>
      <vt:lpstr>'Large Nonlinear Problem'!OSAStreamFlotationTailsStream_S</vt:lpstr>
      <vt:lpstr>'Large Nonlinear Problem'!OSAStreamFlotationTailsStream_U</vt:lpstr>
      <vt:lpstr>'Large Nonlinear Problem'!OSAStreamRougherFeedStream_Ag</vt:lpstr>
      <vt:lpstr>'Large Nonlinear Problem'!OSAStreamRougherFeedStream_Au</vt:lpstr>
      <vt:lpstr>'Large Nonlinear Problem'!OSAStreamRougherFeedStream_Cu</vt:lpstr>
      <vt:lpstr>'Large Nonlinear Problem'!OSAStreamRougherFeedStream_F</vt:lpstr>
      <vt:lpstr>'Large Nonlinear Problem'!OSAStreamRougherFeedStream_Fe</vt:lpstr>
      <vt:lpstr>'Large Nonlinear Problem'!OSAStreamRougherFeedStream_Mass</vt:lpstr>
      <vt:lpstr>'Large Nonlinear Problem'!OSAStreamRougherFeedStream_S</vt:lpstr>
      <vt:lpstr>'Large Nonlinear Problem'!OSAStreamRougherFeedStream_U</vt:lpstr>
      <vt:lpstr>Bilinear!PIPE_TKCLC_CF</vt:lpstr>
      <vt:lpstr>Bilinear!PIPE_TKCLC_Q</vt:lpstr>
      <vt:lpstr>Bilinear!PIPE_TKCLC_WF</vt:lpstr>
      <vt:lpstr>Bilinear!PIPELINE_CLOSE_CF</vt:lpstr>
      <vt:lpstr>Bilinear!PIPELINE_CLOSE_Q</vt:lpstr>
      <vt:lpstr>Bilinear!PIPELINE_CLOSE_WF</vt:lpstr>
      <vt:lpstr>Bilinear!PIPELINE_OPEN_CF</vt:lpstr>
      <vt:lpstr>Bilinear!PIPELINE_OPEN_Q</vt:lpstr>
      <vt:lpstr>Bilinear!PIPELINE_OPEN_WF</vt:lpstr>
      <vt:lpstr>Bilinear!PLANTA_RO_FEED_Q</vt:lpstr>
      <vt:lpstr>Bilinear!POND_RECVR_Q</vt:lpstr>
      <vt:lpstr>Bilinear!POOL_2CLN_Q</vt:lpstr>
      <vt:lpstr>Bilinear!POOL_2CLNCONC_Q</vt:lpstr>
      <vt:lpstr>Bilinear!POOL_BC1SUMP_Q</vt:lpstr>
      <vt:lpstr>Bilinear!POOL_BC2SUMP_Q</vt:lpstr>
      <vt:lpstr>Bilinear!POOL_BC3SUMP_Q</vt:lpstr>
      <vt:lpstr>Bilinear!POOL_DI30_Q</vt:lpstr>
      <vt:lpstr>Bilinear!POOL_M1_Q</vt:lpstr>
      <vt:lpstr>Bilinear!POOL_MB1_Q</vt:lpstr>
      <vt:lpstr>Bilinear!POOL_MB2_Q</vt:lpstr>
      <vt:lpstr>Bilinear!POOL_MB3_Q</vt:lpstr>
      <vt:lpstr>Bilinear!POOL_MIXER_Q</vt:lpstr>
      <vt:lpstr>Bilinear!POOL_REM_1_Q</vt:lpstr>
      <vt:lpstr>Bilinear!POOL_REM_2_Q</vt:lpstr>
      <vt:lpstr>Bilinear!POOL_SAG_Q</vt:lpstr>
      <vt:lpstr>Bilinear!POOL_TK42_Q</vt:lpstr>
      <vt:lpstr>Bilinear!POOL_TK91_Q</vt:lpstr>
      <vt:lpstr>Bilinear!PP51_DI101_CF</vt:lpstr>
      <vt:lpstr>Bilinear!PP51_DI101_Q</vt:lpstr>
      <vt:lpstr>Bilinear!PP51_DI101_WF</vt:lpstr>
      <vt:lpstr>Bilinear!PP51_DI104_CF</vt:lpstr>
      <vt:lpstr>Bilinear!PP51_DI104_Q</vt:lpstr>
      <vt:lpstr>Bilinear!PP51_DI104_WF</vt:lpstr>
      <vt:lpstr>Bilinear!PP52_DI101_CF</vt:lpstr>
      <vt:lpstr>Bilinear!PP52_DI101_Q</vt:lpstr>
      <vt:lpstr>Bilinear!PP52_DI101_WF</vt:lpstr>
      <vt:lpstr>Bilinear!PP52_DI104_CF</vt:lpstr>
      <vt:lpstr>Bilinear!PP52_DI104_Q</vt:lpstr>
      <vt:lpstr>Bilinear!PP52_DI104_WF</vt:lpstr>
      <vt:lpstr>Bilinear!PP53_DI101_CF</vt:lpstr>
      <vt:lpstr>Bilinear!PP53_DI101_Q</vt:lpstr>
      <vt:lpstr>Bilinear!PP53_DI101_WF</vt:lpstr>
      <vt:lpstr>Bilinear!PP53_DI104_CF</vt:lpstr>
      <vt:lpstr>Bilinear!PP53_DI104_Q</vt:lpstr>
      <vt:lpstr>Bilinear!PP53_DI104_WF</vt:lpstr>
      <vt:lpstr>Bilinear!PP54_DI101_CF</vt:lpstr>
      <vt:lpstr>Bilinear!PP54_DI101_Q</vt:lpstr>
      <vt:lpstr>Bilinear!PP54_DI101_WF</vt:lpstr>
      <vt:lpstr>Bilinear!PP54_DI104_CF</vt:lpstr>
      <vt:lpstr>Bilinear!PP54_DI104_Q</vt:lpstr>
      <vt:lpstr>Bilinear!PP54_DI104_WF</vt:lpstr>
      <vt:lpstr>'Large Nonlinear Problem'!PressureFilterFeedStream_Ag</vt:lpstr>
      <vt:lpstr>'Large Nonlinear Problem'!PressureFilterFeedStream_Au</vt:lpstr>
      <vt:lpstr>'Large Nonlinear Problem'!PressureFilterFeedStream_Cu</vt:lpstr>
      <vt:lpstr>'Large Nonlinear Problem'!PressureFilterFeedStream_F</vt:lpstr>
      <vt:lpstr>'Large Nonlinear Problem'!PressureFilterFeedStream_Fe</vt:lpstr>
      <vt:lpstr>'Large Nonlinear Problem'!PressureFilterFeedStream_Mass</vt:lpstr>
      <vt:lpstr>'Large Nonlinear Problem'!PressureFilterFeedStream_S</vt:lpstr>
      <vt:lpstr>'Large Nonlinear Problem'!PressureFilterFeedStream_U</vt:lpstr>
      <vt:lpstr>'Large Nonlinear Problem'!PressureFilterUnderflowStream_Ag</vt:lpstr>
      <vt:lpstr>'Large Nonlinear Problem'!PressureFilterUnderflowStream_Au</vt:lpstr>
      <vt:lpstr>'Large Nonlinear Problem'!PressureFilterUnderflowStream_Cu</vt:lpstr>
      <vt:lpstr>'Large Nonlinear Problem'!PressureFilterUnderflowStream_F</vt:lpstr>
      <vt:lpstr>'Large Nonlinear Problem'!PressureFilterUnderflowStream_Fe</vt:lpstr>
      <vt:lpstr>'Large Nonlinear Problem'!PressureFilterUnderflowStream_Mass</vt:lpstr>
      <vt:lpstr>'Large Nonlinear Problem'!PressureFilterUnderflowStream_S</vt:lpstr>
      <vt:lpstr>'Large Nonlinear Problem'!PressureFilterUnderflowStream_U</vt:lpstr>
      <vt:lpstr>ReactorEff</vt:lpstr>
      <vt:lpstr>'Simple Linear Problem'!recycle</vt:lpstr>
      <vt:lpstr>recycle</vt:lpstr>
      <vt:lpstr>recycle_dens</vt:lpstr>
      <vt:lpstr>recycle_mass</vt:lpstr>
      <vt:lpstr>recycle_vol</vt:lpstr>
      <vt:lpstr>Bilinear!RIVERWATER_Q</vt:lpstr>
      <vt:lpstr>Bilinear!RO_POND_Q</vt:lpstr>
      <vt:lpstr>Bilinear!RO_TANK_Q</vt:lpstr>
      <vt:lpstr>Bilinear!ROUFEED_CF</vt:lpstr>
      <vt:lpstr>Bilinear!ROUFEED_Q</vt:lpstr>
      <vt:lpstr>Bilinear!ROUFEED_WF</vt:lpstr>
      <vt:lpstr>'Large Nonlinear Problem'!SAGMillFeedStream_Ag</vt:lpstr>
      <vt:lpstr>'Large Nonlinear Problem'!SAGMillFeedStream_Au</vt:lpstr>
      <vt:lpstr>'Large Nonlinear Problem'!SAGMillFeedStream_Cu</vt:lpstr>
      <vt:lpstr>'Large Nonlinear Problem'!SAGMillFeedStream_F</vt:lpstr>
      <vt:lpstr>'Large Nonlinear Problem'!SAGMillFeedStream_Fe</vt:lpstr>
      <vt:lpstr>'Large Nonlinear Problem'!SAGMillFeedStream_Mass</vt:lpstr>
      <vt:lpstr>'Large Nonlinear Problem'!SAGMillFeedStream_S</vt:lpstr>
      <vt:lpstr>'Large Nonlinear Problem'!SAGMillFeedStream_U</vt:lpstr>
      <vt:lpstr>'Simple Linear Problem'!sep_ovhd</vt:lpstr>
      <vt:lpstr>sep_ovhd</vt:lpstr>
      <vt:lpstr>sep_ovhd_dens</vt:lpstr>
      <vt:lpstr>sep_ovhd_mass</vt:lpstr>
      <vt:lpstr>sep_ovhd_vol</vt:lpstr>
      <vt:lpstr>'Simple Linear Problem'!sour_gas</vt:lpstr>
      <vt:lpstr>sour_gas</vt:lpstr>
      <vt:lpstr>sour_gas_dens</vt:lpstr>
      <vt:lpstr>sour_gas_mass</vt:lpstr>
      <vt:lpstr>sour_gas_vol</vt:lpstr>
      <vt:lpstr>'Large Nonlinear Problem'!SpillageReturnStream_Ag</vt:lpstr>
      <vt:lpstr>'Large Nonlinear Problem'!SpillageReturnStream_Au</vt:lpstr>
      <vt:lpstr>'Large Nonlinear Problem'!SpillageReturnStream_Cu</vt:lpstr>
      <vt:lpstr>'Large Nonlinear Problem'!SpillageReturnStream_F</vt:lpstr>
      <vt:lpstr>'Large Nonlinear Problem'!SpillageReturnStream_Fe</vt:lpstr>
      <vt:lpstr>'Large Nonlinear Problem'!SpillageReturnStream_Mass</vt:lpstr>
      <vt:lpstr>'Large Nonlinear Problem'!SpillageReturnStream_S</vt:lpstr>
      <vt:lpstr>'Large Nonlinear Problem'!SpillageReturnStream_U</vt:lpstr>
      <vt:lpstr>SplitterEff</vt:lpstr>
      <vt:lpstr>Stream1_A</vt:lpstr>
      <vt:lpstr>Stream1_H</vt:lpstr>
      <vt:lpstr>Stream1_N</vt:lpstr>
      <vt:lpstr>Stream1_NH</vt:lpstr>
      <vt:lpstr>Stream2_A</vt:lpstr>
      <vt:lpstr>Stream2_H</vt:lpstr>
      <vt:lpstr>Stream2_N</vt:lpstr>
      <vt:lpstr>Stream2_NH</vt:lpstr>
      <vt:lpstr>Stream3_A</vt:lpstr>
      <vt:lpstr>Stream3_H</vt:lpstr>
      <vt:lpstr>Stream3_N</vt:lpstr>
      <vt:lpstr>Stream3_NH</vt:lpstr>
      <vt:lpstr>Stream4_A</vt:lpstr>
      <vt:lpstr>Stream4_H</vt:lpstr>
      <vt:lpstr>Stream4_N</vt:lpstr>
      <vt:lpstr>Stream4_NH</vt:lpstr>
      <vt:lpstr>Stream5_A</vt:lpstr>
      <vt:lpstr>Stream5_H</vt:lpstr>
      <vt:lpstr>Stream5_N</vt:lpstr>
      <vt:lpstr>Stream5_NH</vt:lpstr>
      <vt:lpstr>Stream6_A</vt:lpstr>
      <vt:lpstr>Stream6_H</vt:lpstr>
      <vt:lpstr>Stream6_N</vt:lpstr>
      <vt:lpstr>Stream6_NH</vt:lpstr>
      <vt:lpstr>Stream7_A</vt:lpstr>
      <vt:lpstr>Stream7_H</vt:lpstr>
      <vt:lpstr>Stream7_N</vt:lpstr>
      <vt:lpstr>Stream7_NH</vt:lpstr>
      <vt:lpstr>'Simple  Mass Volume Problem'!T_3_Feed</vt:lpstr>
      <vt:lpstr>'Simple Linear Problem'!T_3_Feed</vt:lpstr>
      <vt:lpstr>T_3_Feed</vt:lpstr>
      <vt:lpstr>'Simple  Mass Volume Problem'!T_3_Product</vt:lpstr>
      <vt:lpstr>'Simple Linear Problem'!T_3_Product</vt:lpstr>
      <vt:lpstr>T_3_Product</vt:lpstr>
      <vt:lpstr>'Simple  Mass Volume Problem'!T_5_Feed</vt:lpstr>
      <vt:lpstr>'Simple Linear Problem'!T_5_Feed</vt:lpstr>
      <vt:lpstr>T_5_Feed</vt:lpstr>
      <vt:lpstr>'Simple  Mass Volume Problem'!T_5_Product</vt:lpstr>
      <vt:lpstr>'Simple Linear Problem'!T_5_Product</vt:lpstr>
      <vt:lpstr>T_5_Product</vt:lpstr>
      <vt:lpstr>Bilinear!TAILPOND_CF</vt:lpstr>
      <vt:lpstr>Bilinear!TAILPOND_Q</vt:lpstr>
      <vt:lpstr>Bilinear!TAILPOND_WF</vt:lpstr>
      <vt:lpstr>Bilinear!TAILS_CF</vt:lpstr>
      <vt:lpstr>Bilinear!TAILS_Q</vt:lpstr>
      <vt:lpstr>Bilinear!TAILS_WF</vt:lpstr>
      <vt:lpstr>'Large Nonlinear Problem'!TailsThickenerUnderflowStream_Ag</vt:lpstr>
      <vt:lpstr>'Large Nonlinear Problem'!TailsThickenerUnderflowStream_Au</vt:lpstr>
      <vt:lpstr>'Large Nonlinear Problem'!TailsThickenerUnderflowStream_Cu</vt:lpstr>
      <vt:lpstr>'Large Nonlinear Problem'!TailsThickenerUnderflowStream_F</vt:lpstr>
      <vt:lpstr>'Large Nonlinear Problem'!TailsThickenerUnderflowStream_Fe</vt:lpstr>
      <vt:lpstr>'Large Nonlinear Problem'!TailsThickenerUnderflowStream_Mass</vt:lpstr>
      <vt:lpstr>'Large Nonlinear Problem'!TailsThickenerUnderflowStream_S</vt:lpstr>
      <vt:lpstr>'Large Nonlinear Problem'!TailsThickenerUnderflowStream_U</vt:lpstr>
      <vt:lpstr>'Large Nonlinear Problem'!TailsThickening_close_Ag</vt:lpstr>
      <vt:lpstr>'Large Nonlinear Problem'!TailsThickening_close_Au</vt:lpstr>
      <vt:lpstr>'Large Nonlinear Problem'!TailsThickening_close_Cu</vt:lpstr>
      <vt:lpstr>'Large Nonlinear Problem'!TailsThickening_close_F</vt:lpstr>
      <vt:lpstr>'Large Nonlinear Problem'!TailsThickening_close_Fe</vt:lpstr>
      <vt:lpstr>'Large Nonlinear Problem'!TailsThickening_close_Mass</vt:lpstr>
      <vt:lpstr>'Large Nonlinear Problem'!TailsThickening_close_S</vt:lpstr>
      <vt:lpstr>'Large Nonlinear Problem'!TailsThickening_close_U</vt:lpstr>
      <vt:lpstr>'Large Nonlinear Problem'!TailsThickening_open_Ag</vt:lpstr>
      <vt:lpstr>'Large Nonlinear Problem'!TailsThickening_open_Au</vt:lpstr>
      <vt:lpstr>'Large Nonlinear Problem'!TailsThickening_open_Cu</vt:lpstr>
      <vt:lpstr>'Large Nonlinear Problem'!TailsThickening_open_F</vt:lpstr>
      <vt:lpstr>'Large Nonlinear Problem'!TailsThickening_open_Fe</vt:lpstr>
      <vt:lpstr>'Large Nonlinear Problem'!TailsThickening_open_Mass</vt:lpstr>
      <vt:lpstr>'Large Nonlinear Problem'!TailsThickening_open_S</vt:lpstr>
      <vt:lpstr>'Large Nonlinear Problem'!TailsThickening_open_U</vt:lpstr>
      <vt:lpstr>Bilinear!TAILTHK_OVERFLOW_Q</vt:lpstr>
      <vt:lpstr>Bilinear!TAILTHK6_CLOSE_CF</vt:lpstr>
      <vt:lpstr>Bilinear!TAILTHK6_CLOSE_Q</vt:lpstr>
      <vt:lpstr>Bilinear!TAILTHK6_CLOSE_WF</vt:lpstr>
      <vt:lpstr>Bilinear!TAILTHK6_OPEN_CF</vt:lpstr>
      <vt:lpstr>Bilinear!TAILTHK6_OPEN_Q</vt:lpstr>
      <vt:lpstr>Bilinear!TAILTHK6_OPEN_WF</vt:lpstr>
      <vt:lpstr>Bilinear!TAILTHK6_OVERFLOW_Q</vt:lpstr>
      <vt:lpstr>Bilinear!TAILTHK6_TOTVOL_CLOSE_Q</vt:lpstr>
      <vt:lpstr>Bilinear!TAILTHK6_TOTVOL_OPEN_Q</vt:lpstr>
      <vt:lpstr>Bilinear!TAILTHK6_UNDERFLOW_CF</vt:lpstr>
      <vt:lpstr>Bilinear!TAILTHK6_UNDERFLOW_Q</vt:lpstr>
      <vt:lpstr>Bilinear!TAILTHK6_UNDERFLOW_WF</vt:lpstr>
      <vt:lpstr>Bilinear!TAILTHK7_CLOSE_CF</vt:lpstr>
      <vt:lpstr>Bilinear!TAILTHK7_CLOSE_Q</vt:lpstr>
      <vt:lpstr>Bilinear!TAILTHK7_CLOSE_WF</vt:lpstr>
      <vt:lpstr>Bilinear!TAILTHK7_OPEN_CF</vt:lpstr>
      <vt:lpstr>Bilinear!TAILTHK7_OPEN_Q</vt:lpstr>
      <vt:lpstr>Bilinear!TAILTHK7_OPEN_WF</vt:lpstr>
      <vt:lpstr>Bilinear!TAILTHK7_OVERFLOW_Q</vt:lpstr>
      <vt:lpstr>Bilinear!TAILTHK7_TOTVOL_CLOSE_Q</vt:lpstr>
      <vt:lpstr>Bilinear!TAILTHK7_TOTVOL_OPEN_Q</vt:lpstr>
      <vt:lpstr>Bilinear!TAILTHK7_UNDERFLOW_CF</vt:lpstr>
      <vt:lpstr>Bilinear!TAILTHK7_UNDERFLOW_Q</vt:lpstr>
      <vt:lpstr>Bilinear!TAILTHK7_UNDERFLOW_WF</vt:lpstr>
      <vt:lpstr>Bilinear!TAILTHK8_CLOSE_CF</vt:lpstr>
      <vt:lpstr>Bilinear!TAILTHK8_CLOSE_Q</vt:lpstr>
      <vt:lpstr>Bilinear!TAILTHK8_CLOSE_WF</vt:lpstr>
      <vt:lpstr>Bilinear!TAILTHK8_OPEN_CF</vt:lpstr>
      <vt:lpstr>Bilinear!TAILTHK8_OPEN_Q</vt:lpstr>
      <vt:lpstr>Bilinear!TAILTHK8_OPEN_WF</vt:lpstr>
      <vt:lpstr>Bilinear!TAILTHK8_OVERFLOW_Q</vt:lpstr>
      <vt:lpstr>Bilinear!TAILTHK8_TOTVOL_CLOSE_Q</vt:lpstr>
      <vt:lpstr>Bilinear!TAILTHK8_TOTVOL_OPEN_Q</vt:lpstr>
      <vt:lpstr>Bilinear!TAILTHK8_UNDERFLOW_CF</vt:lpstr>
      <vt:lpstr>Bilinear!TAILTHK8_UNDERFLOW_Q</vt:lpstr>
      <vt:lpstr>Bilinear!TAILTHK8_UNDERFLOW_WF</vt:lpstr>
      <vt:lpstr>Bilinear!TANK_CLOSE_Q</vt:lpstr>
      <vt:lpstr>Bilinear!TANK_OPEN_Q</vt:lpstr>
      <vt:lpstr>Bilinear!TK10_TK11_Q</vt:lpstr>
      <vt:lpstr>Bilinear!TK140_TK165_CF</vt:lpstr>
      <vt:lpstr>Bilinear!TK140_TK165_Q</vt:lpstr>
      <vt:lpstr>Bilinear!TK140_TK165_WF</vt:lpstr>
      <vt:lpstr>Bilinear!TK23_CLOSE_CF</vt:lpstr>
      <vt:lpstr>Bilinear!TK23_CLOSE_Q</vt:lpstr>
      <vt:lpstr>Bilinear!TK23_CLOSE_WF</vt:lpstr>
      <vt:lpstr>Bilinear!TK23_DI105_CF</vt:lpstr>
      <vt:lpstr>Bilinear!TK23_DI105_Q</vt:lpstr>
      <vt:lpstr>Bilinear!TK23_DI105_WF</vt:lpstr>
      <vt:lpstr>Bilinear!TK23_OPEN_CF</vt:lpstr>
      <vt:lpstr>Bilinear!TK23_OPEN_Q</vt:lpstr>
      <vt:lpstr>Bilinear!TK23_OPEN_WF</vt:lpstr>
      <vt:lpstr>Bilinear!TK24_CLOSE_CF</vt:lpstr>
      <vt:lpstr>Bilinear!TK24_CLOSE_Q</vt:lpstr>
      <vt:lpstr>Bilinear!TK24_CLOSE_WF</vt:lpstr>
      <vt:lpstr>Bilinear!TK24_DI105_CF</vt:lpstr>
      <vt:lpstr>Bilinear!TK24_DI105_Q</vt:lpstr>
      <vt:lpstr>Bilinear!TK24_DI105_WF</vt:lpstr>
      <vt:lpstr>Bilinear!TK24_OPEN_CF</vt:lpstr>
      <vt:lpstr>Bilinear!TK24_OPEN_Q</vt:lpstr>
      <vt:lpstr>Bilinear!TK24_OPEN_WF</vt:lpstr>
      <vt:lpstr>Bilinear!TK25_CLOSE_CF</vt:lpstr>
      <vt:lpstr>Bilinear!TK25_CLOSE_Q</vt:lpstr>
      <vt:lpstr>Bilinear!TK25_CLOSE_WF</vt:lpstr>
      <vt:lpstr>Bilinear!TK25_DI105_CF</vt:lpstr>
      <vt:lpstr>Bilinear!TK25_DI105_Q</vt:lpstr>
      <vt:lpstr>Bilinear!TK25_DI105_WF</vt:lpstr>
      <vt:lpstr>Bilinear!TK25_OPEN_CF</vt:lpstr>
      <vt:lpstr>Bilinear!TK25_OPEN_Q</vt:lpstr>
      <vt:lpstr>Bilinear!TK25_OPEN_WF</vt:lpstr>
      <vt:lpstr>Bilinear!TK26_CLOSE_CF</vt:lpstr>
      <vt:lpstr>Bilinear!TK26_CLOSE_Q</vt:lpstr>
      <vt:lpstr>Bilinear!TK26_CLOSE_WF</vt:lpstr>
      <vt:lpstr>Bilinear!TK26_DI105_CF</vt:lpstr>
      <vt:lpstr>Bilinear!TK26_DI105_Q</vt:lpstr>
      <vt:lpstr>Bilinear!TK26_DI105_WF</vt:lpstr>
      <vt:lpstr>Bilinear!TK26_OPEN_CF</vt:lpstr>
      <vt:lpstr>Bilinear!TK26_OPEN_Q</vt:lpstr>
      <vt:lpstr>Bilinear!TK26_OPEN_WF</vt:lpstr>
      <vt:lpstr>Bilinear!TK83_CHIL_Q</vt:lpstr>
      <vt:lpstr>Bilinear!TK83_CLOSE_Q</vt:lpstr>
      <vt:lpstr>Bilinear!TK83_D20_Q</vt:lpstr>
      <vt:lpstr>Bilinear!TK83_D25_Q</vt:lpstr>
      <vt:lpstr>Bilinear!TK83_MB1_Q</vt:lpstr>
      <vt:lpstr>Bilinear!TK83_MB2_Q</vt:lpstr>
      <vt:lpstr>Bilinear!TK83_MB3_Q</vt:lpstr>
      <vt:lpstr>Bilinear!TK83_OPEN_Q</vt:lpstr>
      <vt:lpstr>Bilinear!TK83_TANK_Q</vt:lpstr>
      <vt:lpstr>Bilinear!TKC_PIPE_CF</vt:lpstr>
      <vt:lpstr>Bilinear!TKC_PIPE_Q</vt:lpstr>
      <vt:lpstr>Bilinear!TKC_PIPE_WF</vt:lpstr>
      <vt:lpstr>'Simple Linear Problem'!treat_gas</vt:lpstr>
      <vt:lpstr>treat_gas</vt:lpstr>
      <vt:lpstr>treat_gas_dens</vt:lpstr>
      <vt:lpstr>treat_gas_mass</vt:lpstr>
      <vt:lpstr>treat_gas_vol</vt:lpstr>
      <vt:lpstr>'Simple  Mass Volume Problem'!World_Feed</vt:lpstr>
      <vt:lpstr>World_Feed</vt:lpstr>
      <vt:lpstr>'Simple  Mass Volume Problem'!World_Product</vt:lpstr>
      <vt:lpstr>World_Product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</dc:creator>
  <cp:lastModifiedBy>PeterL</cp:lastModifiedBy>
  <dcterms:created xsi:type="dcterms:W3CDTF">2012-02-19T03:01:06Z</dcterms:created>
  <dcterms:modified xsi:type="dcterms:W3CDTF">2012-06-08T00:55:53Z</dcterms:modified>
</cp:coreProperties>
</file>