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gan\Documents\"/>
    </mc:Choice>
  </mc:AlternateContent>
  <xr:revisionPtr revIDLastSave="0" documentId="13_ncr:1_{44F2BA8E-5A14-4532-B50B-AF0F402F128D}" xr6:coauthVersionLast="45" xr6:coauthVersionMax="45" xr10:uidLastSave="{00000000-0000-0000-0000-000000000000}"/>
  <bookViews>
    <workbookView xWindow="-120" yWindow="-120" windowWidth="29040" windowHeight="15840" xr2:uid="{C91D54E3-247B-4F88-957F-E62CC8F1D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0" i="1" l="1"/>
  <c r="B262" i="1" s="1"/>
  <c r="B250" i="1"/>
  <c r="B251" i="1" s="1"/>
  <c r="B252" i="1" s="1"/>
  <c r="B245" i="1"/>
  <c r="B234" i="1"/>
  <c r="B237" i="1" s="1"/>
  <c r="B233" i="1"/>
  <c r="D18" i="1" a="1"/>
  <c r="D18" i="1" s="1"/>
  <c r="C18" i="1" a="1"/>
  <c r="C18" i="1" s="1"/>
  <c r="B18" i="1" a="1"/>
  <c r="B18" i="1" s="1"/>
  <c r="B214" i="1"/>
  <c r="B216" i="1" s="1"/>
  <c r="B217" i="1" s="1"/>
  <c r="B218" i="1" s="1"/>
  <c r="B209" i="1"/>
  <c r="B210" i="1" s="1"/>
  <c r="B211" i="1" s="1"/>
  <c r="B219" i="1" s="1"/>
  <c r="B193" i="1" l="1"/>
  <c r="B195" i="1" s="1"/>
  <c r="B196" i="1" s="1"/>
  <c r="B187" i="1"/>
  <c r="B189" i="1" s="1"/>
  <c r="B190" i="1" s="1"/>
  <c r="B184" i="1"/>
  <c r="B183" i="1"/>
  <c r="B177" i="1"/>
  <c r="B178" i="1" s="1"/>
  <c r="B71" i="1"/>
  <c r="B49" i="1" a="1"/>
  <c r="B49" i="1" s="1"/>
  <c r="D49" i="1" s="1"/>
  <c r="C145" i="1" s="1"/>
  <c r="D48" i="1"/>
  <c r="D47" i="1"/>
  <c r="C48" i="1"/>
  <c r="C47" i="1"/>
  <c r="F43" i="1" a="1"/>
  <c r="F43" i="1" s="1"/>
  <c r="E43" i="1" a="1"/>
  <c r="E43" i="1" s="1"/>
  <c r="D43" i="1" a="1"/>
  <c r="D43" i="1" s="1"/>
  <c r="C43" i="1" a="1"/>
  <c r="C43" i="1" s="1"/>
  <c r="B43" i="1" a="1"/>
  <c r="B43" i="1" s="1"/>
  <c r="F37" i="1" a="1"/>
  <c r="F37" i="1" s="1"/>
  <c r="E37" i="1" a="1"/>
  <c r="E37" i="1" s="1"/>
  <c r="D37" i="1" a="1"/>
  <c r="D37" i="1" s="1"/>
  <c r="C37" i="1" a="1"/>
  <c r="C37" i="1" s="1"/>
  <c r="B37" i="1" a="1"/>
  <c r="B37" i="1" s="1"/>
  <c r="F60" i="1" a="1"/>
  <c r="F60" i="1" s="1"/>
  <c r="E60" i="1" a="1"/>
  <c r="E60" i="1" s="1"/>
  <c r="D60" i="1" a="1"/>
  <c r="D60" i="1" s="1"/>
  <c r="C152" i="1"/>
  <c r="B126" i="1"/>
  <c r="F55" i="1" a="1"/>
  <c r="F55" i="1" s="1"/>
  <c r="E55" i="1" a="1"/>
  <c r="E55" i="1" s="1"/>
  <c r="C143" i="1"/>
  <c r="F8" i="1" a="1"/>
  <c r="F8" i="1" s="1"/>
  <c r="E8" i="1" a="1"/>
  <c r="E8" i="1" s="1"/>
  <c r="C60" i="1" a="1"/>
  <c r="C60" i="1" s="1"/>
  <c r="B123" i="1" s="1"/>
  <c r="B60" i="1" a="1"/>
  <c r="B60" i="1" s="1"/>
  <c r="D55" i="1" a="1"/>
  <c r="D55" i="1" s="1"/>
  <c r="C55" i="1" a="1"/>
  <c r="C55" i="1" s="1"/>
  <c r="B120" i="1" s="1"/>
  <c r="B122" i="1" s="1"/>
  <c r="B55" i="1" a="1"/>
  <c r="B55" i="1" s="1"/>
  <c r="B106" i="1"/>
  <c r="B109" i="1" s="1"/>
  <c r="B111" i="1" s="1"/>
  <c r="D46" i="1"/>
  <c r="D45" i="1"/>
  <c r="C46" i="1"/>
  <c r="C45" i="1"/>
  <c r="B76" i="1"/>
  <c r="B85" i="1" s="1"/>
  <c r="B86" i="1" s="1"/>
  <c r="B13" i="1" a="1"/>
  <c r="B13" i="1" s="1"/>
  <c r="D13" i="1" a="1"/>
  <c r="D13" i="1" s="1"/>
  <c r="B235" i="1" s="1"/>
  <c r="C13" i="1" a="1"/>
  <c r="C13" i="1" s="1"/>
  <c r="D8" i="1" a="1"/>
  <c r="D8" i="1" s="1"/>
  <c r="C8" i="1" a="1"/>
  <c r="C8" i="1" s="1"/>
  <c r="C136" i="1" s="1"/>
  <c r="C156" i="1" s="1"/>
  <c r="B8" i="1" a="1"/>
  <c r="B8" i="1" s="1"/>
  <c r="B198" i="1" l="1"/>
  <c r="B238" i="1"/>
  <c r="B236" i="1"/>
  <c r="B239" i="1" s="1"/>
  <c r="C137" i="1"/>
  <c r="C157" i="1" s="1"/>
  <c r="C150" i="1"/>
  <c r="C151" i="1"/>
  <c r="C141" i="1"/>
  <c r="C142" i="1"/>
  <c r="C139" i="1"/>
  <c r="C147" i="1"/>
  <c r="C148" i="1"/>
  <c r="C149" i="1"/>
  <c r="C138" i="1"/>
  <c r="C146" i="1"/>
  <c r="B116" i="1"/>
  <c r="B117" i="1" s="1"/>
  <c r="B107" i="1"/>
  <c r="B121" i="1"/>
  <c r="B127" i="1" s="1"/>
  <c r="B108" i="1"/>
  <c r="B112" i="1" s="1"/>
  <c r="B102" i="1"/>
  <c r="B77" i="1"/>
  <c r="B78" i="1" s="1"/>
  <c r="B79" i="1" s="1"/>
  <c r="B90" i="1"/>
  <c r="C49" i="1"/>
  <c r="C144" i="1" s="1"/>
  <c r="B75" i="1"/>
  <c r="C153" i="1" l="1"/>
  <c r="C154" i="1"/>
  <c r="B130" i="1"/>
  <c r="B104" i="1"/>
  <c r="B103" i="1"/>
  <c r="B91" i="1"/>
  <c r="B166" i="1" l="1"/>
  <c r="B223" i="1"/>
  <c r="B224" i="1" s="1"/>
  <c r="B226" i="1" s="1"/>
  <c r="B227" i="1" s="1"/>
  <c r="B115" i="1"/>
  <c r="B167" i="1"/>
  <c r="B92" i="1"/>
  <c r="B93" i="1" s="1"/>
  <c r="B131" i="1"/>
  <c r="B80" i="1"/>
  <c r="B169" i="1" l="1"/>
  <c r="B173" i="1" s="1"/>
  <c r="B168" i="1"/>
  <c r="B172" i="1" s="1"/>
  <c r="B81" i="1"/>
  <c r="B174" i="1" l="1"/>
  <c r="B82" i="1"/>
  <c r="B83" i="1" s="1"/>
  <c r="B84" i="1" s="1"/>
  <c r="B95" i="1" s="1"/>
  <c r="B133" i="1" s="1"/>
  <c r="C140" i="1"/>
  <c r="C155" i="1" s="1"/>
  <c r="B105" i="1"/>
  <c r="B265" i="1" l="1"/>
  <c r="B266" i="1"/>
  <c r="B273" i="1" s="1"/>
  <c r="B132" i="1"/>
  <c r="B27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<sst xmlns="http://schemas.openxmlformats.org/spreadsheetml/2006/main" count="310" uniqueCount="280">
  <si>
    <t>Message rate per hour per EU, peak load</t>
  </si>
  <si>
    <t>Kafka replication factor</t>
  </si>
  <si>
    <t>Events produced in busy hour</t>
  </si>
  <si>
    <t>Peak Load (Bytes) produced at busy hour</t>
  </si>
  <si>
    <t>Peak Load(TB)produced at busy hour</t>
  </si>
  <si>
    <t>Average Load(TB) at hour</t>
  </si>
  <si>
    <t>Average data amount (TB) for retention period</t>
  </si>
  <si>
    <t>KAFKA LAYER</t>
  </si>
  <si>
    <t>Data Amount (TB) considering replicas and compression for retention period</t>
  </si>
  <si>
    <t>Kafka annual storage price($)</t>
  </si>
  <si>
    <t>Kafka Annual Compute Price($)</t>
  </si>
  <si>
    <t>a1.xlarge (4cores 8GBRAM)</t>
  </si>
  <si>
    <t>Storage Amount(TB)</t>
  </si>
  <si>
    <t>Storage Price per Tb/Month</t>
  </si>
  <si>
    <t>Kafka annual compute and storage price($)</t>
  </si>
  <si>
    <t>Kafka Connect cluster compute price 1 month</t>
  </si>
  <si>
    <t>Kafka Connect cluster storage price 1 month</t>
  </si>
  <si>
    <t>Kafka Connect Compute &amp; Storage Price($) 1 month</t>
  </si>
  <si>
    <t xml:space="preserve">Kafka Connect Annual Compute &amp; Storage Price($) </t>
  </si>
  <si>
    <t>Input Message size(Bytes)</t>
  </si>
  <si>
    <t>Messages in a second load(average)</t>
  </si>
  <si>
    <t>Messages in a second that flink outputs</t>
  </si>
  <si>
    <t>Messages in second that flink consumes</t>
  </si>
  <si>
    <t xml:space="preserve">MB/sec that flink consumes </t>
  </si>
  <si>
    <t xml:space="preserve">MB/sec that flink outputs </t>
  </si>
  <si>
    <t>Flink Price Compute Annual</t>
  </si>
  <si>
    <t>Flink storage snapshots(GB)</t>
  </si>
  <si>
    <t>Flink storage price for 1 Gb/Month</t>
  </si>
  <si>
    <t>Flink storage annual price</t>
  </si>
  <si>
    <t>Flink Annual Price(no inference)</t>
  </si>
  <si>
    <t>Inference deep learning</t>
  </si>
  <si>
    <t>Inference events in 1 sec</t>
  </si>
  <si>
    <t>Inference price on demand annually</t>
  </si>
  <si>
    <t>Inference price reserved 3 years annually</t>
  </si>
  <si>
    <t>Storage(EBS)GB</t>
  </si>
  <si>
    <t>Serving computation price annual</t>
  </si>
  <si>
    <t>Serving storage price annual</t>
  </si>
  <si>
    <t>Serving SQL DB Price</t>
  </si>
  <si>
    <t xml:space="preserve">db.t3.medium </t>
  </si>
  <si>
    <t>Annual serving analytics price</t>
  </si>
  <si>
    <t>Summary edge Installed on cloud (reserved GPUs)</t>
  </si>
  <si>
    <t>Summary edge Installed on cloud (on demand GPUs)</t>
  </si>
  <si>
    <t xml:space="preserve">Basic DL profile "1": </t>
  </si>
  <si>
    <t>Inference Instance</t>
  </si>
  <si>
    <t>Inference Instances count</t>
  </si>
  <si>
    <t>Inference cost 1/h</t>
  </si>
  <si>
    <t>Large DL profile "3"</t>
  </si>
  <si>
    <t xml:space="preserve">Middle DL profile "2": </t>
  </si>
  <si>
    <t>ml.p3.2xlarge (8cores/2GPU, 61Gb)</t>
  </si>
  <si>
    <t>ml.p3.8xlarge (32cores/8GPU, 244Gb)</t>
  </si>
  <si>
    <t>ml.p3.16xlarge (64cores/16GPU,488Gb)</t>
  </si>
  <si>
    <t>Select Input Parameters and basic assumptions</t>
  </si>
  <si>
    <t>Training instance</t>
  </si>
  <si>
    <t>Training instance count</t>
  </si>
  <si>
    <t>Training price 1/h</t>
  </si>
  <si>
    <t>Select DL inference profile(1,2,3)</t>
  </si>
  <si>
    <t>Select DL training profile(1,2,3)</t>
  </si>
  <si>
    <t>Active users ration peak hour</t>
  </si>
  <si>
    <t>Serving analytics requests (response to CNFs and other components)</t>
  </si>
  <si>
    <t>Kafka storage Price ($) 1Tb/month</t>
  </si>
  <si>
    <t>Months to retain data in Kafka</t>
  </si>
  <si>
    <t>Working months in a year</t>
  </si>
  <si>
    <t>Working hours in a year</t>
  </si>
  <si>
    <t>Working hours in a month</t>
  </si>
  <si>
    <t>Select Kafka profile</t>
  </si>
  <si>
    <t>Basic Kafka Profile "1"</t>
  </si>
  <si>
    <t>Middle Kafka Profile "2"</t>
  </si>
  <si>
    <t>Strong Kafka Profile "3"</t>
  </si>
  <si>
    <t>Kafka Instance</t>
  </si>
  <si>
    <t>kafka.m5.large(2 cores, 8Gb)</t>
  </si>
  <si>
    <t>Instances number</t>
  </si>
  <si>
    <t>Instance price/h</t>
  </si>
  <si>
    <t>kafka.m5.2xlarge(8 cores, 32Gb)</t>
  </si>
  <si>
    <t>kafka.m5.4xlarge(16 cores, 64GB)</t>
  </si>
  <si>
    <t>Kafka storage monthly price($) for retention period</t>
  </si>
  <si>
    <t>MB/sec load average - Kafka Input</t>
  </si>
  <si>
    <t>&lt;-This number affects which Kafka profile you need select</t>
  </si>
  <si>
    <t>Select Kafka Connect Profile</t>
  </si>
  <si>
    <t xml:space="preserve">EC2 Instance  </t>
  </si>
  <si>
    <t>Basic Kafka Connect Profile "1"</t>
  </si>
  <si>
    <t>Middle Kafka Connect Profile "2"</t>
  </si>
  <si>
    <t>Strong Kafka Connect Profile "3"</t>
  </si>
  <si>
    <t>a1.2xlarge(8cores, 16GBRAM)</t>
  </si>
  <si>
    <t>a1.4xlarge(16cores, 32GBRAM)</t>
  </si>
  <si>
    <t>DATA COLLECTION LAYER CALCULATIONS</t>
  </si>
  <si>
    <t>Entire Data Collection Layer Annual Price</t>
  </si>
  <si>
    <t>Flink calculated by used KPU(kinesis processing units)</t>
  </si>
  <si>
    <t>FLINK LAYER PROCESSING</t>
  </si>
  <si>
    <t>Select Flink Profile (strength of profile based on KPUs, 1KPU is 1 CPU and 4GB RAM)</t>
  </si>
  <si>
    <t>Basic Flink Profile "1"</t>
  </si>
  <si>
    <t>Middle Flink Profile "2"</t>
  </si>
  <si>
    <t>Strong Flink Profile "3"</t>
  </si>
  <si>
    <t>KPUs</t>
  </si>
  <si>
    <t>CPU cores</t>
  </si>
  <si>
    <t>RAM(GB)</t>
  </si>
  <si>
    <t>Flink 1 KPU price</t>
  </si>
  <si>
    <t>Merge coefficient (EU events merged, because nothing is new in them)</t>
  </si>
  <si>
    <t>Flink Eus state  - RAM Required(GB)</t>
  </si>
  <si>
    <t>Flink RAM , reserved for computing</t>
  </si>
  <si>
    <t>&lt;-see it is large, or increase Flink profile</t>
  </si>
  <si>
    <t>Messages Load Coefficient that Flink gets from Kafka(&lt;1, means Kafka filters something)</t>
  </si>
  <si>
    <t xml:space="preserve">Flink inference coefficient(if &lt;1, then less output messages/events goes to inference </t>
  </si>
  <si>
    <t>Select Serving Analytic Requests Service Instance Profile (at EDGE)</t>
  </si>
  <si>
    <t>Instance</t>
  </si>
  <si>
    <t>Price Per Hour</t>
  </si>
  <si>
    <t>Amount instances</t>
  </si>
  <si>
    <t>Basic Serving Profile "1"</t>
  </si>
  <si>
    <t>Strong Serving Profile "3"</t>
  </si>
  <si>
    <t>Middle Serving Profile "2"</t>
  </si>
  <si>
    <t>c6g.xlarge(4 core, 8GB)</t>
  </si>
  <si>
    <t>Basic DB Profile "1"</t>
  </si>
  <si>
    <t>Middle DB Profile "2"</t>
  </si>
  <si>
    <t>Strong DB Profile "3"</t>
  </si>
  <si>
    <t>Select DB profile (Subscribtions management at EDGE) RDS -Amazon</t>
  </si>
  <si>
    <t>db.t3.large</t>
  </si>
  <si>
    <t>db.t3.xlarge</t>
  </si>
  <si>
    <t>Change only(!) green cells  - they are inputs and choices</t>
  </si>
  <si>
    <t>Select hardware profiles</t>
  </si>
  <si>
    <t>Kafka compression ratio</t>
  </si>
  <si>
    <t>Average load from peak load coefficient(average=peak*thisNumber)</t>
  </si>
  <si>
    <t>PROCESSING, INFERENCE AND SERVING(EDGE) CALCULATIONS</t>
  </si>
  <si>
    <t>PROCESSING(FLINK), INFERENCE AND SERVING(EDGE) GPU ON DEMAND</t>
  </si>
  <si>
    <t>PROCESSING(FLINK), INFERENCE AND SERVING(EDGE) GPU RESERV</t>
  </si>
  <si>
    <t>Inference(DL)</t>
  </si>
  <si>
    <t>Kafka Layer</t>
  </si>
  <si>
    <t>GPU cores per instance</t>
  </si>
  <si>
    <t>GPU Relative RAM per instance</t>
  </si>
  <si>
    <t>cores per instance</t>
  </si>
  <si>
    <t>RAM per instance</t>
  </si>
  <si>
    <t>Kafka connect</t>
  </si>
  <si>
    <t>GPU instances</t>
  </si>
  <si>
    <t>GPU relative RAM(GB)</t>
  </si>
  <si>
    <t>Flink(CPU)</t>
  </si>
  <si>
    <t>Flink RAM(GB)</t>
  </si>
  <si>
    <t>Flink</t>
  </si>
  <si>
    <t>Derived from above HW Edge footprint translated ON-PREM</t>
  </si>
  <si>
    <t>Storage (TB)</t>
  </si>
  <si>
    <t>Kafka-Connect INPUTS LAYER</t>
  </si>
  <si>
    <t>Storage(TB)</t>
  </si>
  <si>
    <t>Requests serving</t>
  </si>
  <si>
    <t>Cores</t>
  </si>
  <si>
    <t>Storage</t>
  </si>
  <si>
    <t>DB</t>
  </si>
  <si>
    <t>DB storage(TB)</t>
  </si>
  <si>
    <t>DB storage Price(TB/month)</t>
  </si>
  <si>
    <t>DB storage annual price</t>
  </si>
  <si>
    <t>Speculated(for on prem) instance cores</t>
  </si>
  <si>
    <t>Speculated (for on-prem RAM)</t>
  </si>
  <si>
    <t>Speculated for on prem instances</t>
  </si>
  <si>
    <t>Total Footptint</t>
  </si>
  <si>
    <t>RAM (GB)</t>
  </si>
  <si>
    <t>GPUs</t>
  </si>
  <si>
    <t>Deep Learning Added:</t>
  </si>
  <si>
    <t>Light Kafka Profile "4"</t>
  </si>
  <si>
    <t>kafka.t3.small (2 cores, 2GB)</t>
  </si>
  <si>
    <t>Light Kafka Connect Profile "4"</t>
  </si>
  <si>
    <t>a1.large(2 cores, 4GBRAM)</t>
  </si>
  <si>
    <t>Light Flink Profile "4"</t>
  </si>
  <si>
    <t>Central NWDAF</t>
  </si>
  <si>
    <t>Make Data Science assumptions</t>
  </si>
  <si>
    <t>Hours in a day DS works(station is open)</t>
  </si>
  <si>
    <t>Number of instances per DS</t>
  </si>
  <si>
    <t>Basic  (ml.t3.medium) - personal WS</t>
  </si>
  <si>
    <t>Middle (ml.t3.large) - performance WS</t>
  </si>
  <si>
    <t>Price WS/h</t>
  </si>
  <si>
    <t>Strong(ml.p3.2xlarge )  - 2 GPU, 61GB Ram  - DL research</t>
  </si>
  <si>
    <t>Number of DS in a team</t>
  </si>
  <si>
    <t>Days in week each DS works</t>
  </si>
  <si>
    <t>DS machines profiles, their usage</t>
  </si>
  <si>
    <t>Messages that this layer gets/h</t>
  </si>
  <si>
    <t>Data Load (TB) that this layer gets/h</t>
  </si>
  <si>
    <t>Standard data storage retention days</t>
  </si>
  <si>
    <t>Glacier data storage retention days</t>
  </si>
  <si>
    <t>Standard storage retention space(TB)</t>
  </si>
  <si>
    <t>Glacier data storage retention(TB)</t>
  </si>
  <si>
    <t>Standard storage price GB/month</t>
  </si>
  <si>
    <t>Glacier storage price GB/month</t>
  </si>
  <si>
    <t xml:space="preserve">Standard storage annual price </t>
  </si>
  <si>
    <t>Glacier storage annual price</t>
  </si>
  <si>
    <t>Total Annual S3 Price for input data</t>
  </si>
  <si>
    <t>Data retention parameters for CENTRAL NWDAF</t>
  </si>
  <si>
    <t>Flink output coefficient  (&lt;1 means flink inference and analysis output is not getting fully into central NWDAF, &gt;1 means additional data added and transferred to Central NWDAF)</t>
  </si>
  <si>
    <t>Building model, DS expences</t>
  </si>
  <si>
    <t>Total annual workstation (Notebook) price for all data scientists (see above their parameters)</t>
  </si>
  <si>
    <t>Working weeks in a year</t>
  </si>
  <si>
    <t>Total work hours in a year for the team</t>
  </si>
  <si>
    <t>Traininngs DS runs in a day</t>
  </si>
  <si>
    <t>Training time per training(h)</t>
  </si>
  <si>
    <t>Data amount in DS experiment(GB)</t>
  </si>
  <si>
    <t>Price GB/Month for SSDs that used in experiments</t>
  </si>
  <si>
    <t>Monthly disks usage for DS trainings</t>
  </si>
  <si>
    <t>Annual price for SSDs usage in DS trainings</t>
  </si>
  <si>
    <t>DS spends days in data preparation in a week</t>
  </si>
  <si>
    <t>DS works hours on data preparation per day</t>
  </si>
  <si>
    <t>Cost of Data Wrangler Per Hour</t>
  </si>
  <si>
    <t>Total time(hours) all team's DS prepare data in a month</t>
  </si>
  <si>
    <t>Team's costs for Wrangler in 1 month</t>
  </si>
  <si>
    <t>Annual data preparation (without Wrangler pipe Job) in Wrangler cost for a team</t>
  </si>
  <si>
    <t>Pipe Line Job duration(h)</t>
  </si>
  <si>
    <t>Jobs(pipeline activation) executed by scientists in a month</t>
  </si>
  <si>
    <t>All data scientists Jobs time in a month(time, hours)</t>
  </si>
  <si>
    <t>Job cost per hour</t>
  </si>
  <si>
    <t>Cost of Jobs per month</t>
  </si>
  <si>
    <t>Annual Wrangler Jobs cost</t>
  </si>
  <si>
    <t>S3 (common storage)</t>
  </si>
  <si>
    <t xml:space="preserve">Total Annual DS team R&amp;D environment cost </t>
  </si>
  <si>
    <t>NWDAF  Footprint and costs estimations for AWS Cloud Solution</t>
  </si>
  <si>
    <t>Feature Store</t>
  </si>
  <si>
    <t>Read-write requests</t>
  </si>
  <si>
    <t>Writes are charged as write request units per 1KB, reads are charged as read request units per 4KB, and data storage is charged per 1GB per month.</t>
  </si>
  <si>
    <t>Assuming: to train a model, we need 100Gb data set, we have 3 models. Each re-trained 1 time a day.</t>
  </si>
  <si>
    <t xml:space="preserve">3x3x30=~300 trainings in 1 month. </t>
  </si>
  <si>
    <t>Also assumed no influence from the raw message size on the number of usable features and the features set size (which is largely ok).</t>
  </si>
  <si>
    <t>Reads operations (for training) In 1 month</t>
  </si>
  <si>
    <t>Read data amount in 1 read operation for training (GB)</t>
  </si>
  <si>
    <t>Read price per 1M "read units" (unit is 4kB)</t>
  </si>
  <si>
    <t>Read units per 1 month</t>
  </si>
  <si>
    <t>Read price per 1 Month</t>
  </si>
  <si>
    <t>Annual read price</t>
  </si>
  <si>
    <t>Write operations (for training) In 1 month</t>
  </si>
  <si>
    <t>Write data amount in 1 write operation(GB)</t>
  </si>
  <si>
    <t>Write price per 1M "read units" (unit is 1kB)</t>
  </si>
  <si>
    <t>Write units per 1 month</t>
  </si>
  <si>
    <t>Total price per 1 month</t>
  </si>
  <si>
    <t>Annual write price</t>
  </si>
  <si>
    <t>Assumptions about writes: Writes (corresponds to the number of trainings, but only 1/10 of the data set 
replaced – this happens(for example) when we re-train daily on 1 month data set, moving 10 day window, replacing 1/3 of the training set</t>
  </si>
  <si>
    <t>Total annual read/write price</t>
  </si>
  <si>
    <t>Feature store storage price</t>
  </si>
  <si>
    <t>Coefficient of data kept in feature store from the data that comes from Edge</t>
  </si>
  <si>
    <t>How long we keep the data in feature store(months)</t>
  </si>
  <si>
    <t>Messages (amount) that we keep in feature store</t>
  </si>
  <si>
    <t>Data amount that we keep in feature store(TB)</t>
  </si>
  <si>
    <t>Price per 1 TB/month</t>
  </si>
  <si>
    <t>Annual price for the featurs storage</t>
  </si>
  <si>
    <t>Total feature store price</t>
  </si>
  <si>
    <t>Production training cost</t>
  </si>
  <si>
    <t>Deep learning cases</t>
  </si>
  <si>
    <t>Shallow learning cases</t>
  </si>
  <si>
    <t>Select shallow learning profile (1,2,3)</t>
  </si>
  <si>
    <t xml:space="preserve">Basic ShL profile "1": </t>
  </si>
  <si>
    <t xml:space="preserve">Middle ShL profile "2": </t>
  </si>
  <si>
    <t>Large ShL profile "3"</t>
  </si>
  <si>
    <t>ml.m5.12xlarge(48 cores, 192GB)</t>
  </si>
  <si>
    <t>ml.m5.24xlarge(96 cores, 384GB)</t>
  </si>
  <si>
    <t>ml.m5.4xlarge(16 cores, 64GB)</t>
  </si>
  <si>
    <t>Training instances</t>
  </si>
  <si>
    <t>Training hours per day</t>
  </si>
  <si>
    <t xml:space="preserve">Total deep learning hours / year </t>
  </si>
  <si>
    <t xml:space="preserve">Total shallow learning hours /year </t>
  </si>
  <si>
    <t>Deep learning  annual cost on 'on-demand' GPUs (GPU profile defined far above)</t>
  </si>
  <si>
    <t>Deep learning annual cost on 'reserved for 3 years' GPUs</t>
  </si>
  <si>
    <t>Shallow learning cost annual</t>
  </si>
  <si>
    <t>Total annual training cost</t>
  </si>
  <si>
    <t>Total annual training cost (reserved for 3 years GPUs)</t>
  </si>
  <si>
    <t>Network cost</t>
  </si>
  <si>
    <t>Model weight (Gb)</t>
  </si>
  <si>
    <t>Model changes in 1 month (model transferred on-prem)</t>
  </si>
  <si>
    <t>Cost of 1 GB/month transfer</t>
  </si>
  <si>
    <t>Yearly transfer cost</t>
  </si>
  <si>
    <t xml:space="preserve">Users working on reports </t>
  </si>
  <si>
    <t>Fetch reports per day by 1 user</t>
  </si>
  <si>
    <t>Report size (MB)</t>
  </si>
  <si>
    <t>Working days/month</t>
  </si>
  <si>
    <t>Total value transferred / month (GB)</t>
  </si>
  <si>
    <t>Yearly reports transfer cost</t>
  </si>
  <si>
    <t>Total yearly network cost</t>
  </si>
  <si>
    <t>Athena usage (reports = queries)</t>
  </si>
  <si>
    <t>data scanned in 1 querry(TB)</t>
  </si>
  <si>
    <t>queries per worker in a day (allowed)</t>
  </si>
  <si>
    <t>price per scanned 1 Tb</t>
  </si>
  <si>
    <t xml:space="preserve">Working days in a year </t>
  </si>
  <si>
    <t xml:space="preserve">Suggested reduction coefficient with columnized data </t>
  </si>
  <si>
    <t>Annual price on raw data</t>
  </si>
  <si>
    <t>Annual price on columnized and partitioned data</t>
  </si>
  <si>
    <t>workers number(they could be persons looking at data or robots prepearing views)</t>
  </si>
  <si>
    <t>Total cost of Central NWDAF (annualy)</t>
  </si>
  <si>
    <t>Total cost of Central NWDAF (reserved for 3 years GPUs)</t>
  </si>
  <si>
    <t>Total solution cost (all in cloud)</t>
  </si>
  <si>
    <t>Total solution cost (all in cloud, GPUs resered for 3 years)</t>
  </si>
  <si>
    <t>EUs count in this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</si>
</sst>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6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4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36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9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26" fillId="8" borderId="0" applyNumberFormat="0" applyBorder="0" applyAlignment="0" applyProtection="0"/>
  </cellStyleXfs>
  <cellXfs count="35">
    <xf numFmtId="0" fontId="0" fillId="0" borderId="0" xfId="0"/>
    <xf numFmtId="0" fontId="1" fillId="2" borderId="0" xfId="1"/>
    <xf numFmtId="0" fontId="5" fillId="4" borderId="1" xfId="3" applyFont="1"/>
    <xf numFmtId="0" fontId="4" fillId="0" borderId="0" xfId="0" applyFont="1"/>
    <xf numFmtId="0" fontId="6" fillId="4" borderId="1" xfId="3" applyFont="1"/>
    <xf numFmtId="0" fontId="7" fillId="2" borderId="0" xfId="1" applyFont="1"/>
    <xf numFmtId="0" fontId="10" fillId="0" borderId="0" xfId="0" applyFont="1"/>
    <xf numFmtId="0" fontId="3" fillId="4" borderId="1" xfId="3"/>
    <xf numFmtId="0" fontId="11" fillId="4" borderId="1" xfId="3" applyFont="1"/>
    <xf numFmtId="0" fontId="12" fillId="3" borderId="0" xfId="2" applyFont="1"/>
    <xf numFmtId="0" fontId="13" fillId="3" borderId="0" xfId="2" applyFont="1"/>
    <xf numFmtId="0" fontId="9" fillId="5" borderId="0" xfId="4"/>
    <xf numFmtId="0" fontId="15" fillId="5" borderId="0" xfId="4" applyFont="1"/>
    <xf numFmtId="0" fontId="16" fillId="5" borderId="0" xfId="4" applyFont="1"/>
    <xf numFmtId="8" fontId="16" fillId="5" borderId="0" xfId="4" applyNumberFormat="1" applyFont="1"/>
    <xf numFmtId="0" fontId="17" fillId="5" borderId="0" xfId="4" applyFont="1"/>
    <xf numFmtId="0" fontId="18" fillId="5" borderId="1" xfId="4" applyFont="1" applyBorder="1"/>
    <xf numFmtId="0" fontId="17" fillId="5" borderId="1" xfId="4" applyFont="1" applyBorder="1"/>
    <xf numFmtId="0" fontId="21" fillId="5" borderId="0" xfId="4" applyFont="1"/>
    <xf numFmtId="0" fontId="19" fillId="5" borderId="0" xfId="4" applyFont="1"/>
    <xf numFmtId="0" fontId="8" fillId="6" borderId="0" xfId="5"/>
    <xf numFmtId="0" fontId="14" fillId="5" borderId="0" xfId="4" applyFont="1"/>
    <xf numFmtId="0" fontId="9" fillId="7" borderId="0" xfId="6"/>
    <xf numFmtId="0" fontId="20" fillId="5" borderId="0" xfId="4" applyFont="1"/>
    <xf numFmtId="0" fontId="22" fillId="5" borderId="0" xfId="4" applyFont="1"/>
    <xf numFmtId="0" fontId="23" fillId="5" borderId="0" xfId="4" applyFont="1"/>
    <xf numFmtId="0" fontId="25" fillId="3" borderId="0" xfId="2" applyFont="1"/>
    <xf numFmtId="0" fontId="24" fillId="5" borderId="0" xfId="4" applyFont="1"/>
    <xf numFmtId="8" fontId="24" fillId="5" borderId="0" xfId="4" applyNumberFormat="1" applyFont="1"/>
    <xf numFmtId="0" fontId="0" fillId="0" borderId="0" xfId="0" applyAlignment="1">
      <alignment wrapText="1"/>
    </xf>
    <xf numFmtId="0" fontId="26" fillId="8" borderId="0" xfId="7"/>
    <xf numFmtId="0" fontId="26" fillId="8" borderId="0" xfId="7" applyAlignment="1">
      <alignment wrapText="1"/>
    </xf>
    <xf numFmtId="0" fontId="27" fillId="0" borderId="0" xfId="0" applyFont="1"/>
    <xf numFmtId="0" fontId="28" fillId="2" borderId="0" xfId="1" applyFont="1"/>
    <xf numFmtId="0" fontId="29" fillId="2" borderId="0" xfId="1" applyFont="1"/>
  </cellXfs>
  <cellStyles count="8">
    <cellStyle name="60% - Accent1" xfId="5" builtinId="32"/>
    <cellStyle name="Accent1" xfId="4" builtinId="29"/>
    <cellStyle name="Accent4" xfId="6" builtinId="41"/>
    <cellStyle name="Bad" xfId="2" builtinId="27"/>
    <cellStyle name="Check Cell" xfId="3" builtinId="23"/>
    <cellStyle name="Good" xfId="1" builtinId="26"/>
    <cellStyle name="Neutral" xfId="7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14BB-F79D-4123-989A-F5B9986018F4}">
  <dimension ref="A1:G273"/>
  <sheetViews>
    <sheetView tabSelected="1" topLeftCell="A253" workbookViewId="0">
      <selection activeCell="A18" sqref="A18"/>
    </sheetView>
  </sheetViews>
  <sheetFormatPr defaultRowHeight="15" x14ac:dyDescent="0.25"/>
  <cols>
    <col min="1" max="1" width="93.28515625" customWidth="1"/>
    <col min="2" max="2" width="40.28515625" customWidth="1"/>
    <col min="3" max="3" width="28.42578125" customWidth="1"/>
    <col min="4" max="4" width="22.42578125" customWidth="1"/>
    <col min="5" max="5" width="28.5703125" customWidth="1"/>
    <col min="6" max="6" width="26.42578125" customWidth="1"/>
    <col min="7" max="7" width="22.85546875" customWidth="1"/>
    <col min="8" max="8" width="40.7109375" customWidth="1"/>
    <col min="9" max="9" width="40.28515625" customWidth="1"/>
    <col min="10" max="10" width="22" customWidth="1"/>
    <col min="11" max="11" width="13.85546875" customWidth="1"/>
    <col min="12" max="12" width="16" customWidth="1"/>
    <col min="13" max="13" width="35.5703125" customWidth="1"/>
    <col min="14" max="14" width="26.5703125" customWidth="1"/>
    <col min="15" max="15" width="18.140625" customWidth="1"/>
  </cols>
  <sheetData>
    <row r="1" spans="1:7" ht="46.5" x14ac:dyDescent="0.7">
      <c r="A1" s="26" t="s">
        <v>206</v>
      </c>
      <c r="B1" s="26"/>
      <c r="C1" s="26"/>
      <c r="D1" s="26"/>
      <c r="E1" s="26"/>
      <c r="F1" s="26"/>
    </row>
    <row r="2" spans="1:7" ht="33.75" x14ac:dyDescent="0.5">
      <c r="A2" s="5" t="s">
        <v>116</v>
      </c>
      <c r="B2" s="1"/>
      <c r="C2" s="1"/>
      <c r="D2" s="1"/>
      <c r="E2" s="1"/>
      <c r="F2" s="1"/>
    </row>
    <row r="3" spans="1:7" ht="34.5" thickBot="1" x14ac:dyDescent="0.55000000000000004">
      <c r="A3" s="15" t="s">
        <v>117</v>
      </c>
      <c r="B3" s="15"/>
      <c r="C3" s="15"/>
      <c r="D3" s="15"/>
      <c r="E3" s="15"/>
      <c r="F3" s="15"/>
    </row>
    <row r="4" spans="1:7" ht="17.25" thickTop="1" thickBot="1" x14ac:dyDescent="0.3">
      <c r="A4" s="8" t="s">
        <v>55</v>
      </c>
      <c r="B4" s="8" t="s">
        <v>43</v>
      </c>
      <c r="C4" s="8" t="s">
        <v>44</v>
      </c>
      <c r="D4" s="8" t="s">
        <v>45</v>
      </c>
      <c r="E4" s="7" t="s">
        <v>125</v>
      </c>
      <c r="F4" s="7" t="s">
        <v>126</v>
      </c>
      <c r="G4" s="3"/>
    </row>
    <row r="5" spans="1:7" ht="15.75" thickTop="1" x14ac:dyDescent="0.25">
      <c r="A5" t="s">
        <v>42</v>
      </c>
      <c r="B5" t="s">
        <v>48</v>
      </c>
      <c r="C5" s="1">
        <v>2</v>
      </c>
      <c r="D5">
        <v>3.83</v>
      </c>
      <c r="E5">
        <v>8</v>
      </c>
      <c r="F5">
        <v>61</v>
      </c>
    </row>
    <row r="6" spans="1:7" x14ac:dyDescent="0.25">
      <c r="A6" t="s">
        <v>47</v>
      </c>
      <c r="B6" t="s">
        <v>49</v>
      </c>
      <c r="C6" s="1">
        <v>2</v>
      </c>
      <c r="D6">
        <v>14.688000000000001</v>
      </c>
      <c r="E6">
        <v>32</v>
      </c>
      <c r="F6">
        <v>244</v>
      </c>
    </row>
    <row r="7" spans="1:7" x14ac:dyDescent="0.25">
      <c r="A7" t="s">
        <v>46</v>
      </c>
      <c r="B7" t="s">
        <v>50</v>
      </c>
      <c r="C7" s="1">
        <v>2</v>
      </c>
      <c r="D7">
        <v>28.152000000000001</v>
      </c>
      <c r="E7">
        <v>64</v>
      </c>
      <c r="F7">
        <v>488</v>
      </c>
    </row>
    <row r="8" spans="1:7" ht="16.5" thickBot="1" x14ac:dyDescent="0.3">
      <c r="A8" s="34">
        <v>2</v>
      </c>
      <c r="B8" s="10" t="str" cm="1">
        <f t="array" ref="B8">_xlfn.SWITCH(A8,1,B5,2,B6,3,B7)</f>
        <v>ml.p3.8xlarge (32cores/8GPU, 244Gb)</v>
      </c>
      <c r="C8" s="10" cm="1">
        <f t="array" ref="C8">_xlfn.SWITCH(A8,1,C5,2,C6,3,C7)</f>
        <v>2</v>
      </c>
      <c r="D8" s="10" cm="1">
        <f t="array" ref="D8">_xlfn.SWITCH(A8,1,D5,2,D6,3,D7)</f>
        <v>14.688000000000001</v>
      </c>
      <c r="E8" s="9" cm="1">
        <f t="array" ref="E8">_xlfn.SWITCH(A8,1,E5,2,E6,3,E7)</f>
        <v>32</v>
      </c>
      <c r="F8" s="9" cm="1">
        <f t="array" ref="F8">_xlfn.SWITCH(A8,1,F5,2,F6,3,F7)</f>
        <v>244</v>
      </c>
    </row>
    <row r="9" spans="1:7" ht="17.25" thickTop="1" thickBot="1" x14ac:dyDescent="0.3">
      <c r="A9" s="8" t="s">
        <v>56</v>
      </c>
      <c r="B9" s="8" t="s">
        <v>52</v>
      </c>
      <c r="C9" s="8" t="s">
        <v>53</v>
      </c>
      <c r="D9" s="8" t="s">
        <v>54</v>
      </c>
      <c r="E9" s="8"/>
      <c r="F9" s="8"/>
    </row>
    <row r="10" spans="1:7" ht="15.75" thickTop="1" x14ac:dyDescent="0.25">
      <c r="A10" t="s">
        <v>42</v>
      </c>
      <c r="B10" t="s">
        <v>48</v>
      </c>
      <c r="C10" s="1">
        <v>3</v>
      </c>
      <c r="D10">
        <v>3.83</v>
      </c>
    </row>
    <row r="11" spans="1:7" x14ac:dyDescent="0.25">
      <c r="A11" t="s">
        <v>47</v>
      </c>
      <c r="B11" t="s">
        <v>49</v>
      </c>
      <c r="C11" s="1">
        <v>3</v>
      </c>
      <c r="D11">
        <v>14.688000000000001</v>
      </c>
    </row>
    <row r="12" spans="1:7" x14ac:dyDescent="0.25">
      <c r="A12" t="s">
        <v>46</v>
      </c>
      <c r="B12" t="s">
        <v>50</v>
      </c>
      <c r="C12" s="1">
        <v>3</v>
      </c>
      <c r="D12">
        <v>28.152000000000001</v>
      </c>
    </row>
    <row r="13" spans="1:7" ht="16.5" thickBot="1" x14ac:dyDescent="0.3">
      <c r="A13" s="34">
        <v>2</v>
      </c>
      <c r="B13" s="10" t="str" cm="1">
        <f t="array" ref="B13">_xlfn.SWITCH(A13,1,B10,2,B11,3,B12)</f>
        <v>ml.p3.8xlarge (32cores/8GPU, 244Gb)</v>
      </c>
      <c r="C13" s="10" cm="1">
        <f t="array" ref="C13">_xlfn.SWITCH(A13,1,C10,2,C11,3,C12)</f>
        <v>3</v>
      </c>
      <c r="D13" s="10" cm="1">
        <f t="array" ref="D13">_xlfn.SWITCH(A13,1,D10,2,D11,3,D12)</f>
        <v>14.688000000000001</v>
      </c>
    </row>
    <row r="14" spans="1:7" ht="17.25" thickTop="1" thickBot="1" x14ac:dyDescent="0.3">
      <c r="A14" s="8" t="s">
        <v>238</v>
      </c>
      <c r="B14" s="8" t="s">
        <v>245</v>
      </c>
      <c r="C14" s="8" t="s">
        <v>53</v>
      </c>
      <c r="D14" s="8" t="s">
        <v>54</v>
      </c>
      <c r="E14" s="8"/>
      <c r="F14" s="8"/>
    </row>
    <row r="15" spans="1:7" ht="15.75" thickTop="1" x14ac:dyDescent="0.25">
      <c r="A15" t="s">
        <v>239</v>
      </c>
      <c r="B15" t="s">
        <v>244</v>
      </c>
      <c r="C15" s="1">
        <v>3</v>
      </c>
      <c r="D15">
        <v>1.075</v>
      </c>
    </row>
    <row r="16" spans="1:7" x14ac:dyDescent="0.25">
      <c r="A16" t="s">
        <v>240</v>
      </c>
      <c r="B16" t="s">
        <v>242</v>
      </c>
      <c r="C16" s="1">
        <v>3</v>
      </c>
      <c r="D16">
        <v>3.226</v>
      </c>
    </row>
    <row r="17" spans="1:6" x14ac:dyDescent="0.25">
      <c r="A17" t="s">
        <v>241</v>
      </c>
      <c r="B17" t="s">
        <v>243</v>
      </c>
      <c r="C17" s="1">
        <v>3</v>
      </c>
      <c r="D17">
        <v>6.4509999999999996</v>
      </c>
    </row>
    <row r="18" spans="1:6" ht="16.5" thickBot="1" x14ac:dyDescent="0.3">
      <c r="A18" s="34">
        <v>1</v>
      </c>
      <c r="B18" s="10" t="str" cm="1">
        <f t="array" ref="B18">_xlfn.SWITCH(A18,1,B15,2,B16,3,B17)</f>
        <v>ml.m5.4xlarge(16 cores, 64GB)</v>
      </c>
      <c r="C18" s="10" cm="1">
        <f t="array" ref="C18">_xlfn.SWITCH(A18,1,C15,2,C16,3,C17)</f>
        <v>3</v>
      </c>
      <c r="D18" s="10" cm="1">
        <f t="array" ref="D18">_xlfn.SWITCH(A18,1,D15,2,D16,3,D17)</f>
        <v>1.075</v>
      </c>
    </row>
    <row r="19" spans="1:6" ht="17.25" thickTop="1" thickBot="1" x14ac:dyDescent="0.3">
      <c r="A19" s="8" t="s">
        <v>51</v>
      </c>
      <c r="B19" s="8"/>
      <c r="C19" s="8"/>
      <c r="D19" s="8"/>
      <c r="E19" s="8"/>
      <c r="F19" s="8"/>
    </row>
    <row r="20" spans="1:6" ht="37.5" thickTop="1" thickBot="1" x14ac:dyDescent="0.6">
      <c r="A20" s="32" t="s">
        <v>279</v>
      </c>
      <c r="B20" s="33">
        <v>50000000</v>
      </c>
      <c r="C20" s="8"/>
      <c r="D20" s="8"/>
      <c r="E20" s="8"/>
      <c r="F20" s="8"/>
    </row>
    <row r="21" spans="1:6" ht="15.75" thickTop="1" x14ac:dyDescent="0.25">
      <c r="A21" t="s">
        <v>19</v>
      </c>
      <c r="B21" s="1">
        <v>156</v>
      </c>
    </row>
    <row r="22" spans="1:6" x14ac:dyDescent="0.25">
      <c r="A22" t="s">
        <v>0</v>
      </c>
      <c r="B22" s="1">
        <v>50</v>
      </c>
    </row>
    <row r="23" spans="1:6" x14ac:dyDescent="0.25">
      <c r="A23" t="s">
        <v>57</v>
      </c>
      <c r="B23" s="1">
        <v>0.9</v>
      </c>
    </row>
    <row r="24" spans="1:6" x14ac:dyDescent="0.25">
      <c r="A24" t="s">
        <v>118</v>
      </c>
      <c r="B24" s="1">
        <v>0.33</v>
      </c>
    </row>
    <row r="25" spans="1:6" x14ac:dyDescent="0.25">
      <c r="A25" t="s">
        <v>59</v>
      </c>
      <c r="B25" s="1">
        <v>100</v>
      </c>
    </row>
    <row r="26" spans="1:6" x14ac:dyDescent="0.25">
      <c r="A26" t="s">
        <v>1</v>
      </c>
      <c r="B26" s="1">
        <v>3</v>
      </c>
    </row>
    <row r="27" spans="1:6" x14ac:dyDescent="0.25">
      <c r="A27" t="s">
        <v>119</v>
      </c>
      <c r="B27" s="1">
        <v>0.5</v>
      </c>
    </row>
    <row r="28" spans="1:6" x14ac:dyDescent="0.25">
      <c r="A28" t="s">
        <v>60</v>
      </c>
      <c r="B28" s="1">
        <v>1</v>
      </c>
    </row>
    <row r="29" spans="1:6" x14ac:dyDescent="0.25">
      <c r="A29" t="s">
        <v>62</v>
      </c>
      <c r="B29" s="1">
        <v>8760</v>
      </c>
    </row>
    <row r="30" spans="1:6" x14ac:dyDescent="0.25">
      <c r="A30" t="s">
        <v>63</v>
      </c>
      <c r="B30" s="1">
        <v>720</v>
      </c>
    </row>
    <row r="31" spans="1:6" ht="15.75" thickBot="1" x14ac:dyDescent="0.3">
      <c r="A31" t="s">
        <v>61</v>
      </c>
      <c r="B31" s="1">
        <v>12</v>
      </c>
    </row>
    <row r="32" spans="1:6" ht="17.25" thickTop="1" thickBot="1" x14ac:dyDescent="0.3">
      <c r="A32" s="8" t="s">
        <v>64</v>
      </c>
      <c r="B32" s="8" t="s">
        <v>68</v>
      </c>
      <c r="C32" s="8" t="s">
        <v>70</v>
      </c>
      <c r="D32" s="8" t="s">
        <v>71</v>
      </c>
      <c r="E32" s="7" t="s">
        <v>127</v>
      </c>
      <c r="F32" s="7" t="s">
        <v>128</v>
      </c>
    </row>
    <row r="33" spans="1:6" ht="15.75" thickTop="1" x14ac:dyDescent="0.25">
      <c r="A33" t="s">
        <v>65</v>
      </c>
      <c r="B33" t="s">
        <v>69</v>
      </c>
      <c r="C33" s="1">
        <v>3</v>
      </c>
      <c r="D33">
        <v>0.21</v>
      </c>
      <c r="E33">
        <v>2</v>
      </c>
      <c r="F33">
        <v>8</v>
      </c>
    </row>
    <row r="34" spans="1:6" x14ac:dyDescent="0.25">
      <c r="A34" t="s">
        <v>66</v>
      </c>
      <c r="B34" t="s">
        <v>72</v>
      </c>
      <c r="C34" s="1">
        <v>3</v>
      </c>
      <c r="D34">
        <v>0.84</v>
      </c>
      <c r="E34">
        <v>8</v>
      </c>
      <c r="F34">
        <v>32</v>
      </c>
    </row>
    <row r="35" spans="1:6" x14ac:dyDescent="0.25">
      <c r="A35" t="s">
        <v>67</v>
      </c>
      <c r="B35" t="s">
        <v>73</v>
      </c>
      <c r="C35" s="1">
        <v>3</v>
      </c>
      <c r="D35">
        <v>1.68</v>
      </c>
      <c r="E35">
        <v>16</v>
      </c>
      <c r="F35">
        <v>64</v>
      </c>
    </row>
    <row r="36" spans="1:6" x14ac:dyDescent="0.25">
      <c r="A36" t="s">
        <v>153</v>
      </c>
      <c r="B36" t="s">
        <v>154</v>
      </c>
      <c r="C36" s="1">
        <v>3</v>
      </c>
      <c r="D36">
        <v>4.5600000000000002E-2</v>
      </c>
      <c r="E36">
        <v>2</v>
      </c>
      <c r="F36">
        <v>2</v>
      </c>
    </row>
    <row r="37" spans="1:6" ht="16.5" thickBot="1" x14ac:dyDescent="0.3">
      <c r="A37" s="1">
        <v>1</v>
      </c>
      <c r="B37" s="10" t="str" cm="1">
        <f t="array" ref="B37">_xlfn.SWITCH(A37,1,B33,2,B34,3,B35,4,B36)</f>
        <v>kafka.m5.large(2 cores, 8Gb)</v>
      </c>
      <c r="C37" s="10" cm="1">
        <f t="array" ref="C37">_xlfn.SWITCH(A37,1,C33,2,C34,3,C35, 4, C36)</f>
        <v>3</v>
      </c>
      <c r="D37" s="10" cm="1">
        <f t="array" ref="D37">_xlfn.SWITCH(A37,1,D33,2,D34,3,D35,4,D36)</f>
        <v>0.21</v>
      </c>
      <c r="E37" s="9" cm="1">
        <f t="array" ref="E37">_xlfn.SWITCH(A37,1,E33,2,E34,3,E35,4,E36)</f>
        <v>2</v>
      </c>
      <c r="F37" s="9" cm="1">
        <f t="array" ref="F37">_xlfn.SWITCH(A37,1,F33,2,F34,3,F35, 4,F36)</f>
        <v>8</v>
      </c>
    </row>
    <row r="38" spans="1:6" ht="17.25" thickTop="1" thickBot="1" x14ac:dyDescent="0.3">
      <c r="A38" s="8" t="s">
        <v>77</v>
      </c>
      <c r="B38" s="8" t="s">
        <v>78</v>
      </c>
      <c r="C38" s="8" t="s">
        <v>70</v>
      </c>
      <c r="D38" s="8" t="s">
        <v>71</v>
      </c>
      <c r="E38" s="8" t="s">
        <v>127</v>
      </c>
      <c r="F38" s="8" t="s">
        <v>128</v>
      </c>
    </row>
    <row r="39" spans="1:6" ht="15.75" thickTop="1" x14ac:dyDescent="0.25">
      <c r="A39" t="s">
        <v>79</v>
      </c>
      <c r="B39" t="s">
        <v>11</v>
      </c>
      <c r="C39" s="1">
        <v>3</v>
      </c>
      <c r="D39">
        <v>0.10199999999999999</v>
      </c>
      <c r="E39">
        <v>4</v>
      </c>
      <c r="F39">
        <v>8</v>
      </c>
    </row>
    <row r="40" spans="1:6" x14ac:dyDescent="0.25">
      <c r="A40" t="s">
        <v>80</v>
      </c>
      <c r="B40" t="s">
        <v>82</v>
      </c>
      <c r="C40" s="1">
        <v>3</v>
      </c>
      <c r="D40">
        <v>0.20399999999999999</v>
      </c>
      <c r="E40">
        <v>8</v>
      </c>
      <c r="F40">
        <v>16</v>
      </c>
    </row>
    <row r="41" spans="1:6" x14ac:dyDescent="0.25">
      <c r="A41" t="s">
        <v>81</v>
      </c>
      <c r="B41" t="s">
        <v>83</v>
      </c>
      <c r="C41" s="1">
        <v>3</v>
      </c>
      <c r="D41">
        <v>0.40799999999999997</v>
      </c>
      <c r="E41">
        <v>16</v>
      </c>
      <c r="F41">
        <v>32</v>
      </c>
    </row>
    <row r="42" spans="1:6" x14ac:dyDescent="0.25">
      <c r="A42" t="s">
        <v>155</v>
      </c>
      <c r="B42" t="s">
        <v>156</v>
      </c>
      <c r="C42" s="1">
        <v>3</v>
      </c>
      <c r="D42">
        <v>5.0999999999999997E-2</v>
      </c>
      <c r="E42">
        <v>2</v>
      </c>
      <c r="F42">
        <v>4</v>
      </c>
    </row>
    <row r="43" spans="1:6" ht="16.5" thickBot="1" x14ac:dyDescent="0.3">
      <c r="A43" s="1">
        <v>1</v>
      </c>
      <c r="B43" s="10" t="str" cm="1">
        <f t="array" ref="B43">_xlfn.SWITCH(A43,1,B39,2,B40,3,B41,4,B42)</f>
        <v>a1.xlarge (4cores 8GBRAM)</v>
      </c>
      <c r="C43" s="10" cm="1">
        <f t="array" ref="C43">_xlfn.SWITCH(A43,1,C39,2,C40,3,C41,4,C42)</f>
        <v>3</v>
      </c>
      <c r="D43" s="10" cm="1">
        <f t="array" ref="D43">_xlfn.SWITCH(A43,1,D39,2,D40,3,D41,4,D42)</f>
        <v>0.10199999999999999</v>
      </c>
      <c r="E43" s="9" cm="1">
        <f t="array" ref="E43">_xlfn.SWITCH(A43,1,E39,2,E40,3,E41,4,E42)</f>
        <v>4</v>
      </c>
      <c r="F43" s="9" cm="1">
        <f t="array" ref="F43">_xlfn.SWITCH(A43,1,F39,2,F40,3,F41,4,F42)</f>
        <v>8</v>
      </c>
    </row>
    <row r="44" spans="1:6" ht="17.25" thickTop="1" thickBot="1" x14ac:dyDescent="0.3">
      <c r="A44" s="8" t="s">
        <v>88</v>
      </c>
      <c r="B44" s="8" t="s">
        <v>92</v>
      </c>
      <c r="C44" s="8" t="s">
        <v>93</v>
      </c>
      <c r="D44" s="8" t="s">
        <v>94</v>
      </c>
      <c r="E44" s="8"/>
      <c r="F44" s="8"/>
    </row>
    <row r="45" spans="1:6" ht="15.75" thickTop="1" x14ac:dyDescent="0.25">
      <c r="A45" t="s">
        <v>89</v>
      </c>
      <c r="B45">
        <v>24</v>
      </c>
      <c r="C45" s="1">
        <f>B45</f>
        <v>24</v>
      </c>
      <c r="D45">
        <f>B45*4</f>
        <v>96</v>
      </c>
    </row>
    <row r="46" spans="1:6" x14ac:dyDescent="0.25">
      <c r="A46" t="s">
        <v>90</v>
      </c>
      <c r="B46">
        <v>32</v>
      </c>
      <c r="C46" s="1">
        <f>B46</f>
        <v>32</v>
      </c>
      <c r="D46">
        <f>B46*4</f>
        <v>128</v>
      </c>
    </row>
    <row r="47" spans="1:6" x14ac:dyDescent="0.25">
      <c r="A47" t="s">
        <v>91</v>
      </c>
      <c r="B47">
        <v>42</v>
      </c>
      <c r="C47" s="1">
        <f>B47</f>
        <v>42</v>
      </c>
      <c r="D47">
        <f>B47*4</f>
        <v>168</v>
      </c>
    </row>
    <row r="48" spans="1:6" x14ac:dyDescent="0.25">
      <c r="A48" t="s">
        <v>157</v>
      </c>
      <c r="B48">
        <v>16</v>
      </c>
      <c r="C48" s="1">
        <f>B48</f>
        <v>16</v>
      </c>
      <c r="D48">
        <f>B48*4</f>
        <v>64</v>
      </c>
    </row>
    <row r="49" spans="1:6" ht="15.75" x14ac:dyDescent="0.25">
      <c r="A49" s="1">
        <v>1</v>
      </c>
      <c r="B49" s="10" cm="1">
        <f t="array" ref="B49">_xlfn.SWITCH(A49,1,B45,2,B46,3,B47,4,B48)</f>
        <v>24</v>
      </c>
      <c r="C49" s="10">
        <f>B49</f>
        <v>24</v>
      </c>
      <c r="D49" s="10">
        <f>B49*4</f>
        <v>96</v>
      </c>
    </row>
    <row r="50" spans="1:6" ht="15.75" thickBot="1" x14ac:dyDescent="0.3">
      <c r="A50" t="s">
        <v>95</v>
      </c>
      <c r="B50">
        <v>0.11</v>
      </c>
    </row>
    <row r="51" spans="1:6" ht="17.25" thickTop="1" thickBot="1" x14ac:dyDescent="0.3">
      <c r="A51" s="8" t="s">
        <v>102</v>
      </c>
      <c r="B51" s="8" t="s">
        <v>103</v>
      </c>
      <c r="C51" s="8" t="s">
        <v>105</v>
      </c>
      <c r="D51" s="8" t="s">
        <v>104</v>
      </c>
      <c r="E51" s="8" t="s">
        <v>127</v>
      </c>
      <c r="F51" s="8" t="s">
        <v>128</v>
      </c>
    </row>
    <row r="52" spans="1:6" ht="15.75" thickTop="1" x14ac:dyDescent="0.25">
      <c r="A52" t="s">
        <v>106</v>
      </c>
      <c r="B52" t="s">
        <v>109</v>
      </c>
      <c r="C52" s="1">
        <v>3</v>
      </c>
      <c r="D52">
        <v>0.13600000000000001</v>
      </c>
      <c r="E52">
        <v>4</v>
      </c>
      <c r="F52">
        <v>8</v>
      </c>
    </row>
    <row r="53" spans="1:6" x14ac:dyDescent="0.25">
      <c r="A53" t="s">
        <v>108</v>
      </c>
      <c r="B53" t="s">
        <v>109</v>
      </c>
      <c r="C53" s="1">
        <v>5</v>
      </c>
      <c r="D53">
        <v>0.13600000000000001</v>
      </c>
      <c r="E53">
        <v>4</v>
      </c>
      <c r="F53">
        <v>8</v>
      </c>
    </row>
    <row r="54" spans="1:6" x14ac:dyDescent="0.25">
      <c r="A54" t="s">
        <v>107</v>
      </c>
      <c r="B54" t="s">
        <v>109</v>
      </c>
      <c r="C54" s="1">
        <v>7</v>
      </c>
      <c r="D54">
        <v>0.13600000000000001</v>
      </c>
      <c r="E54">
        <v>4</v>
      </c>
      <c r="F54">
        <v>8</v>
      </c>
    </row>
    <row r="55" spans="1:6" ht="15.75" thickBot="1" x14ac:dyDescent="0.3">
      <c r="A55" s="1">
        <v>1</v>
      </c>
      <c r="B55" s="9" t="str" cm="1">
        <f t="array" ref="B55">_xlfn.SWITCH(A55,1,B52,2,B53,3,B54)</f>
        <v>c6g.xlarge(4 core, 8GB)</v>
      </c>
      <c r="C55" s="9" cm="1">
        <f t="array" ref="C55">_xlfn.SWITCH(A55,1,C52,2,C53,3,C54)</f>
        <v>3</v>
      </c>
      <c r="D55" s="9" cm="1">
        <f t="array" ref="D55">_xlfn.SWITCH(A55,1,D52,2,D53,3,D54)</f>
        <v>0.13600000000000001</v>
      </c>
      <c r="E55" s="9" cm="1">
        <f t="array" ref="E55">_xlfn.SWITCH(A55,1,E52,2,E53,3,E54)</f>
        <v>4</v>
      </c>
      <c r="F55" s="9" cm="1">
        <f t="array" ref="F55">_xlfn.SWITCH(A55,1,F52,2,F53,3,F54)</f>
        <v>8</v>
      </c>
    </row>
    <row r="56" spans="1:6" ht="17.25" thickTop="1" thickBot="1" x14ac:dyDescent="0.3">
      <c r="A56" s="8" t="s">
        <v>113</v>
      </c>
      <c r="B56" s="8" t="s">
        <v>103</v>
      </c>
      <c r="C56" s="8" t="s">
        <v>104</v>
      </c>
      <c r="D56" s="8" t="s">
        <v>146</v>
      </c>
      <c r="E56" s="8" t="s">
        <v>147</v>
      </c>
      <c r="F56" s="8" t="s">
        <v>148</v>
      </c>
    </row>
    <row r="57" spans="1:6" ht="15.75" thickTop="1" x14ac:dyDescent="0.25">
      <c r="A57" t="s">
        <v>110</v>
      </c>
      <c r="B57" t="s">
        <v>38</v>
      </c>
      <c r="C57">
        <v>6.8000000000000005E-2</v>
      </c>
      <c r="D57" s="1">
        <v>3</v>
      </c>
      <c r="E57" s="1">
        <v>4</v>
      </c>
      <c r="F57" s="1">
        <v>3</v>
      </c>
    </row>
    <row r="58" spans="1:6" x14ac:dyDescent="0.25">
      <c r="A58" t="s">
        <v>111</v>
      </c>
      <c r="B58" t="s">
        <v>114</v>
      </c>
      <c r="C58">
        <v>0.13600000000000001</v>
      </c>
      <c r="D58" s="1">
        <v>4</v>
      </c>
      <c r="E58" s="1">
        <v>5</v>
      </c>
      <c r="F58" s="1">
        <v>3</v>
      </c>
    </row>
    <row r="59" spans="1:6" x14ac:dyDescent="0.25">
      <c r="A59" t="s">
        <v>112</v>
      </c>
      <c r="B59" t="s">
        <v>115</v>
      </c>
      <c r="C59">
        <v>0.27200000000000002</v>
      </c>
      <c r="D59" s="1">
        <v>5</v>
      </c>
      <c r="E59" s="1">
        <v>6</v>
      </c>
      <c r="F59" s="1">
        <v>3</v>
      </c>
    </row>
    <row r="60" spans="1:6" ht="15.75" thickBot="1" x14ac:dyDescent="0.3">
      <c r="A60" s="1">
        <v>1</v>
      </c>
      <c r="B60" s="9" t="str" cm="1">
        <f t="array" ref="B60">_xlfn.SWITCH(A60,1,B57,2,B58,3,B59)</f>
        <v xml:space="preserve">db.t3.medium </v>
      </c>
      <c r="C60" s="9" cm="1">
        <f t="array" ref="C60">_xlfn.SWITCH(A60,1,C57,2,C58,3,C59)</f>
        <v>6.8000000000000005E-2</v>
      </c>
      <c r="D60" s="9" cm="1">
        <f t="array" ref="D60">_xlfn.SWITCH(A60,1,D57,2,D58,3,D59)</f>
        <v>3</v>
      </c>
      <c r="E60" s="9" cm="1">
        <f t="array" ref="E60">_xlfn.SWITCH(A60,1,E57,2,E58,3,E59)</f>
        <v>4</v>
      </c>
      <c r="F60" s="9" cm="1">
        <f t="array" ref="F60">_xlfn.SWITCH(A60,1,F57,2,F58,3,F59)</f>
        <v>3</v>
      </c>
    </row>
    <row r="61" spans="1:6" ht="16.5" thickTop="1" thickBot="1" x14ac:dyDescent="0.3">
      <c r="A61" s="7" t="s">
        <v>159</v>
      </c>
      <c r="B61" s="7"/>
      <c r="C61" s="7"/>
      <c r="D61" s="7"/>
      <c r="E61" s="7"/>
      <c r="F61" s="7"/>
    </row>
    <row r="62" spans="1:6" ht="15.75" thickTop="1" x14ac:dyDescent="0.25">
      <c r="A62" t="s">
        <v>166</v>
      </c>
      <c r="B62" s="1">
        <v>5</v>
      </c>
    </row>
    <row r="63" spans="1:6" x14ac:dyDescent="0.25">
      <c r="A63" t="s">
        <v>167</v>
      </c>
      <c r="B63" s="1">
        <v>6</v>
      </c>
    </row>
    <row r="64" spans="1:6" x14ac:dyDescent="0.25">
      <c r="A64" t="s">
        <v>160</v>
      </c>
      <c r="B64" s="1">
        <v>24</v>
      </c>
    </row>
    <row r="65" spans="1:6" ht="15.75" thickBot="1" x14ac:dyDescent="0.3">
      <c r="A65" t="s">
        <v>184</v>
      </c>
      <c r="B65" s="1">
        <v>52</v>
      </c>
    </row>
    <row r="66" spans="1:6" ht="16.5" thickTop="1" thickBot="1" x14ac:dyDescent="0.3">
      <c r="A66" s="7" t="s">
        <v>168</v>
      </c>
      <c r="B66" s="7" t="s">
        <v>164</v>
      </c>
      <c r="C66" s="7" t="s">
        <v>161</v>
      </c>
      <c r="D66" s="7"/>
      <c r="E66" s="7"/>
      <c r="F66" s="7"/>
    </row>
    <row r="67" spans="1:6" ht="15.75" thickTop="1" x14ac:dyDescent="0.25">
      <c r="A67" t="s">
        <v>162</v>
      </c>
      <c r="B67">
        <v>5.8200000000000002E-2</v>
      </c>
      <c r="C67" s="1">
        <v>1</v>
      </c>
    </row>
    <row r="68" spans="1:6" x14ac:dyDescent="0.25">
      <c r="A68" t="s">
        <v>163</v>
      </c>
      <c r="B68">
        <v>0.11650000000000001</v>
      </c>
      <c r="C68" s="1">
        <v>0.35</v>
      </c>
    </row>
    <row r="69" spans="1:6" ht="15.75" thickBot="1" x14ac:dyDescent="0.3">
      <c r="A69" t="s">
        <v>165</v>
      </c>
      <c r="B69">
        <v>3.8250000000000002</v>
      </c>
      <c r="C69" s="1">
        <v>0.125</v>
      </c>
    </row>
    <row r="70" spans="1:6" ht="17.25" thickTop="1" thickBot="1" x14ac:dyDescent="0.3">
      <c r="A70" s="8" t="s">
        <v>180</v>
      </c>
      <c r="B70" s="8"/>
      <c r="C70" s="8"/>
      <c r="D70" s="8"/>
      <c r="E70" s="8"/>
      <c r="F70" s="8"/>
    </row>
    <row r="71" spans="1:6" ht="15.75" thickTop="1" x14ac:dyDescent="0.25">
      <c r="A71" t="s">
        <v>171</v>
      </c>
      <c r="B71" s="1">
        <f>365/2</f>
        <v>182.5</v>
      </c>
    </row>
    <row r="72" spans="1:6" ht="15.75" thickBot="1" x14ac:dyDescent="0.3">
      <c r="A72" t="s">
        <v>172</v>
      </c>
      <c r="B72" s="1">
        <v>365</v>
      </c>
    </row>
    <row r="73" spans="1:6" ht="37.5" thickTop="1" thickBot="1" x14ac:dyDescent="0.6">
      <c r="A73" s="16" t="s">
        <v>84</v>
      </c>
      <c r="B73" s="16"/>
      <c r="C73" s="16"/>
      <c r="D73" s="16"/>
      <c r="E73" s="16"/>
      <c r="F73" s="16"/>
    </row>
    <row r="74" spans="1:6" ht="27.75" thickTop="1" thickBot="1" x14ac:dyDescent="0.45">
      <c r="A74" s="2" t="s">
        <v>7</v>
      </c>
      <c r="B74" s="2"/>
      <c r="C74" s="2"/>
      <c r="D74" s="2"/>
      <c r="E74" s="2"/>
      <c r="F74" s="2"/>
    </row>
    <row r="75" spans="1:6" ht="15.75" thickTop="1" x14ac:dyDescent="0.25">
      <c r="A75" t="s">
        <v>10</v>
      </c>
      <c r="B75">
        <f>PRODUCT(B29,D37,C37)</f>
        <v>5518.7999999999993</v>
      </c>
    </row>
    <row r="76" spans="1:6" x14ac:dyDescent="0.25">
      <c r="A76" t="s">
        <v>2</v>
      </c>
      <c r="B76">
        <f>PRODUCT(B22,B20,B23)</f>
        <v>2250000000</v>
      </c>
    </row>
    <row r="77" spans="1:6" x14ac:dyDescent="0.25">
      <c r="A77" t="s">
        <v>3</v>
      </c>
      <c r="B77">
        <f>PRODUCT(B76,B21)</f>
        <v>351000000000</v>
      </c>
    </row>
    <row r="78" spans="1:6" x14ac:dyDescent="0.25">
      <c r="A78" t="s">
        <v>4</v>
      </c>
      <c r="B78">
        <f>B77/1000000000000</f>
        <v>0.35099999999999998</v>
      </c>
    </row>
    <row r="79" spans="1:6" x14ac:dyDescent="0.25">
      <c r="A79" t="s">
        <v>5</v>
      </c>
      <c r="B79">
        <f>PRODUCT(B78,B27)</f>
        <v>0.17549999999999999</v>
      </c>
    </row>
    <row r="80" spans="1:6" x14ac:dyDescent="0.25">
      <c r="A80" t="s">
        <v>6</v>
      </c>
      <c r="B80">
        <f>PRODUCT(B79,B30,B28)</f>
        <v>126.35999999999999</v>
      </c>
    </row>
    <row r="81" spans="1:6" x14ac:dyDescent="0.25">
      <c r="A81" t="s">
        <v>8</v>
      </c>
      <c r="B81">
        <f>PRODUCT(B80,B24,B26)</f>
        <v>125.09639999999999</v>
      </c>
    </row>
    <row r="82" spans="1:6" x14ac:dyDescent="0.25">
      <c r="A82" t="s">
        <v>74</v>
      </c>
      <c r="B82">
        <f>PRODUCT(B81,B25)</f>
        <v>12509.64</v>
      </c>
    </row>
    <row r="83" spans="1:6" x14ac:dyDescent="0.25">
      <c r="A83" t="s">
        <v>9</v>
      </c>
      <c r="B83">
        <f>PRODUCT(B82,B31)</f>
        <v>150115.68</v>
      </c>
    </row>
    <row r="84" spans="1:6" x14ac:dyDescent="0.25">
      <c r="A84" t="s">
        <v>14</v>
      </c>
      <c r="B84">
        <f>SUM(B83,B75)</f>
        <v>155634.47999999998</v>
      </c>
    </row>
    <row r="85" spans="1:6" x14ac:dyDescent="0.25">
      <c r="A85" t="s">
        <v>20</v>
      </c>
      <c r="B85">
        <f>(B76*B27)/3600</f>
        <v>312500</v>
      </c>
    </row>
    <row r="86" spans="1:6" ht="15.75" thickBot="1" x14ac:dyDescent="0.3">
      <c r="A86" s="3" t="s">
        <v>75</v>
      </c>
      <c r="B86">
        <f>(B85*B21/1000000)</f>
        <v>48.75</v>
      </c>
      <c r="C86" s="6" t="s">
        <v>76</v>
      </c>
    </row>
    <row r="87" spans="1:6" ht="27.75" thickTop="1" thickBot="1" x14ac:dyDescent="0.45">
      <c r="A87" s="2" t="s">
        <v>137</v>
      </c>
      <c r="B87" s="2"/>
      <c r="C87" s="2"/>
      <c r="D87" s="2"/>
      <c r="E87" s="2"/>
      <c r="F87" s="2"/>
    </row>
    <row r="88" spans="1:6" ht="15.75" thickTop="1" x14ac:dyDescent="0.25">
      <c r="A88" t="s">
        <v>12</v>
      </c>
      <c r="B88" s="1">
        <v>0.5</v>
      </c>
    </row>
    <row r="89" spans="1:6" x14ac:dyDescent="0.25">
      <c r="A89" t="s">
        <v>13</v>
      </c>
      <c r="B89">
        <v>80</v>
      </c>
    </row>
    <row r="90" spans="1:6" x14ac:dyDescent="0.25">
      <c r="A90" t="s">
        <v>15</v>
      </c>
      <c r="B90">
        <f>PRODUCT(D43, C43, B30)</f>
        <v>220.32</v>
      </c>
    </row>
    <row r="91" spans="1:6" x14ac:dyDescent="0.25">
      <c r="A91" t="s">
        <v>16</v>
      </c>
      <c r="B91">
        <f>PRODUCT(B88,B89)</f>
        <v>40</v>
      </c>
    </row>
    <row r="92" spans="1:6" x14ac:dyDescent="0.25">
      <c r="A92" t="s">
        <v>17</v>
      </c>
      <c r="B92">
        <f>SUM(B91,B90)</f>
        <v>260.32</v>
      </c>
    </row>
    <row r="93" spans="1:6" x14ac:dyDescent="0.25">
      <c r="A93" t="s">
        <v>18</v>
      </c>
      <c r="B93">
        <f>PRODUCT(B92, B31)</f>
        <v>3123.84</v>
      </c>
    </row>
    <row r="95" spans="1:6" ht="28.5" x14ac:dyDescent="0.45">
      <c r="A95" s="12" t="s">
        <v>85</v>
      </c>
      <c r="B95" s="12">
        <f>SUM(B93,B84)</f>
        <v>158758.31999999998</v>
      </c>
      <c r="C95" s="12"/>
      <c r="D95" s="12"/>
      <c r="E95" s="12"/>
      <c r="F95" s="12"/>
    </row>
    <row r="96" spans="1:6" ht="15.75" thickBot="1" x14ac:dyDescent="0.3"/>
    <row r="97" spans="1:6" ht="35.25" thickTop="1" thickBot="1" x14ac:dyDescent="0.55000000000000004">
      <c r="A97" s="17" t="s">
        <v>120</v>
      </c>
      <c r="B97" s="17"/>
      <c r="C97" s="17"/>
      <c r="D97" s="17"/>
      <c r="E97" s="17"/>
      <c r="F97" s="17"/>
    </row>
    <row r="98" spans="1:6" ht="30" thickTop="1" thickBot="1" x14ac:dyDescent="0.5">
      <c r="A98" s="4" t="s">
        <v>87</v>
      </c>
      <c r="B98" s="4"/>
      <c r="C98" s="4"/>
      <c r="D98" s="4"/>
      <c r="E98" s="4"/>
      <c r="F98" s="4"/>
    </row>
    <row r="99" spans="1:6" ht="30" thickTop="1" thickBot="1" x14ac:dyDescent="0.5">
      <c r="A99" s="4" t="s">
        <v>86</v>
      </c>
      <c r="B99" s="4"/>
      <c r="C99" s="4"/>
      <c r="D99" s="4"/>
      <c r="E99" s="4"/>
      <c r="F99" s="4"/>
    </row>
    <row r="100" spans="1:6" ht="15.75" thickTop="1" x14ac:dyDescent="0.25">
      <c r="A100" t="s">
        <v>100</v>
      </c>
      <c r="B100" s="1">
        <v>1</v>
      </c>
    </row>
    <row r="101" spans="1:6" x14ac:dyDescent="0.25">
      <c r="A101" t="s">
        <v>96</v>
      </c>
      <c r="B101" s="1">
        <v>0.25</v>
      </c>
    </row>
    <row r="102" spans="1:6" x14ac:dyDescent="0.25">
      <c r="A102" t="s">
        <v>22</v>
      </c>
      <c r="B102">
        <f>PRODUCT(B85,B100)</f>
        <v>312500</v>
      </c>
    </row>
    <row r="103" spans="1:6" x14ac:dyDescent="0.25">
      <c r="A103" t="s">
        <v>21</v>
      </c>
      <c r="B103">
        <f>B102*B101</f>
        <v>78125</v>
      </c>
    </row>
    <row r="104" spans="1:6" x14ac:dyDescent="0.25">
      <c r="A104" t="s">
        <v>23</v>
      </c>
      <c r="B104">
        <f>B102*B21/1000000</f>
        <v>48.75</v>
      </c>
    </row>
    <row r="105" spans="1:6" x14ac:dyDescent="0.25">
      <c r="A105" t="s">
        <v>24</v>
      </c>
      <c r="B105">
        <f>B103*B21/1000000</f>
        <v>12.1875</v>
      </c>
    </row>
    <row r="106" spans="1:6" x14ac:dyDescent="0.25">
      <c r="A106" t="s">
        <v>97</v>
      </c>
      <c r="B106">
        <f>B21*B20*B23*B27/1000000000 + 10</f>
        <v>13.51</v>
      </c>
    </row>
    <row r="107" spans="1:6" x14ac:dyDescent="0.25">
      <c r="A107" s="3" t="s">
        <v>98</v>
      </c>
      <c r="B107">
        <f>D49-B106</f>
        <v>82.49</v>
      </c>
      <c r="C107" s="6" t="s">
        <v>99</v>
      </c>
    </row>
    <row r="108" spans="1:6" x14ac:dyDescent="0.25">
      <c r="A108" t="s">
        <v>25</v>
      </c>
      <c r="B108">
        <f>B49*B50*B29</f>
        <v>23126.400000000001</v>
      </c>
    </row>
    <row r="109" spans="1:6" x14ac:dyDescent="0.25">
      <c r="A109" t="s">
        <v>26</v>
      </c>
      <c r="B109">
        <f>B106*100</f>
        <v>1351</v>
      </c>
    </row>
    <row r="110" spans="1:6" x14ac:dyDescent="0.25">
      <c r="A110" t="s">
        <v>27</v>
      </c>
      <c r="B110">
        <v>0.08</v>
      </c>
    </row>
    <row r="111" spans="1:6" x14ac:dyDescent="0.25">
      <c r="A111" t="s">
        <v>28</v>
      </c>
      <c r="B111">
        <f>B110*B109*12</f>
        <v>1296.96</v>
      </c>
    </row>
    <row r="112" spans="1:6" ht="15.75" thickBot="1" x14ac:dyDescent="0.3">
      <c r="A112" t="s">
        <v>29</v>
      </c>
      <c r="B112">
        <f>SUM(B111+B108)</f>
        <v>24423.360000000001</v>
      </c>
    </row>
    <row r="113" spans="1:6" ht="30" thickTop="1" thickBot="1" x14ac:dyDescent="0.5">
      <c r="A113" s="4" t="s">
        <v>30</v>
      </c>
      <c r="B113" s="4"/>
      <c r="C113" s="4"/>
      <c r="D113" s="4"/>
      <c r="E113" s="4"/>
      <c r="F113" s="4"/>
    </row>
    <row r="114" spans="1:6" ht="15.75" thickTop="1" x14ac:dyDescent="0.25">
      <c r="A114" t="s">
        <v>101</v>
      </c>
      <c r="B114" s="1">
        <v>1</v>
      </c>
    </row>
    <row r="115" spans="1:6" x14ac:dyDescent="0.25">
      <c r="A115" t="s">
        <v>31</v>
      </c>
      <c r="B115">
        <f>B103*B114</f>
        <v>78125</v>
      </c>
    </row>
    <row r="116" spans="1:6" x14ac:dyDescent="0.25">
      <c r="A116" t="s">
        <v>32</v>
      </c>
      <c r="B116">
        <f>D8*C8*B29</f>
        <v>257333.76000000001</v>
      </c>
    </row>
    <row r="117" spans="1:6" x14ac:dyDescent="0.25">
      <c r="A117" t="s">
        <v>33</v>
      </c>
      <c r="B117">
        <f>B116/3</f>
        <v>85777.919999999998</v>
      </c>
    </row>
    <row r="118" spans="1:6" ht="15.75" thickBot="1" x14ac:dyDescent="0.3"/>
    <row r="119" spans="1:6" ht="27.75" thickTop="1" thickBot="1" x14ac:dyDescent="0.45">
      <c r="A119" s="2" t="s">
        <v>58</v>
      </c>
      <c r="B119" s="2"/>
      <c r="C119" s="2"/>
      <c r="D119" s="7"/>
      <c r="E119" s="7"/>
      <c r="F119" s="7"/>
    </row>
    <row r="120" spans="1:6" ht="15.75" thickTop="1" x14ac:dyDescent="0.25">
      <c r="A120" t="s">
        <v>34</v>
      </c>
      <c r="B120">
        <f>200*C55</f>
        <v>600</v>
      </c>
    </row>
    <row r="121" spans="1:6" x14ac:dyDescent="0.25">
      <c r="A121" t="s">
        <v>35</v>
      </c>
      <c r="B121">
        <f>C55*D55*B29</f>
        <v>3574.0800000000004</v>
      </c>
    </row>
    <row r="122" spans="1:6" x14ac:dyDescent="0.25">
      <c r="A122" t="s">
        <v>36</v>
      </c>
      <c r="B122">
        <f>B120*0.1*12</f>
        <v>720</v>
      </c>
    </row>
    <row r="123" spans="1:6" x14ac:dyDescent="0.25">
      <c r="A123" t="s">
        <v>37</v>
      </c>
      <c r="B123">
        <f>C60*B29</f>
        <v>595.68000000000006</v>
      </c>
    </row>
    <row r="124" spans="1:6" x14ac:dyDescent="0.25">
      <c r="A124" t="s">
        <v>143</v>
      </c>
      <c r="B124">
        <v>6</v>
      </c>
    </row>
    <row r="125" spans="1:6" x14ac:dyDescent="0.25">
      <c r="A125" t="s">
        <v>144</v>
      </c>
      <c r="B125">
        <v>115</v>
      </c>
    </row>
    <row r="126" spans="1:6" x14ac:dyDescent="0.25">
      <c r="A126" t="s">
        <v>145</v>
      </c>
      <c r="B126">
        <f>B125*B124*12</f>
        <v>8280</v>
      </c>
    </row>
    <row r="127" spans="1:6" x14ac:dyDescent="0.25">
      <c r="A127" t="s">
        <v>39</v>
      </c>
      <c r="B127">
        <f>SUM(B121,B122,B123, B126)</f>
        <v>13169.76</v>
      </c>
    </row>
    <row r="130" spans="1:6" ht="18.75" x14ac:dyDescent="0.3">
      <c r="A130" s="13" t="s">
        <v>121</v>
      </c>
      <c r="B130" s="14">
        <f>SUM(B116, B112, B127)</f>
        <v>294926.88</v>
      </c>
      <c r="C130" s="11"/>
      <c r="D130" s="11"/>
      <c r="E130" s="11"/>
      <c r="F130" s="11"/>
    </row>
    <row r="131" spans="1:6" ht="18.75" x14ac:dyDescent="0.3">
      <c r="A131" s="13" t="s">
        <v>122</v>
      </c>
      <c r="B131" s="14">
        <f>SUM(B117, B112, B127)</f>
        <v>123371.04</v>
      </c>
      <c r="C131" s="11"/>
      <c r="D131" s="11"/>
      <c r="E131" s="11"/>
      <c r="F131" s="11"/>
    </row>
    <row r="132" spans="1:6" s="3" customFormat="1" ht="46.5" x14ac:dyDescent="0.7">
      <c r="A132" s="27" t="s">
        <v>41</v>
      </c>
      <c r="B132" s="28">
        <f>SUM(B130, B95)</f>
        <v>453685.19999999995</v>
      </c>
      <c r="C132" s="27"/>
      <c r="D132" s="27"/>
      <c r="E132" s="11"/>
      <c r="F132" s="11"/>
    </row>
    <row r="133" spans="1:6" s="3" customFormat="1" ht="46.5" x14ac:dyDescent="0.7">
      <c r="A133" s="27" t="s">
        <v>40</v>
      </c>
      <c r="B133" s="28">
        <f>SUM(B131, B95)</f>
        <v>282129.36</v>
      </c>
      <c r="C133" s="27"/>
      <c r="D133" s="27"/>
      <c r="E133" s="11"/>
      <c r="F133" s="11"/>
    </row>
    <row r="134" spans="1:6" x14ac:dyDescent="0.25">
      <c r="A134" s="22"/>
      <c r="B134" s="22"/>
      <c r="C134" s="22"/>
      <c r="D134" s="22"/>
    </row>
    <row r="135" spans="1:6" ht="31.5" x14ac:dyDescent="0.5">
      <c r="A135" s="18" t="s">
        <v>135</v>
      </c>
      <c r="B135" s="11"/>
      <c r="C135" s="11"/>
      <c r="D135" s="11"/>
    </row>
    <row r="136" spans="1:6" x14ac:dyDescent="0.25">
      <c r="A136" t="s">
        <v>123</v>
      </c>
      <c r="B136" t="s">
        <v>130</v>
      </c>
      <c r="C136">
        <f>C8*E8</f>
        <v>64</v>
      </c>
    </row>
    <row r="137" spans="1:6" x14ac:dyDescent="0.25">
      <c r="B137" t="s">
        <v>131</v>
      </c>
      <c r="C137">
        <f>C8*F8</f>
        <v>488</v>
      </c>
    </row>
    <row r="138" spans="1:6" x14ac:dyDescent="0.25">
      <c r="A138" t="s">
        <v>124</v>
      </c>
      <c r="B138" t="s">
        <v>93</v>
      </c>
      <c r="C138">
        <f>C37*E37</f>
        <v>6</v>
      </c>
    </row>
    <row r="139" spans="1:6" x14ac:dyDescent="0.25">
      <c r="B139" t="s">
        <v>94</v>
      </c>
      <c r="C139">
        <f>C37*F37</f>
        <v>24</v>
      </c>
    </row>
    <row r="140" spans="1:6" x14ac:dyDescent="0.25">
      <c r="B140" t="s">
        <v>136</v>
      </c>
      <c r="C140">
        <f>B81</f>
        <v>125.09639999999999</v>
      </c>
    </row>
    <row r="141" spans="1:6" x14ac:dyDescent="0.25">
      <c r="A141" t="s">
        <v>129</v>
      </c>
      <c r="B141" t="s">
        <v>93</v>
      </c>
      <c r="C141">
        <f>C43*E43</f>
        <v>12</v>
      </c>
    </row>
    <row r="142" spans="1:6" x14ac:dyDescent="0.25">
      <c r="B142" t="s">
        <v>94</v>
      </c>
      <c r="C142">
        <f>C43*F43</f>
        <v>24</v>
      </c>
    </row>
    <row r="143" spans="1:6" x14ac:dyDescent="0.25">
      <c r="B143" t="s">
        <v>138</v>
      </c>
      <c r="C143">
        <f>B88</f>
        <v>0.5</v>
      </c>
    </row>
    <row r="144" spans="1:6" x14ac:dyDescent="0.25">
      <c r="A144" t="s">
        <v>134</v>
      </c>
      <c r="B144" t="s">
        <v>132</v>
      </c>
      <c r="C144">
        <f>C49</f>
        <v>24</v>
      </c>
    </row>
    <row r="145" spans="1:4" x14ac:dyDescent="0.25">
      <c r="B145" t="s">
        <v>133</v>
      </c>
      <c r="C145">
        <f>D49</f>
        <v>96</v>
      </c>
    </row>
    <row r="146" spans="1:4" x14ac:dyDescent="0.25">
      <c r="B146" t="s">
        <v>138</v>
      </c>
      <c r="C146">
        <f>B109/1000</f>
        <v>1.351</v>
      </c>
    </row>
    <row r="147" spans="1:4" x14ac:dyDescent="0.25">
      <c r="A147" t="s">
        <v>139</v>
      </c>
      <c r="B147" t="s">
        <v>140</v>
      </c>
      <c r="C147">
        <f>C55*E55</f>
        <v>12</v>
      </c>
    </row>
    <row r="148" spans="1:4" x14ac:dyDescent="0.25">
      <c r="B148" t="s">
        <v>94</v>
      </c>
      <c r="C148">
        <f>C55*F55</f>
        <v>24</v>
      </c>
    </row>
    <row r="149" spans="1:4" x14ac:dyDescent="0.25">
      <c r="B149" t="s">
        <v>138</v>
      </c>
      <c r="C149">
        <f>B120/1000</f>
        <v>0.6</v>
      </c>
    </row>
    <row r="150" spans="1:4" x14ac:dyDescent="0.25">
      <c r="A150" t="s">
        <v>142</v>
      </c>
      <c r="B150" t="s">
        <v>140</v>
      </c>
      <c r="C150">
        <f>D60*F60</f>
        <v>9</v>
      </c>
    </row>
    <row r="151" spans="1:4" x14ac:dyDescent="0.25">
      <c r="B151" t="s">
        <v>94</v>
      </c>
      <c r="C151">
        <f>E60*F60</f>
        <v>12</v>
      </c>
    </row>
    <row r="152" spans="1:4" x14ac:dyDescent="0.25">
      <c r="B152" t="s">
        <v>141</v>
      </c>
      <c r="C152">
        <f>B124</f>
        <v>6</v>
      </c>
    </row>
    <row r="153" spans="1:4" ht="21" x14ac:dyDescent="0.35">
      <c r="A153" s="19" t="s">
        <v>149</v>
      </c>
      <c r="B153" s="19" t="s">
        <v>93</v>
      </c>
      <c r="C153" s="19">
        <f>C138+C141+C144+C147+C150</f>
        <v>63</v>
      </c>
      <c r="D153" s="19"/>
    </row>
    <row r="154" spans="1:4" ht="21" x14ac:dyDescent="0.35">
      <c r="A154" s="19"/>
      <c r="B154" s="19" t="s">
        <v>150</v>
      </c>
      <c r="C154" s="19">
        <f>C139+C142+C145+C148+C151</f>
        <v>180</v>
      </c>
      <c r="D154" s="19"/>
    </row>
    <row r="155" spans="1:4" ht="21" x14ac:dyDescent="0.35">
      <c r="A155" s="19"/>
      <c r="B155" s="19" t="s">
        <v>138</v>
      </c>
      <c r="C155" s="19">
        <f>C140+C143+C146+C149+C152</f>
        <v>133.54739999999998</v>
      </c>
      <c r="D155" s="19"/>
    </row>
    <row r="156" spans="1:4" x14ac:dyDescent="0.25">
      <c r="A156" s="20" t="s">
        <v>152</v>
      </c>
      <c r="B156" s="20" t="s">
        <v>151</v>
      </c>
      <c r="C156" s="20">
        <f>C136</f>
        <v>64</v>
      </c>
      <c r="D156" s="20"/>
    </row>
    <row r="157" spans="1:4" x14ac:dyDescent="0.25">
      <c r="A157" s="20"/>
      <c r="B157" s="20" t="s">
        <v>131</v>
      </c>
      <c r="C157" s="20">
        <f>C137</f>
        <v>488</v>
      </c>
      <c r="D157" s="20"/>
    </row>
    <row r="162" spans="1:4" ht="61.5" x14ac:dyDescent="0.9">
      <c r="A162" s="24" t="s">
        <v>158</v>
      </c>
      <c r="B162" s="25"/>
      <c r="C162" s="25"/>
      <c r="D162" s="25"/>
    </row>
    <row r="164" spans="1:4" ht="31.5" x14ac:dyDescent="0.5">
      <c r="A164" s="21" t="s">
        <v>204</v>
      </c>
      <c r="B164" s="21"/>
      <c r="C164" s="21"/>
      <c r="D164" s="21"/>
    </row>
    <row r="165" spans="1:4" x14ac:dyDescent="0.25">
      <c r="A165" t="s">
        <v>181</v>
      </c>
      <c r="B165" s="1">
        <v>1.5</v>
      </c>
    </row>
    <row r="166" spans="1:4" x14ac:dyDescent="0.25">
      <c r="A166" t="s">
        <v>169</v>
      </c>
      <c r="B166">
        <f>B103*B165*3600</f>
        <v>421875000</v>
      </c>
    </row>
    <row r="167" spans="1:4" x14ac:dyDescent="0.25">
      <c r="A167" t="s">
        <v>170</v>
      </c>
      <c r="B167">
        <f>B166*B21/1000000000000</f>
        <v>6.5812499999999996E-2</v>
      </c>
    </row>
    <row r="168" spans="1:4" x14ac:dyDescent="0.25">
      <c r="A168" t="s">
        <v>173</v>
      </c>
      <c r="B168">
        <f>B71*B167*24</f>
        <v>288.25874999999996</v>
      </c>
    </row>
    <row r="169" spans="1:4" x14ac:dyDescent="0.25">
      <c r="A169" t="s">
        <v>174</v>
      </c>
      <c r="B169">
        <f>B72*B167*24</f>
        <v>576.51749999999993</v>
      </c>
    </row>
    <row r="170" spans="1:4" x14ac:dyDescent="0.25">
      <c r="A170" t="s">
        <v>175</v>
      </c>
      <c r="B170" s="1">
        <v>2.3E-2</v>
      </c>
    </row>
    <row r="171" spans="1:4" x14ac:dyDescent="0.25">
      <c r="A171" t="s">
        <v>176</v>
      </c>
      <c r="B171" s="1">
        <v>4.0000000000000001E-3</v>
      </c>
    </row>
    <row r="172" spans="1:4" x14ac:dyDescent="0.25">
      <c r="A172" t="s">
        <v>177</v>
      </c>
      <c r="B172">
        <f>B170*B168*1000*12</f>
        <v>79559.414999999979</v>
      </c>
    </row>
    <row r="173" spans="1:4" x14ac:dyDescent="0.25">
      <c r="A173" t="s">
        <v>178</v>
      </c>
      <c r="B173">
        <f>B171*B169*1000*12</f>
        <v>27672.839999999997</v>
      </c>
    </row>
    <row r="174" spans="1:4" ht="26.25" x14ac:dyDescent="0.4">
      <c r="A174" s="23" t="s">
        <v>179</v>
      </c>
      <c r="B174" s="23">
        <f>B173+B172</f>
        <v>107232.25499999998</v>
      </c>
      <c r="C174" s="23"/>
      <c r="D174" s="23"/>
    </row>
    <row r="176" spans="1:4" ht="28.5" x14ac:dyDescent="0.45">
      <c r="A176" s="12" t="s">
        <v>182</v>
      </c>
      <c r="B176" s="11"/>
      <c r="C176" s="11"/>
      <c r="D176" s="11"/>
    </row>
    <row r="177" spans="1:2" x14ac:dyDescent="0.25">
      <c r="A177" t="s">
        <v>185</v>
      </c>
      <c r="B177">
        <f>B62*B63*B64*B65</f>
        <v>37440</v>
      </c>
    </row>
    <row r="178" spans="1:2" x14ac:dyDescent="0.25">
      <c r="A178" s="20" t="s">
        <v>183</v>
      </c>
      <c r="B178" s="20">
        <f>(B67*C67*B177)+(B68*C68*B177)+(B69*C69*B177)</f>
        <v>21606.624</v>
      </c>
    </row>
    <row r="179" spans="1:2" x14ac:dyDescent="0.25">
      <c r="A179" t="s">
        <v>186</v>
      </c>
      <c r="B179" s="1">
        <v>8</v>
      </c>
    </row>
    <row r="180" spans="1:2" x14ac:dyDescent="0.25">
      <c r="A180" t="s">
        <v>187</v>
      </c>
      <c r="B180" s="1">
        <v>2</v>
      </c>
    </row>
    <row r="181" spans="1:2" x14ac:dyDescent="0.25">
      <c r="A181" t="s">
        <v>188</v>
      </c>
      <c r="B181" s="1">
        <v>5</v>
      </c>
    </row>
    <row r="182" spans="1:2" x14ac:dyDescent="0.25">
      <c r="A182" t="s">
        <v>189</v>
      </c>
      <c r="B182" s="1">
        <v>0.1</v>
      </c>
    </row>
    <row r="183" spans="1:2" x14ac:dyDescent="0.25">
      <c r="A183" t="s">
        <v>190</v>
      </c>
      <c r="B183">
        <f>B179*B62*30*B181</f>
        <v>6000</v>
      </c>
    </row>
    <row r="184" spans="1:2" x14ac:dyDescent="0.25">
      <c r="A184" s="11" t="s">
        <v>191</v>
      </c>
      <c r="B184" s="11">
        <f>B183*B182*12</f>
        <v>7200</v>
      </c>
    </row>
    <row r="185" spans="1:2" x14ac:dyDescent="0.25">
      <c r="A185" t="s">
        <v>192</v>
      </c>
      <c r="B185" s="1">
        <v>3</v>
      </c>
    </row>
    <row r="186" spans="1:2" x14ac:dyDescent="0.25">
      <c r="A186" t="s">
        <v>193</v>
      </c>
      <c r="B186" s="1">
        <v>6</v>
      </c>
    </row>
    <row r="187" spans="1:2" x14ac:dyDescent="0.25">
      <c r="A187" t="s">
        <v>195</v>
      </c>
      <c r="B187">
        <f>(B185*B186*B65)/12*B62</f>
        <v>390</v>
      </c>
    </row>
    <row r="188" spans="1:2" x14ac:dyDescent="0.25">
      <c r="A188" t="s">
        <v>194</v>
      </c>
      <c r="B188" s="1">
        <v>0.96</v>
      </c>
    </row>
    <row r="189" spans="1:2" x14ac:dyDescent="0.25">
      <c r="A189" t="s">
        <v>196</v>
      </c>
      <c r="B189">
        <f>B188*B187</f>
        <v>374.4</v>
      </c>
    </row>
    <row r="190" spans="1:2" x14ac:dyDescent="0.25">
      <c r="A190" s="11" t="s">
        <v>197</v>
      </c>
      <c r="B190" s="11">
        <f>B189*12</f>
        <v>4492.7999999999993</v>
      </c>
    </row>
    <row r="191" spans="1:2" x14ac:dyDescent="0.25">
      <c r="A191" t="s">
        <v>198</v>
      </c>
      <c r="B191" s="1">
        <v>0.66</v>
      </c>
    </row>
    <row r="192" spans="1:2" x14ac:dyDescent="0.25">
      <c r="A192" t="s">
        <v>199</v>
      </c>
      <c r="B192" s="1">
        <v>120</v>
      </c>
    </row>
    <row r="193" spans="1:4" x14ac:dyDescent="0.25">
      <c r="A193" t="s">
        <v>200</v>
      </c>
      <c r="B193">
        <f>B192*B191*B62</f>
        <v>396</v>
      </c>
    </row>
    <row r="194" spans="1:4" x14ac:dyDescent="0.25">
      <c r="A194" t="s">
        <v>201</v>
      </c>
      <c r="B194" s="1">
        <v>0.96</v>
      </c>
    </row>
    <row r="195" spans="1:4" x14ac:dyDescent="0.25">
      <c r="A195" t="s">
        <v>202</v>
      </c>
      <c r="B195">
        <f>B194*B193</f>
        <v>380.15999999999997</v>
      </c>
    </row>
    <row r="196" spans="1:4" x14ac:dyDescent="0.25">
      <c r="A196" s="11" t="s">
        <v>203</v>
      </c>
      <c r="B196" s="11">
        <f>B195*12</f>
        <v>4561.92</v>
      </c>
    </row>
    <row r="198" spans="1:4" ht="26.25" x14ac:dyDescent="0.4">
      <c r="A198" s="23" t="s">
        <v>205</v>
      </c>
      <c r="B198" s="23">
        <f>B196+B190+B184+B178</f>
        <v>37861.343999999997</v>
      </c>
      <c r="C198" s="23"/>
      <c r="D198" s="23"/>
    </row>
    <row r="200" spans="1:4" ht="28.5" x14ac:dyDescent="0.45">
      <c r="A200" s="12" t="s">
        <v>207</v>
      </c>
      <c r="B200" s="12"/>
      <c r="C200" s="12"/>
      <c r="D200" s="12"/>
    </row>
    <row r="201" spans="1:4" ht="21" x14ac:dyDescent="0.35">
      <c r="A201" s="19" t="s">
        <v>208</v>
      </c>
      <c r="B201" s="11"/>
      <c r="C201" s="11"/>
      <c r="D201" s="11"/>
    </row>
    <row r="202" spans="1:4" x14ac:dyDescent="0.25">
      <c r="A202" s="30" t="s">
        <v>209</v>
      </c>
    </row>
    <row r="203" spans="1:4" x14ac:dyDescent="0.25">
      <c r="A203" s="30" t="s">
        <v>210</v>
      </c>
    </row>
    <row r="204" spans="1:4" x14ac:dyDescent="0.25">
      <c r="A204" s="30" t="s">
        <v>211</v>
      </c>
    </row>
    <row r="205" spans="1:4" x14ac:dyDescent="0.25">
      <c r="A205" s="30" t="s">
        <v>212</v>
      </c>
    </row>
    <row r="206" spans="1:4" x14ac:dyDescent="0.25">
      <c r="A206" s="29" t="s">
        <v>213</v>
      </c>
      <c r="B206" s="1">
        <v>300</v>
      </c>
    </row>
    <row r="207" spans="1:4" x14ac:dyDescent="0.25">
      <c r="A207" t="s">
        <v>214</v>
      </c>
      <c r="B207" s="1">
        <v>100</v>
      </c>
    </row>
    <row r="208" spans="1:4" x14ac:dyDescent="0.25">
      <c r="A208" t="s">
        <v>215</v>
      </c>
      <c r="B208" s="1">
        <v>0.25</v>
      </c>
    </row>
    <row r="209" spans="1:4" x14ac:dyDescent="0.25">
      <c r="A209" t="s">
        <v>216</v>
      </c>
      <c r="B209">
        <f>B206*B207*1000000000/4000/1000000</f>
        <v>7500</v>
      </c>
    </row>
    <row r="210" spans="1:4" x14ac:dyDescent="0.25">
      <c r="A210" t="s">
        <v>217</v>
      </c>
      <c r="B210">
        <f>B208*B209</f>
        <v>1875</v>
      </c>
    </row>
    <row r="211" spans="1:4" x14ac:dyDescent="0.25">
      <c r="A211" t="s">
        <v>218</v>
      </c>
      <c r="B211">
        <f>12*B210</f>
        <v>22500</v>
      </c>
    </row>
    <row r="212" spans="1:4" ht="60" x14ac:dyDescent="0.25">
      <c r="A212" s="31" t="s">
        <v>225</v>
      </c>
    </row>
    <row r="213" spans="1:4" x14ac:dyDescent="0.25">
      <c r="A213" t="s">
        <v>219</v>
      </c>
      <c r="B213" s="1">
        <v>300</v>
      </c>
    </row>
    <row r="214" spans="1:4" x14ac:dyDescent="0.25">
      <c r="A214" t="s">
        <v>220</v>
      </c>
      <c r="B214">
        <f>B207/10</f>
        <v>10</v>
      </c>
    </row>
    <row r="215" spans="1:4" x14ac:dyDescent="0.25">
      <c r="A215" t="s">
        <v>221</v>
      </c>
      <c r="B215" s="1">
        <v>1.25</v>
      </c>
    </row>
    <row r="216" spans="1:4" x14ac:dyDescent="0.25">
      <c r="A216" t="s">
        <v>222</v>
      </c>
      <c r="B216">
        <f>B213*B214*1000000000/1000000/1000</f>
        <v>3000</v>
      </c>
    </row>
    <row r="217" spans="1:4" x14ac:dyDescent="0.25">
      <c r="A217" t="s">
        <v>223</v>
      </c>
      <c r="B217">
        <f>B216*B215</f>
        <v>3750</v>
      </c>
    </row>
    <row r="218" spans="1:4" x14ac:dyDescent="0.25">
      <c r="A218" t="s">
        <v>224</v>
      </c>
      <c r="B218">
        <f>B217*12</f>
        <v>45000</v>
      </c>
    </row>
    <row r="219" spans="1:4" x14ac:dyDescent="0.25">
      <c r="A219" s="11" t="s">
        <v>226</v>
      </c>
      <c r="B219" s="11">
        <f>B211+B218</f>
        <v>67500</v>
      </c>
      <c r="C219" s="11"/>
      <c r="D219" s="11"/>
    </row>
    <row r="220" spans="1:4" ht="18.75" x14ac:dyDescent="0.3">
      <c r="A220" s="13" t="s">
        <v>227</v>
      </c>
      <c r="B220" s="13"/>
      <c r="C220" s="13"/>
      <c r="D220" s="13"/>
    </row>
    <row r="221" spans="1:4" x14ac:dyDescent="0.25">
      <c r="A221" t="s">
        <v>228</v>
      </c>
      <c r="B221" s="1">
        <v>0.1</v>
      </c>
    </row>
    <row r="222" spans="1:4" x14ac:dyDescent="0.25">
      <c r="A222" t="s">
        <v>229</v>
      </c>
      <c r="B222" s="1">
        <v>6</v>
      </c>
    </row>
    <row r="223" spans="1:4" x14ac:dyDescent="0.25">
      <c r="A223" t="s">
        <v>230</v>
      </c>
      <c r="B223">
        <f>B103*B221*3600*720*B222</f>
        <v>121500000000</v>
      </c>
    </row>
    <row r="224" spans="1:4" x14ac:dyDescent="0.25">
      <c r="A224" t="s">
        <v>231</v>
      </c>
      <c r="B224">
        <f>B223*B21/1000000000000</f>
        <v>18.954000000000001</v>
      </c>
    </row>
    <row r="225" spans="1:4" x14ac:dyDescent="0.25">
      <c r="A225" t="s">
        <v>232</v>
      </c>
      <c r="B225" s="1">
        <v>450</v>
      </c>
    </row>
    <row r="226" spans="1:4" x14ac:dyDescent="0.25">
      <c r="A226" s="11" t="s">
        <v>233</v>
      </c>
      <c r="B226" s="11">
        <f>B225*B224*12</f>
        <v>102351.6</v>
      </c>
      <c r="C226" s="11"/>
      <c r="D226" s="11"/>
    </row>
    <row r="227" spans="1:4" ht="26.25" x14ac:dyDescent="0.4">
      <c r="A227" s="23" t="s">
        <v>234</v>
      </c>
      <c r="B227" s="23">
        <f>B226+B219</f>
        <v>169851.6</v>
      </c>
      <c r="C227" s="23"/>
      <c r="D227" s="23"/>
    </row>
    <row r="229" spans="1:4" ht="33.75" x14ac:dyDescent="0.5">
      <c r="A229" s="15" t="s">
        <v>235</v>
      </c>
      <c r="B229" s="15"/>
      <c r="C229" s="15"/>
      <c r="D229" s="15"/>
    </row>
    <row r="230" spans="1:4" x14ac:dyDescent="0.25">
      <c r="A230" t="s">
        <v>236</v>
      </c>
      <c r="B230" s="1">
        <v>2</v>
      </c>
    </row>
    <row r="231" spans="1:4" x14ac:dyDescent="0.25">
      <c r="A231" t="s">
        <v>237</v>
      </c>
      <c r="B231" s="1">
        <v>1</v>
      </c>
    </row>
    <row r="232" spans="1:4" x14ac:dyDescent="0.25">
      <c r="A232" t="s">
        <v>246</v>
      </c>
      <c r="B232" s="1">
        <v>6</v>
      </c>
    </row>
    <row r="233" spans="1:4" x14ac:dyDescent="0.25">
      <c r="A233" t="s">
        <v>247</v>
      </c>
      <c r="B233">
        <f>B230*B232*365</f>
        <v>4380</v>
      </c>
    </row>
    <row r="234" spans="1:4" x14ac:dyDescent="0.25">
      <c r="A234" t="s">
        <v>248</v>
      </c>
      <c r="B234">
        <f>B231*B232*365</f>
        <v>2190</v>
      </c>
    </row>
    <row r="235" spans="1:4" x14ac:dyDescent="0.25">
      <c r="A235" t="s">
        <v>249</v>
      </c>
      <c r="B235">
        <f>B233*C13*D13</f>
        <v>193000.32000000001</v>
      </c>
    </row>
    <row r="236" spans="1:4" x14ac:dyDescent="0.25">
      <c r="A236" t="s">
        <v>250</v>
      </c>
      <c r="B236">
        <f>B235/3</f>
        <v>64333.440000000002</v>
      </c>
    </row>
    <row r="237" spans="1:4" x14ac:dyDescent="0.25">
      <c r="A237" t="s">
        <v>251</v>
      </c>
      <c r="B237">
        <f>B234*C18*D18</f>
        <v>7062.75</v>
      </c>
    </row>
    <row r="238" spans="1:4" ht="26.25" x14ac:dyDescent="0.4">
      <c r="A238" s="23" t="s">
        <v>252</v>
      </c>
      <c r="B238" s="23">
        <f>B235+B237</f>
        <v>200063.07</v>
      </c>
      <c r="C238" s="23"/>
      <c r="D238" s="23"/>
    </row>
    <row r="239" spans="1:4" ht="26.25" x14ac:dyDescent="0.4">
      <c r="A239" s="23" t="s">
        <v>253</v>
      </c>
      <c r="B239" s="23">
        <f>B236+B237</f>
        <v>71396.19</v>
      </c>
      <c r="C239" s="23"/>
      <c r="D239" s="23"/>
    </row>
    <row r="241" spans="1:4" ht="28.5" x14ac:dyDescent="0.45">
      <c r="A241" s="12" t="s">
        <v>254</v>
      </c>
      <c r="B241" s="11"/>
      <c r="C241" s="11"/>
      <c r="D241" s="11"/>
    </row>
    <row r="242" spans="1:4" x14ac:dyDescent="0.25">
      <c r="A242" t="s">
        <v>255</v>
      </c>
      <c r="B242" s="1">
        <v>1</v>
      </c>
    </row>
    <row r="243" spans="1:4" x14ac:dyDescent="0.25">
      <c r="A243" t="s">
        <v>256</v>
      </c>
      <c r="B243" s="1">
        <v>60</v>
      </c>
    </row>
    <row r="244" spans="1:4" x14ac:dyDescent="0.25">
      <c r="A244" t="s">
        <v>257</v>
      </c>
      <c r="B244" s="1">
        <v>0.15</v>
      </c>
    </row>
    <row r="245" spans="1:4" x14ac:dyDescent="0.25">
      <c r="A245" t="s">
        <v>258</v>
      </c>
      <c r="B245">
        <f>B242*B243*B244*12</f>
        <v>108</v>
      </c>
    </row>
    <row r="246" spans="1:4" x14ac:dyDescent="0.25">
      <c r="A246" t="s">
        <v>259</v>
      </c>
      <c r="B246" s="1">
        <v>50</v>
      </c>
    </row>
    <row r="247" spans="1:4" x14ac:dyDescent="0.25">
      <c r="A247" t="s">
        <v>260</v>
      </c>
      <c r="B247" s="1">
        <v>100</v>
      </c>
    </row>
    <row r="248" spans="1:4" x14ac:dyDescent="0.25">
      <c r="A248" t="s">
        <v>261</v>
      </c>
      <c r="B248" s="1">
        <v>50</v>
      </c>
    </row>
    <row r="249" spans="1:4" x14ac:dyDescent="0.25">
      <c r="A249" t="s">
        <v>262</v>
      </c>
      <c r="B249" s="1">
        <v>22</v>
      </c>
    </row>
    <row r="250" spans="1:4" x14ac:dyDescent="0.25">
      <c r="A250" t="s">
        <v>263</v>
      </c>
      <c r="B250">
        <f>B246*B247*B248*B249/1000</f>
        <v>5500</v>
      </c>
    </row>
    <row r="251" spans="1:4" x14ac:dyDescent="0.25">
      <c r="A251" t="s">
        <v>264</v>
      </c>
      <c r="B251">
        <f>B250*B244*12</f>
        <v>9900</v>
      </c>
    </row>
    <row r="252" spans="1:4" ht="26.25" x14ac:dyDescent="0.4">
      <c r="A252" s="23" t="s">
        <v>265</v>
      </c>
      <c r="B252" s="23">
        <f>B251+B245</f>
        <v>10008</v>
      </c>
      <c r="C252" s="23"/>
      <c r="D252" s="23"/>
    </row>
    <row r="254" spans="1:4" ht="28.5" x14ac:dyDescent="0.45">
      <c r="A254" s="12" t="s">
        <v>266</v>
      </c>
      <c r="B254" s="12"/>
      <c r="C254" s="12"/>
      <c r="D254" s="12"/>
    </row>
    <row r="255" spans="1:4" x14ac:dyDescent="0.25">
      <c r="A255" t="s">
        <v>274</v>
      </c>
      <c r="B255" s="1">
        <v>10</v>
      </c>
    </row>
    <row r="256" spans="1:4" x14ac:dyDescent="0.25">
      <c r="A256" t="s">
        <v>267</v>
      </c>
      <c r="B256" s="1">
        <v>1</v>
      </c>
    </row>
    <row r="257" spans="1:4" x14ac:dyDescent="0.25">
      <c r="A257" t="s">
        <v>268</v>
      </c>
      <c r="B257" s="1">
        <v>50</v>
      </c>
    </row>
    <row r="258" spans="1:4" x14ac:dyDescent="0.25">
      <c r="A258" t="s">
        <v>269</v>
      </c>
      <c r="B258" s="1">
        <v>5</v>
      </c>
    </row>
    <row r="259" spans="1:4" x14ac:dyDescent="0.25">
      <c r="A259" t="s">
        <v>270</v>
      </c>
      <c r="B259" s="1">
        <v>264</v>
      </c>
    </row>
    <row r="260" spans="1:4" x14ac:dyDescent="0.25">
      <c r="A260" t="s">
        <v>272</v>
      </c>
      <c r="B260">
        <f>B255*B256*B257*B258*B259</f>
        <v>660000</v>
      </c>
    </row>
    <row r="261" spans="1:4" x14ac:dyDescent="0.25">
      <c r="A261" t="s">
        <v>271</v>
      </c>
      <c r="B261" s="1">
        <v>0.4</v>
      </c>
    </row>
    <row r="262" spans="1:4" ht="26.25" x14ac:dyDescent="0.4">
      <c r="A262" s="23" t="s">
        <v>273</v>
      </c>
      <c r="B262" s="23">
        <f>B260*B261</f>
        <v>264000</v>
      </c>
      <c r="C262" s="23"/>
      <c r="D262" s="23"/>
    </row>
    <row r="265" spans="1:4" ht="31.5" x14ac:dyDescent="0.5">
      <c r="A265" s="18" t="s">
        <v>275</v>
      </c>
      <c r="B265" s="18">
        <f>B262+B252+B238+B227+B198+B174</f>
        <v>789016.26900000009</v>
      </c>
      <c r="C265" s="18"/>
      <c r="D265" s="18"/>
    </row>
    <row r="266" spans="1:4" ht="31.5" x14ac:dyDescent="0.5">
      <c r="A266" s="18" t="s">
        <v>276</v>
      </c>
      <c r="B266" s="18">
        <f>B262+B252+B239+B227+B198+B174</f>
        <v>660349.38900000008</v>
      </c>
      <c r="C266" s="18"/>
      <c r="D266" s="18"/>
    </row>
    <row r="272" spans="1:4" ht="46.5" x14ac:dyDescent="0.7">
      <c r="A272" s="27" t="s">
        <v>277</v>
      </c>
      <c r="B272" s="27">
        <f>B265+B132</f>
        <v>1242701.469</v>
      </c>
      <c r="C272" s="18"/>
      <c r="D272" s="18"/>
    </row>
    <row r="273" spans="1:4" ht="46.5" x14ac:dyDescent="0.7">
      <c r="A273" s="27" t="s">
        <v>278</v>
      </c>
      <c r="B273" s="27">
        <f>B266+B133</f>
        <v>942478.74900000007</v>
      </c>
      <c r="C273" s="18"/>
      <c r="D273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Kovgan, Peter (Nokia - IL/Kfar Sava)</dc:creator>
  <cp:lastModifiedBy>Kovgan, Peter (Nokia - IL/Kfar Sava)</cp:lastModifiedBy>
  <dcterms:created xsi:type="dcterms:W3CDTF">2021-03-15T14:23:36Z</dcterms:created>
  <dcterms:modified xsi:type="dcterms:W3CDTF">2021-03-17T10:13:48Z</dcterms:modified>
</cp:coreProperties>
</file>